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9040" windowHeight="1584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抵押物清单" sheetId="8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汇总）" sheetId="70" r:id="rId24"/>
    <sheet name="收益法" sheetId="15" r:id="rId25"/>
    <sheet name="收益法 (元)" sheetId="67" state="hidden" r:id="rId26"/>
    <sheet name="收益法-酒店模型" sheetId="77" state="hidden" r:id="rId27"/>
    <sheet name="收益法车库" sheetId="82"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 name="Sheet1" sheetId="80" r:id="rId48"/>
    <sheet name="Sheet2" sheetId="83" r:id="rId49"/>
  </sheets>
  <externalReferences>
    <externalReference r:id="rId50"/>
    <externalReference r:id="rId51"/>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3">'收益法（汇总）'!$A$1:$F$13</definedName>
    <definedName name="_xlnm.Print_Area" localSheetId="27">收益法车库!$A$1:$F$43,收益法车库!$H$3:$M$29,收益法车库!$A$46:$F$71,收益法车库!$I$46:$N$65</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47">'[1]比较法-办公'!$B$119:$M$119</definedName>
    <definedName name="办公层高" localSheetId="15">'[1]比较法-办公'!$B$119:$M$119</definedName>
    <definedName name="办公层高">'比较法-办公'!$B$119:$M$119</definedName>
    <definedName name="办公朝向" localSheetId="47">'[1]比较法-办公'!$B$91:$M$91</definedName>
    <definedName name="办公朝向" localSheetId="15">'[1]比较法-办公'!$B$91:$M$91</definedName>
    <definedName name="办公朝向">'比较法-办公'!$B$91:$M$91</definedName>
    <definedName name="办公道路级别" localSheetId="47">'[1]比较法-办公'!$B$87:$M$87</definedName>
    <definedName name="办公道路级别" localSheetId="15">'[1]比较法-办公'!$B$87:$M$87</definedName>
    <definedName name="办公道路级别">'比较法-办公'!$B$87:$M$87</definedName>
    <definedName name="办公公共部分装修" localSheetId="47">'[1]比较法-办公'!$B$108:$M$108</definedName>
    <definedName name="办公公共部分装修" localSheetId="15">'[1]比较法-办公'!$B$108:$M$108</definedName>
    <definedName name="办公公共部分装修">'比较法-办公'!$B$108:$M$108</definedName>
    <definedName name="办公基础设施水平" localSheetId="47">'[1]比较法-办公'!$B$117:$M$117</definedName>
    <definedName name="办公基础设施水平" localSheetId="15">'[1]比较法-办公'!$B$117:$M$117</definedName>
    <definedName name="办公基础设施水平">'比较法-办公'!$B$117:$M$117</definedName>
    <definedName name="办公集聚程度" localSheetId="47">[1]定义!$M$1:$M$6</definedName>
    <definedName name="办公集聚程度" localSheetId="15">[1]定义!$M$1:$M$6</definedName>
    <definedName name="办公集聚程度">定义!$M$1:$M$6</definedName>
    <definedName name="办公建筑结构" localSheetId="47">'[1]比较法-办公'!$B$106:$M$106</definedName>
    <definedName name="办公建筑结构" localSheetId="15">'[1]比较法-办公'!$B$106:$M$106</definedName>
    <definedName name="办公建筑结构">'比较法-办公'!$B$106:$M$106</definedName>
    <definedName name="办公建筑类型" localSheetId="47">'[1]比较法-办公'!$B$101:$M$101</definedName>
    <definedName name="办公建筑类型" localSheetId="15">'[1]比较法-办公'!$B$101:$M$101</definedName>
    <definedName name="办公建筑类型">'比较法-办公'!$B$101:$M$101</definedName>
    <definedName name="办公交易情况" localSheetId="47">'[1]比较法-办公'!$A$62:$M$62</definedName>
    <definedName name="办公交易情况" localSheetId="15">'[1]比较法-办公'!$A$62:$M$62</definedName>
    <definedName name="办公交易情况">'比较法-办公'!$A$62:$M$62</definedName>
    <definedName name="办公楼层" localSheetId="47">'[1]比较法-办公'!$B$89:$M$89</definedName>
    <definedName name="办公楼层" localSheetId="15">'[1]比较法-办公'!$B$89:$M$89</definedName>
    <definedName name="办公楼层">'比较法-办公'!$B$89:$M$89</definedName>
    <definedName name="办公内部装修" localSheetId="47">'[1]比较法-办公'!$B$123:$M$123</definedName>
    <definedName name="办公内部装修" localSheetId="15">'[1]比较法-办公'!$B$123:$M$123</definedName>
    <definedName name="办公内部装修">'比较法-办公'!$B$123:$M$123</definedName>
    <definedName name="办公物业管理" localSheetId="47">'[1]比较法-办公'!$B$115:$M$115</definedName>
    <definedName name="办公物业管理" localSheetId="15">'[1]比较法-办公'!$B$115:$M$115</definedName>
    <definedName name="办公物业管理">'比较法-办公'!$B$115:$M$115</definedName>
    <definedName name="办公用途" localSheetId="47">'[1]比较法-办公'!$B$64:$M$64</definedName>
    <definedName name="办公用途" localSheetId="15">'[1]比较法-办公'!$B$64:$M$64</definedName>
    <definedName name="办公用途">'比较法-办公'!$B$64:$M$64</definedName>
    <definedName name="仓储公共部分装修" localSheetId="47">'[1]比较法-仓储'!$B$77:$M$77</definedName>
    <definedName name="仓储公共部分装修" localSheetId="15">'[1]比较法-仓储'!$B$77:$M$77</definedName>
    <definedName name="仓储公共部分装修">'比较法-仓储'!$B$77:$M$77</definedName>
    <definedName name="仓储交易情况" localSheetId="47">'[1]比较法-仓储'!$A$49:$M$49</definedName>
    <definedName name="仓储交易情况" localSheetId="15">'[1]比较法-仓储'!$A$49:$M$49</definedName>
    <definedName name="仓储交易情况">'比较法-仓储'!$A$49:$M$49</definedName>
    <definedName name="仓储楼层" localSheetId="47">'[1]比较法-仓储'!$B$69:$M$69</definedName>
    <definedName name="仓储楼层" localSheetId="15">'[1]比较法-仓储'!$B$69:$M$69</definedName>
    <definedName name="仓储楼层">'比较法-仓储'!$B$69:$M$69</definedName>
    <definedName name="仓储物业等级" localSheetId="47">'[1]比较法-仓储'!$B$82:$M$82</definedName>
    <definedName name="仓储物业等级" localSheetId="15">'[1]比较法-仓储'!$B$82:$M$82</definedName>
    <definedName name="仓储物业等级">'比较法-仓储'!$B$82:$M$82</definedName>
    <definedName name="仓储用途" localSheetId="47">'[1]比较法-仓储'!$B$51:$M$51</definedName>
    <definedName name="仓储用途" localSheetId="15">'[1]比较法-仓储'!$B$51:$M$51</definedName>
    <definedName name="仓储用途">'比较法-仓储'!$B$51:$M$51</definedName>
    <definedName name="产业集聚程度" localSheetId="47">[1]定义!$N$1:$N$6</definedName>
    <definedName name="产业集聚程度" localSheetId="15">[1]定义!$N$1:$N$6</definedName>
    <definedName name="产业集聚程度">定义!$N$1:$N$6</definedName>
    <definedName name="车位公共部分装修" localSheetId="47">'[1]比较法-车位'!$B$83:$M$83</definedName>
    <definedName name="车位公共部分装修" localSheetId="15">'[1]比较法-车位'!$B$83:$M$83</definedName>
    <definedName name="车位公共部分装修">'比较法-车位'!$B$83:$M$83</definedName>
    <definedName name="车位交易情况" localSheetId="47">'[1]比较法-车位'!$A$51:$M$51</definedName>
    <definedName name="车位交易情况" localSheetId="15">'[1]比较法-车位'!$A$51:$M$51</definedName>
    <definedName name="车位交易情况">'比较法-车位'!$A$51:$M$51</definedName>
    <definedName name="车位类型" localSheetId="47">'[1]比较法-车位'!$B$93:$M$93</definedName>
    <definedName name="车位类型" localSheetId="15">'[1]比较法-车位'!$B$93:$M$93</definedName>
    <definedName name="车位类型">'比较法-车位'!$B$93:$M$93</definedName>
    <definedName name="车位楼层" localSheetId="47">'[1]比较法-车位'!$B$71:$M$71</definedName>
    <definedName name="车位楼层" localSheetId="15">'[1]比较法-车位'!$B$71:$M$71</definedName>
    <definedName name="车位楼层">'比较法-车位'!$B$71:$M$71</definedName>
    <definedName name="车位配套类型" localSheetId="47">'[1]比较法-车位'!$B$79:$M$79</definedName>
    <definedName name="车位配套类型" localSheetId="15">'[1]比较法-车位'!$B$79:$M$79</definedName>
    <definedName name="车位配套类型">'比较法-车位'!$B$79:$M$79</definedName>
    <definedName name="车位物业等级" localSheetId="47">'[1]比较法-车位'!$B$88:$M$88</definedName>
    <definedName name="车位物业等级" localSheetId="15">'[1]比较法-车位'!$B$88:$M$88</definedName>
    <definedName name="车位物业等级">'比较法-车位'!$B$88:$M$88</definedName>
    <definedName name="车位用途" localSheetId="47">'[1]比较法-车位'!$B$53:$M$53</definedName>
    <definedName name="车位用途" localSheetId="15">'[1]比较法-车位'!$B$53:$M$53</definedName>
    <definedName name="车位用途">'比较法-车位'!$B$53:$M$53</definedName>
    <definedName name="城镇土地纳税等级分级范围" localSheetId="47">'[1]数据-取费表'!$A$53:$A$63</definedName>
    <definedName name="城镇土地纳税等级分级范围" localSheetId="15">'[1]数据-取费表'!$A$53:$A$63</definedName>
    <definedName name="城镇土地纳税等级分级范围">'数据-取费表'!$A$53:$A$63</definedName>
    <definedName name="单价内涵" localSheetId="47">[1]定义!$V$1:$V$3</definedName>
    <definedName name="单价内涵" localSheetId="15">[1]定义!$V$1:$V$3</definedName>
    <definedName name="单价内涵">定义!$V$1:$V$3</definedName>
    <definedName name="地类判定" localSheetId="47">[1]定义!$H$1:$H$9</definedName>
    <definedName name="地类判定" localSheetId="15">[1]定义!$H$1:$H$9</definedName>
    <definedName name="地类判定">定义!$H$1:$H$9</definedName>
    <definedName name="二级">区片价!$J$1:$J$21</definedName>
    <definedName name="二级分类" localSheetId="47">[1]修正!$C$19:$C$51</definedName>
    <definedName name="二级分类" localSheetId="15">[1]修正!$C$19:$C$51</definedName>
    <definedName name="二级分类">修正!$C$19:$C$51</definedName>
    <definedName name="法定最高年限" localSheetId="47">[1]定义!$G$1:$G$6</definedName>
    <definedName name="法定最高年限" localSheetId="15">[1]定义!$G$1:$G$6</definedName>
    <definedName name="法定最高年限">定义!$G$1:$G$6</definedName>
    <definedName name="工业公共部分装修" localSheetId="47">'[1]比较法-工业'!$B$95:$M$95</definedName>
    <definedName name="工业公共部分装修" localSheetId="15">'[1]比较法-工业'!$B$95:$M$95</definedName>
    <definedName name="工业公共部分装修">'比较法-工业'!$B$95:$M$95</definedName>
    <definedName name="工业基础设施水平" localSheetId="47">'[1]比较法-工业'!$B$102:$M$102</definedName>
    <definedName name="工业基础设施水平" localSheetId="15">'[1]比较法-工业'!$B$102:$M$102</definedName>
    <definedName name="工业基础设施水平">'比较法-工业'!$B$102:$M$102</definedName>
    <definedName name="工业建筑结构" localSheetId="47">'[1]比较法-工业'!$B$93:$M$93</definedName>
    <definedName name="工业建筑结构" localSheetId="15">'[1]比较法-工业'!$B$93:$M$93</definedName>
    <definedName name="工业建筑结构">'比较法-工业'!$B$93:$M$93</definedName>
    <definedName name="工业建筑类型" localSheetId="47">'[1]比较法-工业'!$B$88:$M$88</definedName>
    <definedName name="工业建筑类型" localSheetId="15">'[1]比较法-工业'!$B$88:$M$88</definedName>
    <definedName name="工业建筑类型">'比较法-工业'!$B$88:$M$88</definedName>
    <definedName name="工业交易情况" localSheetId="47">'[1]比较法-工业'!$A$55:$M$55</definedName>
    <definedName name="工业交易情况" localSheetId="15">'[1]比较法-工业'!$A$55:$M$55</definedName>
    <definedName name="工业交易情况">'比较法-工业'!$A$55:$M$55</definedName>
    <definedName name="工业内部装修" localSheetId="47">'[1]比较法-工业'!$B$104:$M$104</definedName>
    <definedName name="工业内部装修" localSheetId="15">'[1]比较法-工业'!$B$104:$M$104</definedName>
    <definedName name="工业内部装修">'比较法-工业'!$B$104:$M$104</definedName>
    <definedName name="工业物业管理" localSheetId="47">'[1]比较法-工业'!$B$100:$M$100</definedName>
    <definedName name="工业物业管理" localSheetId="15">'[1]比较法-工业'!$B$100:$M$100</definedName>
    <definedName name="工业物业管理">'比较法-工业'!$B$100:$M$100</definedName>
    <definedName name="工业用途" localSheetId="47">'[1]比较法-工业'!$B$57:$M$57</definedName>
    <definedName name="工业用途" localSheetId="15">'[1]比较法-工业'!$B$57:$M$57</definedName>
    <definedName name="工业用途">'比较法-工业'!$B$57:$M$57</definedName>
    <definedName name="公共配套设施" localSheetId="47">[1]定义!$Q$1:$Q$6</definedName>
    <definedName name="公共配套设施" localSheetId="15">[1]定义!$Q$1:$Q$6</definedName>
    <definedName name="公共配套设施">定义!$Q$1:$Q$6</definedName>
    <definedName name="估价范围判定" localSheetId="47">[1]定义!$D$1:$D$4</definedName>
    <definedName name="估价范围判定" localSheetId="15">[1]定义!$D$1:$D$4</definedName>
    <definedName name="估价范围判定">定义!$D$1:$D$4</definedName>
    <definedName name="估价方法" localSheetId="47">[1]定义!$B$1:$B$50</definedName>
    <definedName name="估价方法" localSheetId="15">[1]定义!$B$1:$B$50</definedName>
    <definedName name="估价方法">定义!$B$1:$B$50</definedName>
    <definedName name="环境" localSheetId="47">[1]定义!$S$1:$S$6</definedName>
    <definedName name="环境" localSheetId="15">[1]定义!$S$1:$S$6</definedName>
    <definedName name="环境">定义!$S$1:$S$6</definedName>
    <definedName name="基础设施水平" localSheetId="47">[1]定义!$R$1:$R$6</definedName>
    <definedName name="基础设施水平" localSheetId="15">[1]定义!$R$1:$R$6</definedName>
    <definedName name="基础设施水平">定义!$R$1:$R$6</definedName>
    <definedName name="季度">基准地价修正!$Q$19:$AD$19</definedName>
    <definedName name="价值类型2" localSheetId="47">[1]定义!$B$54:$B$56</definedName>
    <definedName name="价值类型2" localSheetId="15">[1]定义!$B$54:$B$56</definedName>
    <definedName name="价值类型2">定义!$B$54:$B$56</definedName>
    <definedName name="交通便捷度" localSheetId="47">[1]定义!$O$1:$O$6</definedName>
    <definedName name="交通便捷度" localSheetId="15">[1]定义!$O$1:$O$6</definedName>
    <definedName name="交通便捷度">定义!$O$1:$O$6</definedName>
    <definedName name="九级">区片价!$Q$1:$Q$51</definedName>
    <definedName name="居住社区成熟度" localSheetId="47">[1]定义!$K$1:$K$6</definedName>
    <definedName name="居住社区成熟度" localSheetId="15">[1]定义!$K$1:$K$6</definedName>
    <definedName name="居住社区成熟度">定义!$K$1:$K$6</definedName>
    <definedName name="类别" localSheetId="47">[1]定义!$J$1:$J$3</definedName>
    <definedName name="类别" localSheetId="15">[1]定义!$J$1:$J$3</definedName>
    <definedName name="类别">定义!$J$1:$J$3</definedName>
    <definedName name="临街状况" localSheetId="47">[1]定义!$T$1:$T$5</definedName>
    <definedName name="临街状况" localSheetId="15">[1]定义!$T$1:$T$5</definedName>
    <definedName name="临街状况">定义!$T$1:$T$5</definedName>
    <definedName name="六级">区片价!$N$1:$N$64</definedName>
    <definedName name="内部装修维护情况" localSheetId="47">[1]定义!$U$1:$U$6</definedName>
    <definedName name="内部装修维护情况" localSheetId="15">[1]定义!$U$1:$U$6</definedName>
    <definedName name="内部装修维护情况">定义!$U$1:$U$6</definedName>
    <definedName name="七级">区片价!$O$1:$O$45</definedName>
    <definedName name="七通一平" localSheetId="47">[1]修正!$A$8:$A$16</definedName>
    <definedName name="七通一平" localSheetId="15">[1]修正!$A$8:$A$16</definedName>
    <definedName name="七通一平">修正!$A$8:$A$16</definedName>
    <definedName name="区域土地利用方向" localSheetId="47">[1]定义!$P$1:$P$6</definedName>
    <definedName name="区域土地利用方向" localSheetId="15">[1]定义!$P$1:$P$6</definedName>
    <definedName name="区域土地利用方向">定义!$P$1:$P$6</definedName>
    <definedName name="三级">区片价!$K$1:$K$26</definedName>
    <definedName name="商业层高" localSheetId="47">'[1]比较法-商业'!$B$116:$M$116</definedName>
    <definedName name="商业层高" localSheetId="15">'[1]比较法-商业'!$B$116:$M$116</definedName>
    <definedName name="商业层高">'比较法-商业'!$B$116:$M$116</definedName>
    <definedName name="商业成新度">'比较法-商业'!$B$109:$M$109</definedName>
    <definedName name="商业繁华度" localSheetId="47">[1]定义!$L$1:$L$6</definedName>
    <definedName name="商业繁华度" localSheetId="15">[1]定义!$L$1:$L$6</definedName>
    <definedName name="商业繁华度">定义!$L$1:$L$6</definedName>
    <definedName name="商业公共部分装修" localSheetId="47">'[1]比较法-商业'!$B$107:$M$107</definedName>
    <definedName name="商业公共部分装修" localSheetId="15">'[1]比较法-商业'!$B$107:$M$107</definedName>
    <definedName name="商业公共部分装修">'比较法-商业'!$B$107:$M$107</definedName>
    <definedName name="商业基础设施水平" localSheetId="47">'[1]比较法-商业'!$B$112:$M$112</definedName>
    <definedName name="商业基础设施水平" localSheetId="15">'[1]比较法-商业'!$B$112:$M$112</definedName>
    <definedName name="商业基础设施水平">'比较法-商业'!$B$112:$M$112</definedName>
    <definedName name="商业建筑结构" localSheetId="47">'[1]比较法-商业'!$B$105:$M$105</definedName>
    <definedName name="商业建筑结构" localSheetId="15">'[1]比较法-商业'!$B$105:$M$105</definedName>
    <definedName name="商业建筑结构">'比较法-商业'!$B$105:$M$105</definedName>
    <definedName name="商业交易情况" localSheetId="47">'[1]比较法-商业'!$A$61:$M$61</definedName>
    <definedName name="商业交易情况" localSheetId="15">'[1]比较法-商业'!$A$61:$M$61</definedName>
    <definedName name="商业交易情况">'比较法-商业'!$A$61:$M$61</definedName>
    <definedName name="商业街名称" localSheetId="47">[1]修正!$C$71:$C$138</definedName>
    <definedName name="商业街名称" localSheetId="15">[1]修正!$C$71:$C$138</definedName>
    <definedName name="商业街名称">修正!$C$71:$C$138</definedName>
    <definedName name="商业进深比" localSheetId="47">'[1]比较法-商业'!$B$120:$M$120</definedName>
    <definedName name="商业进深比" localSheetId="15">'[1]比较法-商业'!$B$120:$M$120</definedName>
    <definedName name="商业进深比">'比较法-商业'!$B$120:$M$120</definedName>
    <definedName name="商业类型" localSheetId="47">'[1]比较法-商业'!$B$100:$M$100</definedName>
    <definedName name="商业类型" localSheetId="15">'[1]比较法-商业'!$B$100:$M$100</definedName>
    <definedName name="商业类型">'比较法-商业'!$B$100:$M$100</definedName>
    <definedName name="商业临街状况" localSheetId="47">'[1]比较法-商业'!$B$86:$M$86</definedName>
    <definedName name="商业临街状况" localSheetId="15">'[1]比较法-商业'!$B$86:$M$86</definedName>
    <definedName name="商业临街状况">'比较法-商业'!$B$86:$M$86</definedName>
    <definedName name="商业楼层" localSheetId="47">'[1]比较法-商业'!$B$92:$M$92</definedName>
    <definedName name="商业楼层" localSheetId="15">'[1]比较法-商业'!$B$92:$M$92</definedName>
    <definedName name="商业楼层">'比较法-商业'!$B$92:$M$92</definedName>
    <definedName name="商业内部装修" localSheetId="47">'[1]比较法-商业'!$B$122:$M$122</definedName>
    <definedName name="商业内部装修" localSheetId="15">'[1]比较法-商业'!$B$122:$M$122</definedName>
    <definedName name="商业内部装修">'比较法-商业'!$B$122:$M$122</definedName>
    <definedName name="商业人流量" localSheetId="47">'[1]比较法-商业'!$B$90:$M$90</definedName>
    <definedName name="商业人流量" localSheetId="15">'[1]比较法-商业'!$B$90:$M$90</definedName>
    <definedName name="商业人流量">'比较法-商业'!$B$90:$M$90</definedName>
    <definedName name="商业业态" localSheetId="47">'[1]比较法-商业'!$B$114:$M$114</definedName>
    <definedName name="商业业态" localSheetId="15">'[1]比较法-商业'!$B$114:$M$114</definedName>
    <definedName name="商业业态">'比较法-商业'!$B$114:$M$114</definedName>
    <definedName name="商业用途" localSheetId="47">'[1]比较法-商业'!$B$63:$M$63</definedName>
    <definedName name="商业用途" localSheetId="15">'[1]比较法-商业'!$B$63:$M$63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7">'[1]比较法-仓储'!$B$89:$M$89</definedName>
    <definedName name="是否封闭" localSheetId="15">'[1]比较法-仓储'!$B$89:$M$89</definedName>
    <definedName name="是否封闭">'比较法-仓储'!$B$89:$M$89</definedName>
    <definedName name="是否直接入户" localSheetId="47">'[1]比较法-车位'!$B$95:$M$95</definedName>
    <definedName name="是否直接入户" localSheetId="15">'[1]比较法-车位'!$B$95:$M$95</definedName>
    <definedName name="是否直接入户">'比较法-车位'!$B$95:$M$95</definedName>
    <definedName name="四级">区片价!$L$1:$L$33</definedName>
    <definedName name="套工道路等级" localSheetId="47">'[1]土地比较法-工业'!$B$97:$M$97</definedName>
    <definedName name="套工道路等级" localSheetId="15">'[1]土地比较法-工业'!$B$97:$M$97</definedName>
    <definedName name="套工道路等级">'土地比较法-工业'!$B$97:$M$97</definedName>
    <definedName name="套工地质条件" localSheetId="47">'[1]土地比较法-工业'!$B$114:$M$114</definedName>
    <definedName name="套工地质条件" localSheetId="15">'[1]土地比较法-工业'!$B$114:$M$114</definedName>
    <definedName name="套工地质条件">'土地比较法-工业'!$B$114:$M$114</definedName>
    <definedName name="套工交易情况" localSheetId="47">'[1]土地比较法-住宅、综合'!$A$72:$M$72</definedName>
    <definedName name="套工交易情况" localSheetId="15">'[1]土地比较法-住宅、综合'!$A$72:$M$72</definedName>
    <definedName name="套工交易情况">'土地比较法-住宅、综合'!$A$72:$M$72</definedName>
    <definedName name="套工土地级别" localSheetId="47">'[1]土地比较法-工业'!$B$99:$M$99</definedName>
    <definedName name="套工土地级别" localSheetId="15">'[1]土地比较法-工业'!$B$99:$M$99</definedName>
    <definedName name="套工土地级别">'土地比较法-工业'!$B$99:$M$99</definedName>
    <definedName name="套工用途" localSheetId="47">'[1]土地比较法-工业'!$B$70:$M$70</definedName>
    <definedName name="套工用途" localSheetId="15">'[1]土地比较法-工业'!$B$70:$M$70</definedName>
    <definedName name="套工用途">'土地比较法-工业'!$B$70:$M$70</definedName>
    <definedName name="套工宗地开发程度" localSheetId="47">'[1]土地比较法-工业'!$B$112:$M$112</definedName>
    <definedName name="套工宗地开发程度" localSheetId="15">'[1]土地比较法-工业'!$B$112:$M$112</definedName>
    <definedName name="套工宗地开发程度">'土地比较法-工业'!$B$112:$M$112</definedName>
    <definedName name="套工宗地形状" localSheetId="47">'[1]土地比较法-工业'!$B$110:$M$110</definedName>
    <definedName name="套工宗地形状" localSheetId="15">'[1]土地比较法-工业'!$B$110:$M$110</definedName>
    <definedName name="套工宗地形状">'土地比较法-工业'!$B$110:$M$110</definedName>
    <definedName name="套综道路等级" localSheetId="47">'[1]土地比较法-住宅、综合'!$B$105:$M$105</definedName>
    <definedName name="套综道路等级" localSheetId="15">'[1]土地比较法-住宅、综合'!$B$105:$M$105</definedName>
    <definedName name="套综道路等级">'土地比较法-住宅、综合'!$B$105:$M$105</definedName>
    <definedName name="套综工程地质条件" localSheetId="47">'[1]土地比较法-住宅、综合'!$B$124:$M$124</definedName>
    <definedName name="套综工程地质条件" localSheetId="15">'[1]土地比较法-住宅、综合'!$B$124:$M$124</definedName>
    <definedName name="套综工程地质条件">'土地比较法-住宅、综合'!$B$124:$M$124</definedName>
    <definedName name="套综交易情况" localSheetId="47">'[1]土地比较法-住宅、综合'!$A$72:$M$72</definedName>
    <definedName name="套综交易情况" localSheetId="15">'[1]土地比较法-住宅、综合'!$A$72:$M$72</definedName>
    <definedName name="套综交易情况">'土地比较法-住宅、综合'!$A$72:$M$72</definedName>
    <definedName name="套综临街宽度及深度" localSheetId="47">'[1]土地比较法-住宅、综合'!$B$120:$M$120</definedName>
    <definedName name="套综临街宽度及深度" localSheetId="15">'[1]土地比较法-住宅、综合'!$B$120:$M$120</definedName>
    <definedName name="套综临街宽度及深度">'土地比较法-住宅、综合'!$B$120:$M$120</definedName>
    <definedName name="套综土地级别" localSheetId="47">'[1]土地比较法-住宅、综合'!$B$107:$M$107</definedName>
    <definedName name="套综土地级别" localSheetId="15">'[1]土地比较法-住宅、综合'!$B$107:$M$107</definedName>
    <definedName name="套综土地级别">'土地比较法-住宅、综合'!$B$107:$M$107</definedName>
    <definedName name="套综用途" localSheetId="47">'[1]土地比较法-住宅、综合'!$B$74:$M$74</definedName>
    <definedName name="套综用途" localSheetId="15">'[1]土地比较法-住宅、综合'!$B$74:$M$74</definedName>
    <definedName name="套综用途">'土地比较法-住宅、综合'!$B$74:$M$74</definedName>
    <definedName name="套综宗地内开发程度" localSheetId="47">'[1]土地比较法-住宅、综合'!$B$122:$M$122</definedName>
    <definedName name="套综宗地内开发程度" localSheetId="15">'[1]土地比较法-住宅、综合'!$B$122:$M$122</definedName>
    <definedName name="套综宗地内开发程度">'土地比较法-住宅、综合'!$B$122:$M$122</definedName>
    <definedName name="套综宗地形状" localSheetId="47">'[1]土地比较法-住宅、综合'!$B$118:$M$118</definedName>
    <definedName name="套综宗地形状" localSheetId="15">'[1]土地比较法-住宅、综合'!$B$118:$M$118</definedName>
    <definedName name="套综宗地形状">'土地比较法-住宅、综合'!$B$118:$M$118</definedName>
    <definedName name="土地估价师">估价师及机构信息!$D$3:$D$24</definedName>
    <definedName name="土地级别" localSheetId="47">[1]定义!$C$1:$C$14</definedName>
    <definedName name="土地级别" localSheetId="15">[1]定义!$C$1:$C$14</definedName>
    <definedName name="土地级别">定义!$C$1:$C$14</definedName>
    <definedName name="土地利用方向">定义!$P$1:$P$6</definedName>
    <definedName name="土地年限区间">定义!$I$1:$I$16</definedName>
    <definedName name="位置" localSheetId="47">[1]定义!$E$2:$E$4</definedName>
    <definedName name="位置" localSheetId="15">[1]定义!$E$2:$E$4</definedName>
    <definedName name="位置">定义!$E$2:$E$4</definedName>
    <definedName name="五等判定" localSheetId="47">[1]定义!$W$1:$W$6</definedName>
    <definedName name="五等判定" localSheetId="15">[1]定义!$W$1:$W$6</definedName>
    <definedName name="五等判定">定义!$W$1:$W$6</definedName>
    <definedName name="五级">区片价!$M$1:$M$41</definedName>
    <definedName name="项目类型" localSheetId="47">'[1]数据-汇总表'!$C$17:$C$26</definedName>
    <definedName name="项目类型" localSheetId="15">'[1]数据-汇总表'!$C$17:$C$26</definedName>
    <definedName name="项目类型" localSheetId="26">'[2]数据-汇总表'!$C$17:$C$26</definedName>
    <definedName name="项目类型">'数据-汇总表'!$C$17:$C$26</definedName>
    <definedName name="写字楼等级" localSheetId="47">'[1]比较法-办公'!$B$113:$M$113</definedName>
    <definedName name="写字楼等级" localSheetId="15">'[1]比较法-办公'!$B$113:$M$113</definedName>
    <definedName name="写字楼等级">'比较法-办公'!$B$113:$M$113</definedName>
    <definedName name="一级">区片价!$I$1:$I$6</definedName>
    <definedName name="一修多修正项2" localSheetId="47">[1]典型户型修正!$5:$5</definedName>
    <definedName name="一修多修正项2" localSheetId="15">[1]典型户型修正!$5:$5</definedName>
    <definedName name="一修多修正项2">典型户型修正!$5:$5</definedName>
    <definedName name="一修多修正项3" localSheetId="47">[1]典型户型修正!$7:$7</definedName>
    <definedName name="一修多修正项3" localSheetId="15">[1]典型户型修正!$7:$7</definedName>
    <definedName name="一修多修正项3">典型户型修正!$7:$7</definedName>
    <definedName name="一修多修正项4" localSheetId="47">[1]典型户型修正!$9:$9</definedName>
    <definedName name="一修多修正项4" localSheetId="15">[1]典型户型修正!$9:$9</definedName>
    <definedName name="一修多修正项4">典型户型修正!$9:$9</definedName>
    <definedName name="一修多修正项5" localSheetId="47">[1]典型户型修正!$11:$11</definedName>
    <definedName name="一修多修正项5" localSheetId="15">[1]典型户型修正!$11:$11</definedName>
    <definedName name="一修多修正项5">典型户型修正!$11:$11</definedName>
    <definedName name="一修多修正项6" localSheetId="47">[1]典型户型修正!$13:$13</definedName>
    <definedName name="一修多修正项6" localSheetId="15">[1]典型户型修正!$13:$13</definedName>
    <definedName name="一修多修正项6">典型户型修正!$13:$13</definedName>
    <definedName name="一修多修正项7" localSheetId="47">[1]典型户型修正!$15:$15</definedName>
    <definedName name="一修多修正项7" localSheetId="15">[1]典型户型修正!$15:$15</definedName>
    <definedName name="一修多修正项7">典型户型修正!$15:$15</definedName>
    <definedName name="一修多修正项8" localSheetId="47">[1]典型户型修正!$17:$17</definedName>
    <definedName name="一修多修正项8" localSheetId="15">[1]典型户型修正!$17:$17</definedName>
    <definedName name="一修多修正项8">典型户型修正!$17:$17</definedName>
    <definedName name="用途明细" localSheetId="47">[1]定义!$A$1:$A$50</definedName>
    <definedName name="用途明细" localSheetId="15">[1]定义!$A$1:$A$50</definedName>
    <definedName name="用途明细">定义!$A$1:$A$50</definedName>
    <definedName name="有无电梯" localSheetId="47">'[1]比较法-仓储'!$B$84:$M$84</definedName>
    <definedName name="有无电梯" localSheetId="15">'[1]比较法-仓储'!$B$84:$M$84</definedName>
    <definedName name="有无电梯">'比较法-仓储'!$B$84:$M$84</definedName>
    <definedName name="主用途" localSheetId="47">[1]定义!$F$1:$F$12</definedName>
    <definedName name="主用途" localSheetId="15">[1]定义!$F$1:$F$12</definedName>
    <definedName name="主用途">定义!$F$1:$F$12</definedName>
    <definedName name="住宅朝向" localSheetId="47">'[1]比较法-住宅'!$B$88:$M$88</definedName>
    <definedName name="住宅朝向" localSheetId="15">'[1]比较法-住宅'!$B$88:$M$88</definedName>
    <definedName name="住宅朝向">'比较法-住宅'!$B$88:$M$88</definedName>
    <definedName name="住宅房型" localSheetId="47">'[1]比较法-住宅'!$B$118:$M$118</definedName>
    <definedName name="住宅房型" localSheetId="15">'[1]比较法-住宅'!$B$118:$M$118</definedName>
    <definedName name="住宅房型">'比较法-住宅'!$B$118:$M$118</definedName>
    <definedName name="住宅公共部分装修" localSheetId="47">'[1]比较法-住宅'!$B$109:$M$109</definedName>
    <definedName name="住宅公共部分装修" localSheetId="15">'[1]比较法-住宅'!$B$109:$M$109</definedName>
    <definedName name="住宅公共部分装修">'比较法-住宅'!$B$109:$M$109</definedName>
    <definedName name="住宅基础设施水平" localSheetId="47">'[1]比较法-住宅'!$B$116:$M$116</definedName>
    <definedName name="住宅基础设施水平" localSheetId="15">'[1]比较法-住宅'!$B$116:$M$116</definedName>
    <definedName name="住宅基础设施水平">'比较法-住宅'!$B$116:$M$116</definedName>
    <definedName name="住宅建筑结构" localSheetId="47">'[1]比较法-住宅'!$B$105:$M$105</definedName>
    <definedName name="住宅建筑结构" localSheetId="15">'[1]比较法-住宅'!$B$105:$M$105</definedName>
    <definedName name="住宅建筑结构">'比较法-住宅'!$B$105:$M$105</definedName>
    <definedName name="住宅建筑类型" localSheetId="47">'[1]比较法-住宅'!$B$100:$M$100</definedName>
    <definedName name="住宅建筑类型" localSheetId="15">'[1]比较法-住宅'!$B$100:$M$100</definedName>
    <definedName name="住宅建筑类型">'比较法-住宅'!$B$100:$M$100</definedName>
    <definedName name="住宅建筑品质" localSheetId="47">'[1]比较法-住宅'!$B$107:$M$107</definedName>
    <definedName name="住宅建筑品质" localSheetId="15">'[1]比较法-住宅'!$B$107:$M$107</definedName>
    <definedName name="住宅建筑品质">'比较法-住宅'!$B$107:$M$107</definedName>
    <definedName name="住宅交易情况" localSheetId="47">'[1]比较法-住宅'!$A$61:$M$61</definedName>
    <definedName name="住宅交易情况" localSheetId="15">'[1]比较法-住宅'!$A$61:$M$61</definedName>
    <definedName name="住宅交易情况">'比较法-住宅'!$A$61:$M$61</definedName>
    <definedName name="住宅楼层" localSheetId="47">'[1]比较法-住宅'!$B$86:$M$86</definedName>
    <definedName name="住宅楼层" localSheetId="15">'[1]比较法-住宅'!$B$86:$M$86</definedName>
    <definedName name="住宅楼层">'比较法-住宅'!$B$86:$M$86</definedName>
    <definedName name="住宅内部装修" localSheetId="47">'[1]比较法-住宅'!$B$122:$M$122</definedName>
    <definedName name="住宅内部装修" localSheetId="15">'[1]比较法-住宅'!$B$122:$M$122</definedName>
    <definedName name="住宅内部装修">'比较法-住宅'!$B$122:$M$122</definedName>
    <definedName name="住宅物业管理" localSheetId="47">'[1]比较法-住宅'!$B$114:$M$114</definedName>
    <definedName name="住宅物业管理" localSheetId="15">'[1]比较法-住宅'!$B$114:$M$114</definedName>
    <definedName name="住宅物业管理">'比较法-住宅'!$B$114:$M$114</definedName>
    <definedName name="住宅用途" localSheetId="47">'[1]比较法-住宅'!$B$63:$M$63</definedName>
    <definedName name="住宅用途" localSheetId="15">'[1]比较法-住宅'!$B$63:$M$63</definedName>
    <definedName name="住宅用途">'比较法-住宅'!$B$63:$M$63</definedName>
    <definedName name="住宅主力户型面积">'比较法-住宅'!$B$120:$M$120</definedName>
    <definedName name="注册房地产估价师" localSheetId="47">[1]估价师及机构信息!$A$3:$A$16</definedName>
    <definedName name="注册房地产估价师" localSheetId="15">[1]估价师及机构信息!$A$3:$A$16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W20" i="1" l="1"/>
  <c r="Z18" i="1"/>
  <c r="Y19" i="1"/>
  <c r="Z19" i="1" s="1"/>
  <c r="K46" i="43"/>
  <c r="W19" i="1"/>
  <c r="W18" i="1"/>
  <c r="Z20" i="1" l="1"/>
  <c r="Y20" i="1"/>
  <c r="W74" i="83"/>
  <c r="V41" i="83"/>
  <c r="V10" i="83"/>
  <c r="V9" i="83"/>
  <c r="B14" i="74"/>
  <c r="C6" i="68"/>
  <c r="G51" i="43"/>
  <c r="G52" i="43"/>
  <c r="G53" i="43"/>
  <c r="G54" i="43"/>
  <c r="G55" i="43"/>
  <c r="G56" i="43"/>
  <c r="G57" i="43"/>
  <c r="G58" i="43"/>
  <c r="G50" i="43"/>
  <c r="G44" i="43"/>
  <c r="D42" i="43"/>
  <c r="D33" i="43"/>
  <c r="U3" i="43"/>
  <c r="U2" i="43"/>
  <c r="Q72" i="82"/>
  <c r="Q59" i="82"/>
  <c r="K59" i="82"/>
  <c r="P74" i="82" s="1"/>
  <c r="F59" i="82"/>
  <c r="Q58" i="82"/>
  <c r="J52" i="82"/>
  <c r="Q51" i="82"/>
  <c r="J51" i="82"/>
  <c r="J50" i="82"/>
  <c r="J49" i="82"/>
  <c r="M47" i="82"/>
  <c r="D46" i="82"/>
  <c r="F34" i="82"/>
  <c r="F62" i="82" s="1"/>
  <c r="F33" i="82"/>
  <c r="F61" i="82" s="1"/>
  <c r="F32" i="82"/>
  <c r="F60" i="82" s="1"/>
  <c r="F31" i="82"/>
  <c r="F28" i="82"/>
  <c r="C28" i="82" s="1"/>
  <c r="F23" i="82"/>
  <c r="D23" i="82" s="1"/>
  <c r="F21" i="82"/>
  <c r="M20" i="82"/>
  <c r="F20" i="82"/>
  <c r="M19" i="82"/>
  <c r="M18" i="82"/>
  <c r="F18" i="82"/>
  <c r="M17" i="82"/>
  <c r="F17" i="82"/>
  <c r="F15" i="82"/>
  <c r="G1" i="82"/>
  <c r="J52" i="15"/>
  <c r="J49" i="15"/>
  <c r="AH7" i="1"/>
  <c r="Y7" i="1"/>
  <c r="Y6" i="1"/>
  <c r="U19" i="1"/>
  <c r="U20" i="1" s="1"/>
  <c r="N7" i="1"/>
  <c r="N6" i="1"/>
  <c r="N19" i="1"/>
  <c r="K18" i="1"/>
  <c r="L18" i="1" s="1"/>
  <c r="B55" i="1"/>
  <c r="G20" i="6"/>
  <c r="F19" i="6"/>
  <c r="K13" i="3"/>
  <c r="I13" i="3"/>
  <c r="C651" i="81"/>
  <c r="C652" i="81" s="1"/>
  <c r="C627" i="81"/>
  <c r="C216" i="81"/>
  <c r="H76" i="81"/>
  <c r="H75" i="81"/>
  <c r="D663" i="80"/>
  <c r="D664" i="80" s="1"/>
  <c r="D639" i="80"/>
  <c r="D228" i="80"/>
  <c r="C76" i="82"/>
  <c r="U6" i="1" l="1"/>
  <c r="Q71" i="82"/>
  <c r="D24" i="82"/>
  <c r="P61" i="82"/>
  <c r="D22" i="82"/>
  <c r="L23" i="1"/>
  <c r="L24" i="1" s="1"/>
  <c r="F42" i="82"/>
  <c r="L47" i="82"/>
  <c r="F38" i="82"/>
  <c r="M29" i="82"/>
  <c r="M27" i="82"/>
  <c r="M6" i="82"/>
  <c r="M8" i="82"/>
  <c r="F7" i="82"/>
  <c r="F40" i="82"/>
  <c r="F6" i="82"/>
  <c r="M26" i="82"/>
  <c r="J15" i="82"/>
  <c r="M24" i="82"/>
  <c r="F16" i="82"/>
  <c r="F8" i="82"/>
  <c r="M22" i="82"/>
  <c r="F13" i="82"/>
  <c r="F9" i="82"/>
  <c r="F36" i="82"/>
  <c r="L48" i="82"/>
  <c r="F26" i="82"/>
  <c r="M23" i="82"/>
  <c r="M28" i="82"/>
  <c r="F37" i="82"/>
  <c r="F43" i="82"/>
  <c r="M9" i="82"/>
  <c r="C6" i="82" l="1"/>
  <c r="F68" i="82"/>
  <c r="F66" i="82"/>
  <c r="F71" i="82"/>
  <c r="L57" i="82"/>
  <c r="L56" i="82"/>
  <c r="L60" i="82"/>
  <c r="I54" i="82"/>
  <c r="J53" i="82"/>
  <c r="J57" i="82"/>
  <c r="J55" i="82" s="1"/>
  <c r="J58" i="82" s="1"/>
  <c r="Q50" i="82" s="1"/>
  <c r="C27" i="82"/>
  <c r="M7" i="82"/>
  <c r="J6" i="82" s="1"/>
  <c r="F50" i="82"/>
  <c r="F64" i="82"/>
  <c r="F51" i="82"/>
  <c r="N59" i="82"/>
  <c r="L58" i="82"/>
  <c r="M59" i="82"/>
  <c r="L59" i="82"/>
  <c r="F65" i="82"/>
  <c r="C17" i="82"/>
  <c r="C49" i="82" l="1"/>
  <c r="C61" i="82" s="1"/>
  <c r="Q74" i="82"/>
  <c r="Q61" i="82"/>
  <c r="F1" i="82"/>
  <c r="Q52" i="82"/>
  <c r="J19" i="82"/>
  <c r="J18" i="82"/>
  <c r="Q73" i="82"/>
  <c r="Q60" i="82"/>
  <c r="Q57" i="82"/>
  <c r="Q66" i="82"/>
  <c r="C33" i="82"/>
  <c r="C32" i="82"/>
  <c r="I12" i="79" l="1"/>
  <c r="AP34" i="79" l="1"/>
  <c r="AO34" i="79"/>
  <c r="AP35" i="79"/>
  <c r="AP36" i="79" s="1"/>
  <c r="AP37" i="79" s="1"/>
  <c r="AP38" i="79" s="1"/>
  <c r="AP39" i="79" s="1"/>
  <c r="AP40" i="79" s="1"/>
  <c r="AP41" i="79" s="1"/>
  <c r="AP42" i="79" s="1"/>
  <c r="AP43" i="79" s="1"/>
  <c r="AP44" i="79" s="1"/>
  <c r="AP45" i="79" s="1"/>
  <c r="AP46" i="79" s="1"/>
  <c r="AP47" i="79" s="1"/>
  <c r="AP48" i="79" s="1"/>
  <c r="AP49" i="79" s="1"/>
  <c r="AP50" i="79" s="1"/>
  <c r="AP51" i="79" s="1"/>
  <c r="AP52" i="79" s="1"/>
  <c r="AO35" i="79"/>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R40" i="79"/>
  <c r="AR41" i="79" s="1"/>
  <c r="AR42" i="79" s="1"/>
  <c r="AR43" i="79" s="1"/>
  <c r="AR44" i="79" s="1"/>
  <c r="AR45" i="79" s="1"/>
  <c r="AR46" i="79" s="1"/>
  <c r="AR47" i="79" s="1"/>
  <c r="AR48" i="79" s="1"/>
  <c r="AR49" i="79" s="1"/>
  <c r="AR50" i="79" s="1"/>
  <c r="AR51" i="79" s="1"/>
  <c r="AR52" i="79" s="1"/>
  <c r="AD38" i="79"/>
  <c r="AD37" i="79"/>
  <c r="AD36" i="79"/>
  <c r="Z3" i="79"/>
  <c r="S34" i="79"/>
  <c r="AG34" i="79" s="1"/>
  <c r="S35" i="79"/>
  <c r="AG35" i="79" s="1"/>
  <c r="S33" i="79"/>
  <c r="AG33" i="79" s="1"/>
  <c r="W40" i="79"/>
  <c r="AK40" i="79" s="1"/>
  <c r="AH40" i="79"/>
  <c r="AR19" i="79"/>
  <c r="AR20" i="79" s="1"/>
  <c r="AR21" i="79" s="1"/>
  <c r="AR22" i="79" s="1"/>
  <c r="AR23" i="79" s="1"/>
  <c r="AR24" i="79" s="1"/>
  <c r="T33" i="79"/>
  <c r="T35" i="79"/>
  <c r="T34"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11" i="79" l="1"/>
  <c r="AK11" i="79" s="1"/>
  <c r="AH11" i="79"/>
  <c r="W17" i="79"/>
  <c r="AK17" i="79" s="1"/>
  <c r="AH17" i="79"/>
  <c r="W10" i="79"/>
  <c r="AK10" i="79" s="1"/>
  <c r="AH10" i="79"/>
  <c r="W18" i="79"/>
  <c r="AK18" i="79" s="1"/>
  <c r="AH18" i="79"/>
  <c r="W20" i="79"/>
  <c r="AK20" i="79" s="1"/>
  <c r="AH20" i="79"/>
  <c r="W34" i="79"/>
  <c r="AK34" i="79" s="1"/>
  <c r="AH34"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C18" i="78"/>
  <c r="W15" i="79"/>
  <c r="AK15" i="79" s="1"/>
  <c r="AH15" i="79"/>
  <c r="W13" i="79"/>
  <c r="AK13" i="79" s="1"/>
  <c r="AH13" i="79"/>
  <c r="W48" i="79"/>
  <c r="AK48" i="79" s="1"/>
  <c r="AH48" i="79"/>
  <c r="W49" i="79"/>
  <c r="AK49" i="79" s="1"/>
  <c r="AH49" i="79"/>
  <c r="W43" i="79"/>
  <c r="AK43" i="79" s="1"/>
  <c r="AH43" i="79"/>
  <c r="W38" i="79"/>
  <c r="AK38" i="79" s="1"/>
  <c r="AH38" i="79"/>
  <c r="W33" i="79"/>
  <c r="AK33" i="79" s="1"/>
  <c r="AH33" i="79"/>
  <c r="W23" i="79"/>
  <c r="AK23" i="79" s="1"/>
  <c r="AH23" i="79"/>
  <c r="W12" i="79"/>
  <c r="AK12" i="79" s="1"/>
  <c r="AH12" i="79"/>
  <c r="W21" i="79"/>
  <c r="AK21" i="79" s="1"/>
  <c r="AH21" i="79"/>
  <c r="W47" i="79"/>
  <c r="AK47" i="79" s="1"/>
  <c r="AH47" i="79"/>
  <c r="W45" i="79"/>
  <c r="AK45" i="79" s="1"/>
  <c r="AH4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AB27" i="71" s="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O36" i="71"/>
  <c r="N36" i="71"/>
  <c r="Q35" i="71"/>
  <c r="AB35" i="71"/>
  <c r="P35" i="71"/>
  <c r="AA35" i="71" s="1"/>
  <c r="O35" i="71"/>
  <c r="N35" i="71"/>
  <c r="Q34" i="71"/>
  <c r="AB34" i="71"/>
  <c r="P34" i="71"/>
  <c r="AA34" i="71" s="1"/>
  <c r="O34" i="71"/>
  <c r="N34" i="71"/>
  <c r="Q33" i="71"/>
  <c r="F34" i="71" s="1"/>
  <c r="F35" i="71" s="1"/>
  <c r="F36" i="71" s="1"/>
  <c r="V36" i="71" s="1"/>
  <c r="P33" i="71"/>
  <c r="O33" i="71"/>
  <c r="N33" i="71"/>
  <c r="X25" i="71" s="1"/>
  <c r="D33" i="71"/>
  <c r="Q32" i="71"/>
  <c r="AB32" i="71" s="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X26" i="71" s="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U68" i="71"/>
  <c r="E67" i="71"/>
  <c r="E66" i="71" s="1"/>
  <c r="Q28" i="71"/>
  <c r="C59" i="71"/>
  <c r="D59" i="71" s="1"/>
  <c r="C63" i="71"/>
  <c r="C64" i="71" s="1"/>
  <c r="D62" i="71"/>
  <c r="T68" i="71"/>
  <c r="O68" i="71"/>
  <c r="D68" i="71"/>
  <c r="C67" i="71"/>
  <c r="D67" i="71" s="1"/>
  <c r="Q68" i="71"/>
  <c r="E71" i="71"/>
  <c r="E70" i="71"/>
  <c r="D72" i="71"/>
  <c r="C75" i="71"/>
  <c r="D76" i="71"/>
  <c r="D80" i="71"/>
  <c r="C87" i="71"/>
  <c r="C86" i="71" s="1"/>
  <c r="D86" i="71" s="1"/>
  <c r="F28" i="71"/>
  <c r="F27" i="71"/>
  <c r="F26" i="71"/>
  <c r="AA3" i="71"/>
  <c r="D63" i="71"/>
  <c r="D75" i="71"/>
  <c r="C74" i="71"/>
  <c r="D74" i="71" s="1"/>
  <c r="D87" i="71"/>
  <c r="C60" i="71"/>
  <c r="T60" i="71" s="1"/>
  <c r="P67"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F21" i="21"/>
  <c r="AA21" i="21" s="1"/>
  <c r="D81" i="21"/>
  <c r="G20" i="20"/>
  <c r="C25" i="40" s="1"/>
  <c r="C22" i="20"/>
  <c r="B100" i="43" s="1"/>
  <c r="C29" i="39"/>
  <c r="S18" i="36"/>
  <c r="S21" i="34"/>
  <c r="H25" i="40"/>
  <c r="AB25" i="40" s="1"/>
  <c r="J25" i="40"/>
  <c r="H29" i="39"/>
  <c r="AB29" i="39" s="1"/>
  <c r="J29" i="39"/>
  <c r="AC29" i="39" s="1"/>
  <c r="J18" i="36"/>
  <c r="AC18" i="36" s="1"/>
  <c r="H18" i="35"/>
  <c r="AB18" i="35" s="1"/>
  <c r="J18" i="35"/>
  <c r="AC18" i="35" s="1"/>
  <c r="H21" i="37"/>
  <c r="F21" i="37"/>
  <c r="AA21" i="37" s="1"/>
  <c r="H21" i="34"/>
  <c r="AB21" i="34" s="1"/>
  <c r="H21" i="33"/>
  <c r="U21" i="33" s="1"/>
  <c r="F21" i="33"/>
  <c r="S21" i="33" s="1"/>
  <c r="E83" i="21"/>
  <c r="F83" i="21" s="1"/>
  <c r="H1" i="69"/>
  <c r="AC25" i="40"/>
  <c r="W25" i="40"/>
  <c r="U29" i="39"/>
  <c r="W18" i="36"/>
  <c r="AB21" i="37"/>
  <c r="U21" i="37"/>
  <c r="AB21" i="33"/>
  <c r="AA21" i="33"/>
  <c r="J21" i="37"/>
  <c r="W21" i="37" s="1"/>
  <c r="J21" i="34"/>
  <c r="W21" i="34" s="1"/>
  <c r="J21" i="33"/>
  <c r="W21" i="33" s="1"/>
  <c r="H21" i="21"/>
  <c r="U21" i="21" s="1"/>
  <c r="F38" i="69"/>
  <c r="E37" i="69"/>
  <c r="F36" i="69"/>
  <c r="F35" i="69"/>
  <c r="F21" i="69"/>
  <c r="F40" i="69" s="1"/>
  <c r="F20" i="69"/>
  <c r="F39" i="69" s="1"/>
  <c r="E10" i="69"/>
  <c r="E9" i="69"/>
  <c r="C7" i="69"/>
  <c r="AC21" i="33"/>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L74" i="3" s="1"/>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L69" i="3" s="1"/>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L487" i="3" s="1"/>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L458" i="3" s="1"/>
  <c r="BN458" i="3"/>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S40" i="33" s="1"/>
  <c r="J41" i="33"/>
  <c r="D113" i="33"/>
  <c r="F37" i="33"/>
  <c r="D111" i="33"/>
  <c r="E111" i="33" s="1"/>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F38" i="40"/>
  <c r="AA38" i="40" s="1"/>
  <c r="D115" i="40"/>
  <c r="E115" i="40" s="1"/>
  <c r="F115" i="40"/>
  <c r="G115" i="40"/>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D100" i="40"/>
  <c r="E100" i="40" s="1"/>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AA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F8" i="39"/>
  <c r="AA8" i="39" s="1"/>
  <c r="C20" i="36"/>
  <c r="C20" i="35"/>
  <c r="C16" i="36"/>
  <c r="C16" i="35"/>
  <c r="C14" i="36"/>
  <c r="C14" i="35"/>
  <c r="B80" i="37"/>
  <c r="B110" i="37"/>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H26" i="37" s="1"/>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c r="J30" i="37"/>
  <c r="AC30" i="37" s="1"/>
  <c r="H30" i="37"/>
  <c r="F30" i="37"/>
  <c r="AA30" i="37" s="1"/>
  <c r="Q29" i="37"/>
  <c r="Z29" i="37" s="1"/>
  <c r="H29" i="37"/>
  <c r="AB29" i="37" s="1"/>
  <c r="Q28" i="37"/>
  <c r="Z28" i="37"/>
  <c r="Q27" i="37"/>
  <c r="Z27" i="37" s="1"/>
  <c r="Q26" i="37"/>
  <c r="Z26" i="37"/>
  <c r="Q25" i="37"/>
  <c r="Z25" i="37" s="1"/>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c r="D64" i="36"/>
  <c r="E64" i="36" s="1"/>
  <c r="F64" i="36"/>
  <c r="G64" i="36" s="1"/>
  <c r="J16" i="36"/>
  <c r="W16" i="36" s="1"/>
  <c r="D62" i="36"/>
  <c r="E62" i="36" s="1"/>
  <c r="F62" i="36" s="1"/>
  <c r="G62" i="36" s="1"/>
  <c r="B59" i="36"/>
  <c r="B57" i="36"/>
  <c r="H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U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W27" i="35"/>
  <c r="H27" i="35"/>
  <c r="U27" i="35" s="1"/>
  <c r="F27" i="35"/>
  <c r="AA27" i="35" s="1"/>
  <c r="J22" i="35"/>
  <c r="AC22" i="35" s="1"/>
  <c r="B101" i="35"/>
  <c r="H36" i="35" s="1"/>
  <c r="B99" i="35"/>
  <c r="B97" i="35"/>
  <c r="B77" i="35"/>
  <c r="B75" i="35"/>
  <c r="J24" i="35" s="1"/>
  <c r="AC24" i="35" s="1"/>
  <c r="B73" i="35"/>
  <c r="J23" i="35" s="1"/>
  <c r="AC23" i="35" s="1"/>
  <c r="H23" i="35"/>
  <c r="U23" i="35" s="1"/>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c r="J14" i="35"/>
  <c r="W14" i="35" s="1"/>
  <c r="C53" i="35"/>
  <c r="J9" i="35" s="1"/>
  <c r="P39" i="35"/>
  <c r="P38" i="35"/>
  <c r="V37" i="35"/>
  <c r="T37" i="35"/>
  <c r="R37" i="35"/>
  <c r="P37" i="35"/>
  <c r="Q36" i="35"/>
  <c r="Z36" i="35" s="1"/>
  <c r="J36" i="35"/>
  <c r="AC36" i="35" s="1"/>
  <c r="Q35" i="35"/>
  <c r="Z35" i="35"/>
  <c r="Q34" i="35"/>
  <c r="Z34" i="35" s="1"/>
  <c r="H34" i="35"/>
  <c r="AB34" i="35" s="1"/>
  <c r="Q33" i="35"/>
  <c r="Z33" i="35" s="1"/>
  <c r="Q32" i="35"/>
  <c r="Z32" i="35"/>
  <c r="H32" i="35"/>
  <c r="AB32" i="35" s="1"/>
  <c r="F32" i="35"/>
  <c r="AA32" i="35" s="1"/>
  <c r="Q31" i="35"/>
  <c r="Z31" i="35"/>
  <c r="AC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F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Q11" i="34"/>
  <c r="Z11" i="34" s="1"/>
  <c r="Q10" i="34"/>
  <c r="Z10" i="34"/>
  <c r="F10" i="34"/>
  <c r="AA10" i="34" s="1"/>
  <c r="Q9" i="34"/>
  <c r="Z9" i="34" s="1"/>
  <c r="J9" i="34"/>
  <c r="H9" i="34"/>
  <c r="J8" i="34"/>
  <c r="AC8" i="34" s="1"/>
  <c r="H8" i="34"/>
  <c r="U8" i="34" s="1"/>
  <c r="F8" i="34"/>
  <c r="D121" i="33"/>
  <c r="E121" i="33"/>
  <c r="F109" i="33"/>
  <c r="E109" i="33"/>
  <c r="D109" i="33"/>
  <c r="C109" i="33"/>
  <c r="D91" i="33"/>
  <c r="E91" i="33"/>
  <c r="B88" i="33"/>
  <c r="F26" i="33" s="1"/>
  <c r="J26" i="33"/>
  <c r="C23" i="33"/>
  <c r="C19" i="33"/>
  <c r="C17" i="33"/>
  <c r="C15" i="33"/>
  <c r="C15" i="21"/>
  <c r="D125" i="33"/>
  <c r="D123" i="33"/>
  <c r="D117" i="33"/>
  <c r="E117" i="33" s="1"/>
  <c r="F117" i="33"/>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B79" i="43"/>
  <c r="C18" i="20"/>
  <c r="B94" i="43" s="1"/>
  <c r="C17" i="20"/>
  <c r="B61" i="43"/>
  <c r="C16" i="20"/>
  <c r="C17" i="39" s="1"/>
  <c r="C15" i="20"/>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B126" i="21"/>
  <c r="B98" i="21"/>
  <c r="H31" i="21"/>
  <c r="B96" i="21"/>
  <c r="B94" i="21"/>
  <c r="J29" i="21" s="1"/>
  <c r="AC29" i="21"/>
  <c r="B92" i="21"/>
  <c r="B90" i="21"/>
  <c r="J27" i="21" s="1"/>
  <c r="W27" i="21"/>
  <c r="B74" i="21"/>
  <c r="B72" i="21"/>
  <c r="H13" i="21" s="1"/>
  <c r="B70" i="21"/>
  <c r="F12" i="21" s="1"/>
  <c r="C19" i="21"/>
  <c r="C17" i="21"/>
  <c r="C23" i="21"/>
  <c r="Q9" i="21"/>
  <c r="Z9" i="21"/>
  <c r="Q10" i="21"/>
  <c r="Z10" i="21" s="1"/>
  <c r="Q11" i="21"/>
  <c r="Z11" i="21" s="1"/>
  <c r="Q12" i="21"/>
  <c r="Z12" i="21" s="1"/>
  <c r="Q13" i="21"/>
  <c r="Z13" i="21"/>
  <c r="Q14" i="21"/>
  <c r="Z14" i="21" s="1"/>
  <c r="Q15" i="21"/>
  <c r="Z15" i="21"/>
  <c r="Q17" i="21"/>
  <c r="Z17" i="21" s="1"/>
  <c r="Q19" i="21"/>
  <c r="Z19" i="21"/>
  <c r="Q23" i="21"/>
  <c r="Z23" i="21" s="1"/>
  <c r="Q25" i="21"/>
  <c r="Z25" i="21" s="1"/>
  <c r="Q26" i="21"/>
  <c r="Z26" i="21" s="1"/>
  <c r="Q27" i="21"/>
  <c r="Z27" i="21"/>
  <c r="Q28" i="21"/>
  <c r="Z28" i="21" s="1"/>
  <c r="Q29" i="21"/>
  <c r="Z29" i="21"/>
  <c r="Q30" i="21"/>
  <c r="Z30" i="21" s="1"/>
  <c r="Q31" i="21"/>
  <c r="Z31" i="21"/>
  <c r="Q32" i="21"/>
  <c r="Z32" i="21" s="1"/>
  <c r="Q33" i="21"/>
  <c r="Z33" i="21" s="1"/>
  <c r="Q34" i="21"/>
  <c r="Z34" i="21" s="1"/>
  <c r="J35" i="21"/>
  <c r="W35" i="21"/>
  <c r="Q35" i="21"/>
  <c r="Z35" i="21" s="1"/>
  <c r="Q36" i="21"/>
  <c r="Z36" i="21"/>
  <c r="Q37" i="21"/>
  <c r="Z37" i="21" s="1"/>
  <c r="J38" i="21"/>
  <c r="W38" i="21"/>
  <c r="Q38" i="21"/>
  <c r="Z38" i="21" s="1"/>
  <c r="J39" i="21"/>
  <c r="AC39" i="21" s="1"/>
  <c r="Q39" i="21"/>
  <c r="Z39" i="21" s="1"/>
  <c r="H40" i="21"/>
  <c r="AB40" i="21"/>
  <c r="Q40" i="21"/>
  <c r="Z40" i="21" s="1"/>
  <c r="Q41" i="21"/>
  <c r="Z41" i="21"/>
  <c r="Q42" i="21"/>
  <c r="Z42" i="21" s="1"/>
  <c r="J43" i="21"/>
  <c r="AC43" i="21" s="1"/>
  <c r="Q43" i="21"/>
  <c r="Z43" i="21" s="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s="1"/>
  <c r="H43" i="21"/>
  <c r="AB43" i="21" s="1"/>
  <c r="F38" i="21"/>
  <c r="S38" i="21"/>
  <c r="F36" i="21"/>
  <c r="S36" i="21" s="1"/>
  <c r="F39" i="21"/>
  <c r="AA39" i="21"/>
  <c r="J40" i="21"/>
  <c r="W40" i="21" s="1"/>
  <c r="H35" i="21"/>
  <c r="AB35" i="21"/>
  <c r="J8" i="21"/>
  <c r="AC8" i="21" s="1"/>
  <c r="H8" i="21"/>
  <c r="U8" i="21" s="1"/>
  <c r="H10" i="21"/>
  <c r="AB10" i="21" s="1"/>
  <c r="H39" i="21"/>
  <c r="U39" i="21"/>
  <c r="J34" i="21"/>
  <c r="W34" i="21" s="1"/>
  <c r="H36" i="21"/>
  <c r="U36" i="21" s="1"/>
  <c r="F35" i="21"/>
  <c r="AA35" i="21" s="1"/>
  <c r="J10" i="21"/>
  <c r="AC10" i="21" s="1"/>
  <c r="H26" i="21"/>
  <c r="AB26" i="21" s="1"/>
  <c r="AB19" i="21"/>
  <c r="J19" i="21"/>
  <c r="W19" i="21"/>
  <c r="J26" i="21"/>
  <c r="W26" i="21" s="1"/>
  <c r="F26" i="21"/>
  <c r="S26" i="21"/>
  <c r="S41" i="21"/>
  <c r="AA41" i="21"/>
  <c r="F45" i="39"/>
  <c r="S45" i="39" s="1"/>
  <c r="J45" i="39"/>
  <c r="W45" i="39" s="1"/>
  <c r="F36" i="39"/>
  <c r="S36" i="39" s="1"/>
  <c r="H36" i="39"/>
  <c r="AB36" i="39" s="1"/>
  <c r="J35" i="39"/>
  <c r="AC35" i="39" s="1"/>
  <c r="F35" i="39"/>
  <c r="AA35" i="39"/>
  <c r="U9" i="39"/>
  <c r="W40" i="39"/>
  <c r="W25" i="37"/>
  <c r="W31" i="37"/>
  <c r="E103" i="37"/>
  <c r="F103" i="37" s="1"/>
  <c r="G103" i="37" s="1"/>
  <c r="H103" i="37" s="1"/>
  <c r="I103" i="37" s="1"/>
  <c r="J103" i="37" s="1"/>
  <c r="K103" i="37" s="1"/>
  <c r="L103" i="37" s="1"/>
  <c r="M103" i="37" s="1"/>
  <c r="F29" i="36"/>
  <c r="AA29" i="36" s="1"/>
  <c r="F16" i="36"/>
  <c r="AA16" i="36" s="1"/>
  <c r="W28" i="36"/>
  <c r="J33" i="36"/>
  <c r="AC33" i="36" s="1"/>
  <c r="H22" i="35"/>
  <c r="AB22" i="35"/>
  <c r="W28" i="35"/>
  <c r="U31" i="35"/>
  <c r="W22" i="35"/>
  <c r="U34" i="35"/>
  <c r="F36" i="34"/>
  <c r="J35" i="34"/>
  <c r="U34" i="34"/>
  <c r="H39" i="33"/>
  <c r="AB39" i="33" s="1"/>
  <c r="AA26" i="33"/>
  <c r="U33" i="33"/>
  <c r="U35" i="33"/>
  <c r="W33" i="33"/>
  <c r="W39" i="33"/>
  <c r="H39" i="37"/>
  <c r="AB39" i="37" s="1"/>
  <c r="S27" i="35"/>
  <c r="F11" i="40"/>
  <c r="AA11" i="40" s="1"/>
  <c r="H11" i="40"/>
  <c r="AB11" i="40"/>
  <c r="W8" i="40"/>
  <c r="AB39" i="40"/>
  <c r="U9" i="40"/>
  <c r="S34" i="40"/>
  <c r="U34" i="40"/>
  <c r="S38" i="40"/>
  <c r="F42" i="39"/>
  <c r="AA42" i="39" s="1"/>
  <c r="F41" i="39"/>
  <c r="S41" i="39" s="1"/>
  <c r="H40" i="39"/>
  <c r="AB40" i="39" s="1"/>
  <c r="H39" i="39"/>
  <c r="U39" i="39" s="1"/>
  <c r="S38" i="39"/>
  <c r="H34" i="39"/>
  <c r="U34" i="39" s="1"/>
  <c r="E108" i="39"/>
  <c r="F31" i="39"/>
  <c r="AA31" i="39" s="1"/>
  <c r="H19" i="39"/>
  <c r="AB19" i="39" s="1"/>
  <c r="F19" i="39"/>
  <c r="AA19" i="39" s="1"/>
  <c r="H17" i="39"/>
  <c r="AB17" i="39" s="1"/>
  <c r="F17" i="39"/>
  <c r="AA17" i="39" s="1"/>
  <c r="J23" i="40"/>
  <c r="AC23" i="40" s="1"/>
  <c r="F21" i="40"/>
  <c r="AA21" i="40" s="1"/>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AB36" i="40" s="1"/>
  <c r="F35" i="40"/>
  <c r="AA35" i="40"/>
  <c r="H23" i="40"/>
  <c r="AB23" i="40" s="1"/>
  <c r="H17" i="40"/>
  <c r="U17" i="40" s="1"/>
  <c r="J15" i="40"/>
  <c r="W15" i="40" s="1"/>
  <c r="J11" i="40"/>
  <c r="W11" i="40" s="1"/>
  <c r="AC12" i="34"/>
  <c r="AB12" i="35"/>
  <c r="AB12" i="36"/>
  <c r="W32" i="40"/>
  <c r="S44" i="39"/>
  <c r="F37" i="39"/>
  <c r="AA37" i="39" s="1"/>
  <c r="J34" i="36"/>
  <c r="W34" i="36" s="1"/>
  <c r="U30" i="36"/>
  <c r="J30" i="35"/>
  <c r="W30" i="35" s="1"/>
  <c r="H30" i="35"/>
  <c r="AB30" i="35" s="1"/>
  <c r="F22" i="35"/>
  <c r="AA22" i="35" s="1"/>
  <c r="H10" i="35"/>
  <c r="U10" i="35" s="1"/>
  <c r="F33" i="36"/>
  <c r="AA33" i="36" s="1"/>
  <c r="W30" i="36"/>
  <c r="H16" i="36"/>
  <c r="AB16" i="36"/>
  <c r="E85" i="36"/>
  <c r="F85" i="36" s="1"/>
  <c r="G85" i="36" s="1"/>
  <c r="H85" i="36" s="1"/>
  <c r="I85" i="36" s="1"/>
  <c r="J85" i="36" s="1"/>
  <c r="K85" i="36" s="1"/>
  <c r="L85" i="36" s="1"/>
  <c r="M85" i="36" s="1"/>
  <c r="J29" i="36"/>
  <c r="AC29" i="36" s="1"/>
  <c r="F12" i="36"/>
  <c r="F24" i="36"/>
  <c r="AA24" i="36"/>
  <c r="F34" i="36"/>
  <c r="S34" i="36" s="1"/>
  <c r="F14" i="35"/>
  <c r="AA14" i="35" s="1"/>
  <c r="F23" i="35"/>
  <c r="AA23" i="35" s="1"/>
  <c r="J32" i="35"/>
  <c r="AC32" i="35" s="1"/>
  <c r="J16" i="35"/>
  <c r="AC16" i="35" s="1"/>
  <c r="H16" i="35"/>
  <c r="U16" i="35"/>
  <c r="F16" i="35"/>
  <c r="S16" i="35" s="1"/>
  <c r="H14" i="35"/>
  <c r="AB14" i="35"/>
  <c r="J29" i="35"/>
  <c r="H33" i="35"/>
  <c r="J20" i="35"/>
  <c r="W20" i="35"/>
  <c r="F35" i="37"/>
  <c r="S35" i="37" s="1"/>
  <c r="E101" i="37"/>
  <c r="F101" i="37"/>
  <c r="G101" i="37"/>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s="1"/>
  <c r="F41" i="33"/>
  <c r="S41" i="33" s="1"/>
  <c r="AA41" i="33"/>
  <c r="S38" i="33"/>
  <c r="E113" i="33"/>
  <c r="F32" i="33"/>
  <c r="AA32" i="33"/>
  <c r="J19" i="33"/>
  <c r="AC19" i="33" s="1"/>
  <c r="J15" i="33"/>
  <c r="AC15" i="33"/>
  <c r="F11" i="33"/>
  <c r="AA11" i="33" s="1"/>
  <c r="S26" i="33"/>
  <c r="U40" i="33"/>
  <c r="W40" i="33"/>
  <c r="F37" i="40"/>
  <c r="AA37" i="40" s="1"/>
  <c r="F36" i="40"/>
  <c r="AA36" i="40"/>
  <c r="H28" i="40"/>
  <c r="U28" i="40" s="1"/>
  <c r="F23" i="40"/>
  <c r="AA23" i="40"/>
  <c r="F17" i="40"/>
  <c r="AA17" i="40" s="1"/>
  <c r="J17" i="40"/>
  <c r="W17" i="40"/>
  <c r="F15" i="40"/>
  <c r="S15" i="40" s="1"/>
  <c r="H15" i="40"/>
  <c r="AB15" i="40" s="1"/>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s="1"/>
  <c r="J17" i="34"/>
  <c r="W17" i="34" s="1"/>
  <c r="AB17" i="34"/>
  <c r="F113" i="33"/>
  <c r="G113" i="33"/>
  <c r="H113" i="33"/>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s="1"/>
  <c r="J42" i="21"/>
  <c r="AC42" i="21"/>
  <c r="H42" i="21"/>
  <c r="U42" i="21" s="1"/>
  <c r="J44" i="34"/>
  <c r="F44" i="34"/>
  <c r="S44" i="34" s="1"/>
  <c r="AA44" i="34"/>
  <c r="J10" i="35"/>
  <c r="AC10" i="35" s="1"/>
  <c r="J14" i="21"/>
  <c r="W14" i="21"/>
  <c r="F14" i="21"/>
  <c r="S14" i="21" s="1"/>
  <c r="H14" i="21"/>
  <c r="U14" i="21" s="1"/>
  <c r="H28" i="21"/>
  <c r="AB28" i="21" s="1"/>
  <c r="F28" i="21"/>
  <c r="AA28" i="21" s="1"/>
  <c r="J28" i="21"/>
  <c r="W28" i="21" s="1"/>
  <c r="H30" i="21"/>
  <c r="AB30" i="21" s="1"/>
  <c r="U30" i="21"/>
  <c r="F30" i="21"/>
  <c r="S30" i="21" s="1"/>
  <c r="J30" i="21"/>
  <c r="AC30" i="21"/>
  <c r="J44" i="21"/>
  <c r="AC44" i="21" s="1"/>
  <c r="H44" i="21"/>
  <c r="U44" i="21" s="1"/>
  <c r="F44" i="21"/>
  <c r="AA44" i="21" s="1"/>
  <c r="H46" i="21"/>
  <c r="U46" i="21" s="1"/>
  <c r="J46" i="21"/>
  <c r="F46" i="21"/>
  <c r="AA46" i="21"/>
  <c r="E119" i="21"/>
  <c r="F119" i="21" s="1"/>
  <c r="G119" i="21" s="1"/>
  <c r="H119" i="21" s="1"/>
  <c r="I119" i="21" s="1"/>
  <c r="J119" i="21" s="1"/>
  <c r="K119" i="21" s="1"/>
  <c r="L119" i="21" s="1"/>
  <c r="M119" i="21" s="1"/>
  <c r="H26" i="33"/>
  <c r="U26" i="33"/>
  <c r="H28" i="33"/>
  <c r="U28" i="33" s="1"/>
  <c r="F28" i="33"/>
  <c r="AA28" i="33"/>
  <c r="J28" i="33"/>
  <c r="W28" i="33" s="1"/>
  <c r="F33" i="35"/>
  <c r="S33" i="35"/>
  <c r="J33" i="35"/>
  <c r="AC33" i="35" s="1"/>
  <c r="F30" i="35"/>
  <c r="S30" i="35" s="1"/>
  <c r="E89" i="35"/>
  <c r="F89" i="35"/>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c r="F45" i="21"/>
  <c r="AA45" i="21" s="1"/>
  <c r="F27" i="33"/>
  <c r="AA27" i="33" s="1"/>
  <c r="J13" i="33"/>
  <c r="H13" i="33"/>
  <c r="U13" i="33" s="1"/>
  <c r="F13" i="33"/>
  <c r="S13" i="33" s="1"/>
  <c r="J29" i="33"/>
  <c r="H29" i="33"/>
  <c r="U29" i="33" s="1"/>
  <c r="F29" i="33"/>
  <c r="S29" i="33" s="1"/>
  <c r="J31" i="33"/>
  <c r="W31" i="33"/>
  <c r="H31" i="33"/>
  <c r="F31" i="33"/>
  <c r="H45" i="33"/>
  <c r="U45" i="33"/>
  <c r="J45" i="33"/>
  <c r="W45" i="33" s="1"/>
  <c r="F45" i="33"/>
  <c r="AA45" i="33"/>
  <c r="J14" i="34"/>
  <c r="W14" i="34" s="1"/>
  <c r="F14" i="34"/>
  <c r="S14" i="34" s="1"/>
  <c r="H14" i="34"/>
  <c r="H30" i="34"/>
  <c r="F30" i="34"/>
  <c r="S30" i="34" s="1"/>
  <c r="J30" i="34"/>
  <c r="H32" i="34"/>
  <c r="F32" i="34"/>
  <c r="J32" i="34"/>
  <c r="W32" i="34" s="1"/>
  <c r="H46" i="34"/>
  <c r="AB46" i="34" s="1"/>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c r="F40" i="37"/>
  <c r="AA40" i="37" s="1"/>
  <c r="H14" i="33"/>
  <c r="U14" i="33" s="1"/>
  <c r="F14" i="33"/>
  <c r="S14" i="33" s="1"/>
  <c r="J14" i="33"/>
  <c r="H30" i="33"/>
  <c r="AB30" i="33"/>
  <c r="F30" i="33"/>
  <c r="J30" i="33"/>
  <c r="H44" i="33"/>
  <c r="J44" i="33"/>
  <c r="W44" i="33" s="1"/>
  <c r="F44" i="33"/>
  <c r="S44" i="33" s="1"/>
  <c r="J46" i="33"/>
  <c r="AC46" i="33"/>
  <c r="F46" i="33"/>
  <c r="AA46" i="33" s="1"/>
  <c r="H46" i="33"/>
  <c r="AB46" i="33"/>
  <c r="H13" i="34"/>
  <c r="U13" i="34" s="1"/>
  <c r="J13" i="34"/>
  <c r="W13" i="34" s="1"/>
  <c r="F13" i="34"/>
  <c r="AA13" i="34" s="1"/>
  <c r="J29" i="34"/>
  <c r="F29" i="34"/>
  <c r="S29" i="34" s="1"/>
  <c r="H29" i="34"/>
  <c r="AB29" i="34" s="1"/>
  <c r="J31" i="34"/>
  <c r="W31" i="34" s="1"/>
  <c r="H31" i="34"/>
  <c r="F31" i="34"/>
  <c r="S31" i="34"/>
  <c r="H45" i="34"/>
  <c r="U45" i="34" s="1"/>
  <c r="J45" i="34"/>
  <c r="W45" i="34"/>
  <c r="F45" i="34"/>
  <c r="S45" i="34" s="1"/>
  <c r="H47" i="34"/>
  <c r="U47" i="34" s="1"/>
  <c r="F47" i="34"/>
  <c r="S47" i="34" s="1"/>
  <c r="J47" i="34"/>
  <c r="AC47" i="34" s="1"/>
  <c r="F13" i="35"/>
  <c r="J13" i="35"/>
  <c r="AC13" i="35"/>
  <c r="H13" i="35"/>
  <c r="U13" i="35" s="1"/>
  <c r="J25" i="35"/>
  <c r="W25" i="35"/>
  <c r="F25" i="35"/>
  <c r="S25" i="35" s="1"/>
  <c r="H25" i="35"/>
  <c r="AB25" i="35" s="1"/>
  <c r="J35" i="35"/>
  <c r="AC35" i="35" s="1"/>
  <c r="F35" i="35"/>
  <c r="AA35" i="35" s="1"/>
  <c r="H35" i="35"/>
  <c r="J25" i="36"/>
  <c r="W25" i="36"/>
  <c r="F25" i="36"/>
  <c r="S25" i="36" s="1"/>
  <c r="H25" i="36"/>
  <c r="AB25" i="36"/>
  <c r="H13" i="37"/>
  <c r="AB13" i="37" s="1"/>
  <c r="F13" i="37"/>
  <c r="S13" i="37" s="1"/>
  <c r="J13" i="37"/>
  <c r="W13" i="37" s="1"/>
  <c r="F28" i="37"/>
  <c r="AA28" i="37" s="1"/>
  <c r="J28" i="37"/>
  <c r="AC28" i="37" s="1"/>
  <c r="H28" i="37"/>
  <c r="H38" i="37"/>
  <c r="AB38" i="37" s="1"/>
  <c r="J38" i="37"/>
  <c r="AC38" i="37" s="1"/>
  <c r="F38" i="37"/>
  <c r="S38" i="37"/>
  <c r="F43" i="39"/>
  <c r="AA43" i="39" s="1"/>
  <c r="H43" i="39"/>
  <c r="J14" i="39"/>
  <c r="AC14" i="39" s="1"/>
  <c r="F14" i="39"/>
  <c r="H14" i="39"/>
  <c r="AB14" i="39" s="1"/>
  <c r="F12" i="40"/>
  <c r="S12" i="40"/>
  <c r="H12" i="40"/>
  <c r="AB12" i="40" s="1"/>
  <c r="H30" i="40"/>
  <c r="AB30" i="40"/>
  <c r="F33" i="40"/>
  <c r="AA33" i="40" s="1"/>
  <c r="H33" i="40"/>
  <c r="U33" i="40"/>
  <c r="J35" i="40"/>
  <c r="AC35" i="40" s="1"/>
  <c r="J37" i="40"/>
  <c r="AC37" i="40"/>
  <c r="H13" i="40"/>
  <c r="U13" i="40" s="1"/>
  <c r="J13" i="40"/>
  <c r="W13" i="40"/>
  <c r="F13" i="40"/>
  <c r="AA13" i="40" s="1"/>
  <c r="F14" i="37"/>
  <c r="AA14" i="37" s="1"/>
  <c r="S14" i="37"/>
  <c r="F27" i="37"/>
  <c r="AA27" i="37" s="1"/>
  <c r="F13" i="39"/>
  <c r="J13" i="39"/>
  <c r="W13" i="39" s="1"/>
  <c r="H13" i="39"/>
  <c r="H14" i="40"/>
  <c r="AB14" i="40"/>
  <c r="J14" i="40"/>
  <c r="W14" i="40" s="1"/>
  <c r="F14" i="40"/>
  <c r="AA14" i="40" s="1"/>
  <c r="J14" i="37"/>
  <c r="J27" i="37"/>
  <c r="AC27" i="37" s="1"/>
  <c r="AA44" i="33"/>
  <c r="U46" i="33"/>
  <c r="AA14" i="33"/>
  <c r="J36" i="37"/>
  <c r="AC36" i="37" s="1"/>
  <c r="J10" i="36"/>
  <c r="AC10" i="36" s="1"/>
  <c r="AB26" i="33"/>
  <c r="S11" i="36"/>
  <c r="S45" i="33"/>
  <c r="AB45" i="33"/>
  <c r="AC28" i="21"/>
  <c r="BA586" i="3"/>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AZ534" i="3" s="1"/>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BA574" i="3"/>
  <c r="BA572" i="3"/>
  <c r="AZ572" i="3" s="1"/>
  <c r="BA570" i="3"/>
  <c r="AZ570" i="3" s="1"/>
  <c r="BA568" i="3"/>
  <c r="BA566" i="3"/>
  <c r="AZ566" i="3" s="1"/>
  <c r="BA564" i="3"/>
  <c r="AZ564" i="3" s="1"/>
  <c r="BA562" i="3"/>
  <c r="BA560" i="3"/>
  <c r="BA558" i="3"/>
  <c r="AZ558" i="3"/>
  <c r="BA556" i="3"/>
  <c r="AZ556" i="3" s="1"/>
  <c r="BA554" i="3"/>
  <c r="AZ554" i="3"/>
  <c r="BA552" i="3"/>
  <c r="AZ552" i="3" s="1"/>
  <c r="BA548" i="3"/>
  <c r="BA546" i="3"/>
  <c r="AZ546" i="3" s="1"/>
  <c r="BA544" i="3"/>
  <c r="AZ544" i="3" s="1"/>
  <c r="BA542" i="3"/>
  <c r="AZ542" i="3"/>
  <c r="BA540" i="3"/>
  <c r="BA538" i="3"/>
  <c r="AZ538" i="3"/>
  <c r="BA536" i="3"/>
  <c r="AZ536" i="3" s="1"/>
  <c r="BA534" i="3"/>
  <c r="BA532" i="3"/>
  <c r="AZ532" i="3" s="1"/>
  <c r="BA530" i="3"/>
  <c r="BA528" i="3"/>
  <c r="BA526" i="3"/>
  <c r="AZ526" i="3" s="1"/>
  <c r="BA524" i="3"/>
  <c r="AZ524" i="3" s="1"/>
  <c r="BA522" i="3"/>
  <c r="BA520" i="3"/>
  <c r="BA518" i="3"/>
  <c r="AZ518" i="3" s="1"/>
  <c r="BA516" i="3"/>
  <c r="BA514" i="3"/>
  <c r="BA512" i="3"/>
  <c r="AZ512" i="3"/>
  <c r="BA510" i="3"/>
  <c r="AZ510" i="3" s="1"/>
  <c r="BA508" i="3"/>
  <c r="AZ508" i="3" s="1"/>
  <c r="BA506" i="3"/>
  <c r="BA504" i="3"/>
  <c r="AZ504" i="3" s="1"/>
  <c r="BA502" i="3"/>
  <c r="BA500" i="3"/>
  <c r="BA498" i="3"/>
  <c r="AZ498" i="3" s="1"/>
  <c r="BA496" i="3"/>
  <c r="BA494" i="3"/>
  <c r="AZ494" i="3" s="1"/>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c r="BQ579" i="3"/>
  <c r="BL579" i="3" s="1"/>
  <c r="BQ577" i="3"/>
  <c r="BL577" i="3" s="1"/>
  <c r="AZ577" i="3" s="1"/>
  <c r="BQ575" i="3"/>
  <c r="BL575" i="3" s="1"/>
  <c r="BQ573" i="3"/>
  <c r="BL573" i="3" s="1"/>
  <c r="BQ571" i="3"/>
  <c r="BL571" i="3"/>
  <c r="BQ569" i="3"/>
  <c r="BL569" i="3" s="1"/>
  <c r="AZ569" i="3" s="1"/>
  <c r="BQ567" i="3"/>
  <c r="BL567" i="3"/>
  <c r="BQ565" i="3"/>
  <c r="BL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Q547" i="3"/>
  <c r="BL547" i="3" s="1"/>
  <c r="BQ545" i="3"/>
  <c r="BL545" i="3"/>
  <c r="BQ543" i="3"/>
  <c r="BL543" i="3" s="1"/>
  <c r="AZ543" i="3" s="1"/>
  <c r="BQ541" i="3"/>
  <c r="BL541" i="3"/>
  <c r="AZ541" i="3" s="1"/>
  <c r="BQ539" i="3"/>
  <c r="BL539" i="3" s="1"/>
  <c r="AZ539" i="3" s="1"/>
  <c r="BQ537" i="3"/>
  <c r="BL537" i="3" s="1"/>
  <c r="BQ535" i="3"/>
  <c r="BL535" i="3" s="1"/>
  <c r="AZ535" i="3" s="1"/>
  <c r="BQ533" i="3"/>
  <c r="BL533" i="3" s="1"/>
  <c r="AZ533" i="3" s="1"/>
  <c r="BQ531" i="3"/>
  <c r="BL531" i="3" s="1"/>
  <c r="BQ529" i="3"/>
  <c r="BL529" i="3"/>
  <c r="BQ527" i="3"/>
  <c r="BL527" i="3" s="1"/>
  <c r="BQ525" i="3"/>
  <c r="BL525" i="3"/>
  <c r="AZ525" i="3" s="1"/>
  <c r="BQ523" i="3"/>
  <c r="BL523" i="3" s="1"/>
  <c r="BA521" i="3"/>
  <c r="AC521" i="3"/>
  <c r="G521" i="3"/>
  <c r="BQ521" i="3"/>
  <c r="BL521" i="3" s="1"/>
  <c r="AZ521" i="3" s="1"/>
  <c r="BL520" i="3"/>
  <c r="AZ520" i="3"/>
  <c r="G519" i="3"/>
  <c r="G517" i="3"/>
  <c r="G515" i="3"/>
  <c r="G513" i="3"/>
  <c r="G511" i="3"/>
  <c r="BQ519" i="3"/>
  <c r="BL519" i="3" s="1"/>
  <c r="BQ517" i="3"/>
  <c r="BL517" i="3"/>
  <c r="BQ515" i="3"/>
  <c r="BL515" i="3" s="1"/>
  <c r="AZ515" i="3" s="1"/>
  <c r="BQ513" i="3"/>
  <c r="BL513" i="3"/>
  <c r="BQ511" i="3"/>
  <c r="BL511" i="3" s="1"/>
  <c r="AZ511" i="3" s="1"/>
  <c r="BA509" i="3"/>
  <c r="AC509" i="3"/>
  <c r="BQ509" i="3"/>
  <c r="BL509" i="3"/>
  <c r="BL508" i="3"/>
  <c r="G507" i="3"/>
  <c r="G505" i="3"/>
  <c r="G503" i="3"/>
  <c r="G501" i="3"/>
  <c r="G499" i="3"/>
  <c r="G497" i="3"/>
  <c r="G495" i="3"/>
  <c r="BQ507" i="3"/>
  <c r="BQ505" i="3"/>
  <c r="BL505" i="3"/>
  <c r="AZ505" i="3" s="1"/>
  <c r="BQ503" i="3"/>
  <c r="BL503" i="3" s="1"/>
  <c r="BQ501" i="3"/>
  <c r="BL501" i="3"/>
  <c r="BQ499" i="3"/>
  <c r="BL499" i="3" s="1"/>
  <c r="AZ499" i="3" s="1"/>
  <c r="BQ497" i="3"/>
  <c r="BL497" i="3"/>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1" i="40"/>
  <c r="AA31" i="40"/>
  <c r="H31" i="40"/>
  <c r="U31" i="40" s="1"/>
  <c r="F32" i="40"/>
  <c r="S32" i="40"/>
  <c r="H32" i="40"/>
  <c r="AB32" i="40" s="1"/>
  <c r="J36" i="40"/>
  <c r="W36" i="40"/>
  <c r="H19" i="37"/>
  <c r="AB19" i="37" s="1"/>
  <c r="H42" i="33"/>
  <c r="AB42" i="33" s="1"/>
  <c r="J43" i="33"/>
  <c r="AC43" i="33" s="1"/>
  <c r="S28" i="31"/>
  <c r="S27" i="31"/>
  <c r="S26" i="31"/>
  <c r="U14" i="40"/>
  <c r="W23" i="35"/>
  <c r="U39" i="37"/>
  <c r="AC36" i="34"/>
  <c r="AA13" i="33"/>
  <c r="AC31" i="33"/>
  <c r="AC45" i="33"/>
  <c r="U11" i="33"/>
  <c r="U19" i="21"/>
  <c r="W44" i="21"/>
  <c r="AB38" i="21"/>
  <c r="F43" i="33"/>
  <c r="AA43" i="33"/>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H5" i="3"/>
  <c r="AA25" i="21"/>
  <c r="H19" i="40"/>
  <c r="U19" i="40" s="1"/>
  <c r="F88" i="40"/>
  <c r="G88" i="40" s="1"/>
  <c r="F19" i="40"/>
  <c r="S19" i="40" s="1"/>
  <c r="S14" i="40"/>
  <c r="AC13"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G4" i="4"/>
  <c r="I4" i="4"/>
  <c r="A2" i="9"/>
  <c r="F61" i="43"/>
  <c r="H64" i="43" s="1"/>
  <c r="AZ497" i="3"/>
  <c r="BL549" i="3"/>
  <c r="AZ549" i="3" s="1"/>
  <c r="AZ514" i="3"/>
  <c r="AZ522"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s="1"/>
  <c r="BL378" i="3"/>
  <c r="G379" i="3"/>
  <c r="BA380" i="3"/>
  <c r="AZ380" i="3" s="1"/>
  <c r="G388" i="3"/>
  <c r="BL389" i="3"/>
  <c r="G390" i="3"/>
  <c r="BL391" i="3"/>
  <c r="BA393" i="3"/>
  <c r="BA394" i="3"/>
  <c r="BL394" i="3"/>
  <c r="G113" i="3"/>
  <c r="BA115" i="3"/>
  <c r="AZ115" i="3" s="1"/>
  <c r="BL116" i="3"/>
  <c r="G117" i="3"/>
  <c r="BA119" i="3"/>
  <c r="BL120" i="3"/>
  <c r="G121" i="3"/>
  <c r="BA123" i="3"/>
  <c r="BL124" i="3"/>
  <c r="G125" i="3"/>
  <c r="BA127" i="3"/>
  <c r="AZ127" i="3" s="1"/>
  <c r="BL128" i="3"/>
  <c r="G129" i="3"/>
  <c r="BA131" i="3"/>
  <c r="BL132" i="3"/>
  <c r="AZ132" i="3" s="1"/>
  <c r="G133" i="3"/>
  <c r="BA135" i="3"/>
  <c r="AZ135" i="3" s="1"/>
  <c r="BL136" i="3"/>
  <c r="G137" i="3"/>
  <c r="BA139" i="3"/>
  <c r="BL140" i="3"/>
  <c r="AZ140" i="3" s="1"/>
  <c r="G141" i="3"/>
  <c r="BA143" i="3"/>
  <c r="BL144" i="3"/>
  <c r="G145" i="3"/>
  <c r="BA147" i="3"/>
  <c r="BL148" i="3"/>
  <c r="AZ148" i="3"/>
  <c r="G149" i="3"/>
  <c r="BA151" i="3"/>
  <c r="BL152" i="3"/>
  <c r="G153" i="3"/>
  <c r="BA155" i="3"/>
  <c r="BL156" i="3"/>
  <c r="G157" i="3"/>
  <c r="BA159" i="3"/>
  <c r="BL160" i="3"/>
  <c r="AZ160" i="3" s="1"/>
  <c r="G161" i="3"/>
  <c r="BA163" i="3"/>
  <c r="AZ163" i="3" s="1"/>
  <c r="BL164" i="3"/>
  <c r="G165" i="3"/>
  <c r="BA167" i="3"/>
  <c r="BL168" i="3"/>
  <c r="G169" i="3"/>
  <c r="BA171" i="3"/>
  <c r="BL172" i="3"/>
  <c r="G173" i="3"/>
  <c r="BA175" i="3"/>
  <c r="AZ175" i="3" s="1"/>
  <c r="BL176" i="3"/>
  <c r="G177" i="3"/>
  <c r="BA179" i="3"/>
  <c r="AZ179" i="3" s="1"/>
  <c r="BL180" i="3"/>
  <c r="G181" i="3"/>
  <c r="BA183" i="3"/>
  <c r="BL184" i="3"/>
  <c r="G185" i="3"/>
  <c r="BA187" i="3"/>
  <c r="BL188" i="3"/>
  <c r="AZ188" i="3" s="1"/>
  <c r="G189" i="3"/>
  <c r="BA191" i="3"/>
  <c r="BL192" i="3"/>
  <c r="G193" i="3"/>
  <c r="BA195" i="3"/>
  <c r="AZ195" i="3"/>
  <c r="BL196" i="3"/>
  <c r="G197" i="3"/>
  <c r="BA199" i="3"/>
  <c r="BL200" i="3"/>
  <c r="G201" i="3"/>
  <c r="BA203" i="3"/>
  <c r="BL204" i="3"/>
  <c r="AZ79" i="3"/>
  <c r="AZ152" i="3"/>
  <c r="AZ168" i="3"/>
  <c r="G534" i="3"/>
  <c r="G530" i="3"/>
  <c r="G522" i="3"/>
  <c r="G516" i="3"/>
  <c r="G512" i="3"/>
  <c r="G506" i="3"/>
  <c r="G498" i="3"/>
  <c r="G494" i="3"/>
  <c r="G16" i="3"/>
  <c r="G15" i="3"/>
  <c r="BA304" i="3"/>
  <c r="AZ304" i="3" s="1"/>
  <c r="BA305" i="3"/>
  <c r="AZ305" i="3" s="1"/>
  <c r="BL305" i="3"/>
  <c r="G306" i="3"/>
  <c r="G309" i="3"/>
  <c r="BL310" i="3"/>
  <c r="AZ310" i="3" s="1"/>
  <c r="BA312" i="3"/>
  <c r="BA313" i="3"/>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BL342" i="3"/>
  <c r="AZ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54" i="3"/>
  <c r="AZ194" i="3"/>
  <c r="AZ198" i="3"/>
  <c r="AZ500" i="3"/>
  <c r="BA16" i="3"/>
  <c r="BL303" i="3"/>
  <c r="AZ303" i="3" s="1"/>
  <c r="G304" i="3"/>
  <c r="BA306" i="3"/>
  <c r="BL307" i="3"/>
  <c r="AZ307" i="3" s="1"/>
  <c r="G308" i="3"/>
  <c r="BA310" i="3"/>
  <c r="BL311" i="3"/>
  <c r="AZ311" i="3" s="1"/>
  <c r="G312" i="3"/>
  <c r="BA314" i="3"/>
  <c r="AZ314" i="3"/>
  <c r="BL315" i="3"/>
  <c r="G316" i="3"/>
  <c r="BA318" i="3"/>
  <c r="AZ318" i="3" s="1"/>
  <c r="BL319" i="3"/>
  <c r="G320" i="3"/>
  <c r="BA322" i="3"/>
  <c r="BL323" i="3"/>
  <c r="G324" i="3"/>
  <c r="BA326" i="3"/>
  <c r="AZ326" i="3" s="1"/>
  <c r="BL327" i="3"/>
  <c r="AZ327" i="3"/>
  <c r="G328" i="3"/>
  <c r="BA330" i="3"/>
  <c r="BL331" i="3"/>
  <c r="AZ331" i="3" s="1"/>
  <c r="G332" i="3"/>
  <c r="BA334" i="3"/>
  <c r="BL335" i="3"/>
  <c r="G336" i="3"/>
  <c r="BA338" i="3"/>
  <c r="AZ338" i="3" s="1"/>
  <c r="BL339" i="3"/>
  <c r="AZ339" i="3" s="1"/>
  <c r="G340" i="3"/>
  <c r="BL343" i="3"/>
  <c r="G344" i="3"/>
  <c r="G348" i="3"/>
  <c r="G355" i="3"/>
  <c r="AZ214" i="3"/>
  <c r="AZ335" i="3"/>
  <c r="G342" i="3"/>
  <c r="BL345" i="3"/>
  <c r="AZ345" i="3" s="1"/>
  <c r="G346" i="3"/>
  <c r="BL349" i="3"/>
  <c r="BL352" i="3"/>
  <c r="G353" i="3"/>
  <c r="BA357" i="3"/>
  <c r="BL358" i="3"/>
  <c r="G359" i="3"/>
  <c r="BA361" i="3"/>
  <c r="AZ361" i="3"/>
  <c r="BL362" i="3"/>
  <c r="AZ362" i="3" s="1"/>
  <c r="G363" i="3"/>
  <c r="BA365" i="3"/>
  <c r="BL366" i="3"/>
  <c r="AZ366" i="3" s="1"/>
  <c r="G367" i="3"/>
  <c r="BA369" i="3"/>
  <c r="AZ369" i="3"/>
  <c r="BL370" i="3"/>
  <c r="G371" i="3"/>
  <c r="BA373" i="3"/>
  <c r="AZ373" i="3"/>
  <c r="BL374" i="3"/>
  <c r="G375" i="3"/>
  <c r="BA377" i="3"/>
  <c r="AZ377" i="3"/>
  <c r="AZ241" i="3"/>
  <c r="BA379" i="3"/>
  <c r="AZ379" i="3" s="1"/>
  <c r="BL380" i="3"/>
  <c r="G381" i="3"/>
  <c r="BA383" i="3"/>
  <c r="AZ383" i="3" s="1"/>
  <c r="BL384" i="3"/>
  <c r="G385" i="3"/>
  <c r="BA387" i="3"/>
  <c r="AZ387" i="3" s="1"/>
  <c r="BL388" i="3"/>
  <c r="G389" i="3"/>
  <c r="BA391" i="3"/>
  <c r="BL392" i="3"/>
  <c r="G393" i="3"/>
  <c r="BO5" i="3"/>
  <c r="BM5" i="3"/>
  <c r="BJ5" i="3"/>
  <c r="BH5" i="3"/>
  <c r="BF5" i="3"/>
  <c r="BD5" i="3"/>
  <c r="AZ325" i="3"/>
  <c r="AC5" i="3"/>
  <c r="AZ506" i="3"/>
  <c r="AZ496" i="3"/>
  <c r="G548" i="3"/>
  <c r="G538" i="3"/>
  <c r="G520" i="3"/>
  <c r="G502" i="3"/>
  <c r="BS5" i="3"/>
  <c r="BP5" i="3"/>
  <c r="BN5" i="3"/>
  <c r="BK5" i="3"/>
  <c r="BI5" i="3"/>
  <c r="BG5" i="3"/>
  <c r="BE5" i="3"/>
  <c r="BC5" i="3"/>
  <c r="G17" i="3"/>
  <c r="BA17" i="3"/>
  <c r="BT5" i="3"/>
  <c r="AZ350" i="3"/>
  <c r="AZ356" i="3"/>
  <c r="BA15" i="3"/>
  <c r="AZ15" i="3" s="1"/>
  <c r="BB5" i="3"/>
  <c r="BR5" i="3"/>
  <c r="AZ392" i="3"/>
  <c r="AZ509" i="3"/>
  <c r="G509" i="3"/>
  <c r="BL493" i="3"/>
  <c r="AZ493" i="3" s="1"/>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c r="J27" i="40"/>
  <c r="AC27" i="40" s="1"/>
  <c r="F27" i="40"/>
  <c r="S27" i="40"/>
  <c r="J30" i="40"/>
  <c r="AC30" i="40" s="1"/>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6" i="3"/>
  <c r="AZ130" i="3"/>
  <c r="F23" i="39"/>
  <c r="AA23" i="39"/>
  <c r="H27" i="36"/>
  <c r="U27" i="36" s="1"/>
  <c r="F27" i="36"/>
  <c r="AA27" i="36" s="1"/>
  <c r="H33" i="34"/>
  <c r="AB33" i="34" s="1"/>
  <c r="U33" i="34"/>
  <c r="F32" i="37"/>
  <c r="AA32" i="37" s="1"/>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12" i="3"/>
  <c r="AZ433" i="3"/>
  <c r="W12" i="33"/>
  <c r="AC12" i="33"/>
  <c r="AA32" i="36"/>
  <c r="S32" i="36"/>
  <c r="AZ437" i="3"/>
  <c r="AZ473" i="3"/>
  <c r="BL14" i="3"/>
  <c r="U30" i="33"/>
  <c r="AC13" i="34"/>
  <c r="AA47" i="34"/>
  <c r="W28" i="37"/>
  <c r="S19" i="39"/>
  <c r="F12" i="33"/>
  <c r="H12" i="39"/>
  <c r="AB12" i="39"/>
  <c r="F39" i="40"/>
  <c r="BA14" i="3"/>
  <c r="AZ254" i="3"/>
  <c r="AZ173" i="3"/>
  <c r="AZ181"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AA32" i="39" s="1"/>
  <c r="F106" i="39"/>
  <c r="G106" i="39" s="1"/>
  <c r="H106" i="39" s="1"/>
  <c r="I106" i="39" s="1"/>
  <c r="J106" i="39" s="1"/>
  <c r="K106" i="39" s="1"/>
  <c r="L106" i="39" s="1"/>
  <c r="M106" i="39" s="1"/>
  <c r="U25" i="39"/>
  <c r="AB27" i="39"/>
  <c r="U31" i="39"/>
  <c r="J21" i="39"/>
  <c r="W21" i="39" s="1"/>
  <c r="F21" i="39"/>
  <c r="G94" i="39"/>
  <c r="H21" i="39"/>
  <c r="U21" i="39" s="1"/>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U32" i="37"/>
  <c r="W38" i="37"/>
  <c r="AC35"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AB41" i="34"/>
  <c r="AA45" i="34"/>
  <c r="AA25" i="34"/>
  <c r="U28" i="34"/>
  <c r="S17" i="34"/>
  <c r="AA29" i="34"/>
  <c r="U27" i="34"/>
  <c r="S23" i="34"/>
  <c r="U15" i="34"/>
  <c r="S13" i="34"/>
  <c r="H10" i="34"/>
  <c r="AB10" i="34" s="1"/>
  <c r="F11" i="34"/>
  <c r="S11" i="34" s="1"/>
  <c r="W42" i="33"/>
  <c r="AA35" i="33"/>
  <c r="S27" i="33"/>
  <c r="S32" i="33"/>
  <c r="AA29" i="33"/>
  <c r="AB29" i="33"/>
  <c r="W38"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S46" i="33"/>
  <c r="W43" i="33"/>
  <c r="S43" i="33"/>
  <c r="F91" i="33"/>
  <c r="G91" i="33" s="1"/>
  <c r="H27" i="33"/>
  <c r="AB27" i="33" s="1"/>
  <c r="F87" i="33"/>
  <c r="H25" i="33"/>
  <c r="F25" i="33"/>
  <c r="J23" i="33"/>
  <c r="AC23" i="33" s="1"/>
  <c r="F85" i="33"/>
  <c r="H23" i="33"/>
  <c r="F81" i="33"/>
  <c r="G81" i="33" s="1"/>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M20" i="67"/>
  <c r="F34" i="15"/>
  <c r="F62" i="15" s="1"/>
  <c r="G13" i="3"/>
  <c r="BA13" i="3"/>
  <c r="BL17" i="3"/>
  <c r="AZ17" i="3"/>
  <c r="BL13" i="3"/>
  <c r="J56" i="9"/>
  <c r="J57" i="9" s="1"/>
  <c r="J59" i="9" s="1"/>
  <c r="J61" i="9" s="1"/>
  <c r="A24" i="51"/>
  <c r="B18" i="72" s="1"/>
  <c r="U29" i="34"/>
  <c r="E5" i="6"/>
  <c r="E32" i="6"/>
  <c r="G1" i="68"/>
  <c r="K1" i="12"/>
  <c r="E19" i="69"/>
  <c r="E19" i="68"/>
  <c r="E19" i="11"/>
  <c r="E1" i="73"/>
  <c r="G22" i="69"/>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J9" i="21"/>
  <c r="AC9" i="21" s="1"/>
  <c r="J32" i="21"/>
  <c r="W32" i="21" s="1"/>
  <c r="F32" i="21"/>
  <c r="AA31" i="21"/>
  <c r="U17" i="21"/>
  <c r="W29" i="21"/>
  <c r="S19" i="21"/>
  <c r="S9" i="21"/>
  <c r="AA9" i="21"/>
  <c r="K141" i="21"/>
  <c r="K144" i="21"/>
  <c r="K143" i="21"/>
  <c r="U27" i="21"/>
  <c r="AB25" i="21"/>
  <c r="AB44" i="21"/>
  <c r="AA30" i="21"/>
  <c r="W13" i="21"/>
  <c r="W42"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AA39" i="40"/>
  <c r="S39" i="40"/>
  <c r="S12" i="33"/>
  <c r="AA12" i="33"/>
  <c r="J32" i="39"/>
  <c r="AC32" i="39" s="1"/>
  <c r="H32" i="39"/>
  <c r="AB32" i="39" s="1"/>
  <c r="S32" i="39"/>
  <c r="AB21" i="39"/>
  <c r="AA21" i="39"/>
  <c r="S21" i="39"/>
  <c r="AC17" i="37"/>
  <c r="J19" i="37"/>
  <c r="W19" i="37" s="1"/>
  <c r="G75" i="37"/>
  <c r="AA19" i="37"/>
  <c r="J23" i="37"/>
  <c r="G79" i="37"/>
  <c r="J10" i="37"/>
  <c r="W10" i="37" s="1"/>
  <c r="G63" i="37"/>
  <c r="H63" i="37" s="1"/>
  <c r="I63" i="37" s="1"/>
  <c r="H11" i="37"/>
  <c r="AB11" i="37" s="1"/>
  <c r="G70" i="34"/>
  <c r="H11" i="34"/>
  <c r="U11" i="34" s="1"/>
  <c r="J10" i="34"/>
  <c r="AC10" i="34" s="1"/>
  <c r="AB41" i="33"/>
  <c r="U41" i="33"/>
  <c r="W35" i="33"/>
  <c r="AC35" i="33"/>
  <c r="J36" i="33"/>
  <c r="W36" i="33" s="1"/>
  <c r="H36" i="33"/>
  <c r="U36" i="33" s="1"/>
  <c r="S36" i="33"/>
  <c r="W32" i="33"/>
  <c r="U27" i="33"/>
  <c r="H91" i="33"/>
  <c r="I91" i="33"/>
  <c r="J91" i="33" s="1"/>
  <c r="K91" i="33" s="1"/>
  <c r="L91" i="33" s="1"/>
  <c r="M91" i="33" s="1"/>
  <c r="J27" i="33"/>
  <c r="U25" i="33"/>
  <c r="AB25" i="33"/>
  <c r="G87" i="33"/>
  <c r="H87" i="33"/>
  <c r="I87" i="33" s="1"/>
  <c r="J87" i="33" s="1"/>
  <c r="K87" i="33" s="1"/>
  <c r="L87" i="33" s="1"/>
  <c r="M87" i="33" s="1"/>
  <c r="J25" i="33"/>
  <c r="AB23" i="33"/>
  <c r="U23" i="33"/>
  <c r="F23" i="33"/>
  <c r="G85" i="33"/>
  <c r="H19" i="33"/>
  <c r="U19" i="33" s="1"/>
  <c r="H17" i="33"/>
  <c r="U17" i="33" s="1"/>
  <c r="F17" i="33"/>
  <c r="S17" i="33" s="1"/>
  <c r="W17" i="33"/>
  <c r="AC17" i="33"/>
  <c r="AA23" i="21"/>
  <c r="J23" i="21"/>
  <c r="F85" i="21"/>
  <c r="G85" i="21" s="1"/>
  <c r="H23" i="21"/>
  <c r="U23" i="21" s="1"/>
  <c r="S13" i="21"/>
  <c r="AP7" i="1"/>
  <c r="AB45" i="21"/>
  <c r="AB9" i="21"/>
  <c r="U9" i="21"/>
  <c r="AA32" i="21"/>
  <c r="S32" i="21"/>
  <c r="W9" i="21"/>
  <c r="AB32" i="21"/>
  <c r="U32" i="21"/>
  <c r="U32" i="39"/>
  <c r="W32" i="39"/>
  <c r="W23" i="37"/>
  <c r="AC23" i="37"/>
  <c r="J63" i="37"/>
  <c r="K63" i="37" s="1"/>
  <c r="L63" i="37" s="1"/>
  <c r="M63" i="37" s="1"/>
  <c r="J11" i="37"/>
  <c r="AC11" i="37" s="1"/>
  <c r="H70" i="34"/>
  <c r="I70" i="34" s="1"/>
  <c r="J70" i="34" s="1"/>
  <c r="K70" i="34" s="1"/>
  <c r="L70" i="34" s="1"/>
  <c r="M70" i="34" s="1"/>
  <c r="J11" i="34"/>
  <c r="W11" i="34" s="1"/>
  <c r="AB36" i="33"/>
  <c r="W27" i="33"/>
  <c r="AC27" i="33"/>
  <c r="W25" i="33"/>
  <c r="AC25" i="33"/>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C16" i="82"/>
  <c r="C14" i="82"/>
  <c r="F26" i="67"/>
  <c r="E8" i="76"/>
  <c r="M9" i="67"/>
  <c r="E13" i="76"/>
  <c r="F6" i="67"/>
  <c r="F16" i="15"/>
  <c r="L47" i="67"/>
  <c r="M6" i="15"/>
  <c r="AO13" i="1"/>
  <c r="B10" i="76"/>
  <c r="M26" i="15"/>
  <c r="F13" i="67"/>
  <c r="M8" i="67"/>
  <c r="F42" i="15"/>
  <c r="M29" i="15"/>
  <c r="F38" i="15"/>
  <c r="E2" i="69"/>
  <c r="F4" i="73"/>
  <c r="B11" i="76"/>
  <c r="M22" i="15"/>
  <c r="C76" i="67"/>
  <c r="F6" i="15"/>
  <c r="M28" i="67"/>
  <c r="J15" i="67"/>
  <c r="B7" i="76"/>
  <c r="F13" i="15"/>
  <c r="M26" i="67"/>
  <c r="F43" i="67"/>
  <c r="B12" i="76"/>
  <c r="F9" i="15"/>
  <c r="F40" i="15"/>
  <c r="E9" i="76"/>
  <c r="F3" i="73"/>
  <c r="L48" i="15"/>
  <c r="F38" i="67"/>
  <c r="J15" i="15"/>
  <c r="D6" i="73"/>
  <c r="L47" i="15"/>
  <c r="F5" i="73"/>
  <c r="F8" i="15"/>
  <c r="M8" i="15"/>
  <c r="F7" i="67"/>
  <c r="F43" i="15"/>
  <c r="M9" i="15"/>
  <c r="F7" i="15"/>
  <c r="F8" i="67"/>
  <c r="E12" i="76"/>
  <c r="M29" i="67"/>
  <c r="M23" i="15"/>
  <c r="F6" i="73"/>
  <c r="M22" i="67"/>
  <c r="M23" i="67"/>
  <c r="M6" i="67"/>
  <c r="E10" i="76"/>
  <c r="F37" i="67"/>
  <c r="F40" i="67"/>
  <c r="B9" i="76"/>
  <c r="C76" i="15"/>
  <c r="F7" i="73"/>
  <c r="F20" i="31"/>
  <c r="F37" i="15"/>
  <c r="M24" i="67"/>
  <c r="E11" i="76"/>
  <c r="B13" i="76"/>
  <c r="F9" i="67"/>
  <c r="B8" i="76"/>
  <c r="F36" i="67"/>
  <c r="F26" i="15"/>
  <c r="F16" i="67"/>
  <c r="F36" i="15"/>
  <c r="F42" i="67"/>
  <c r="E2" i="68"/>
  <c r="M28" i="15"/>
  <c r="M24" i="15"/>
  <c r="E7" i="76"/>
  <c r="L48" i="67"/>
  <c r="C15" i="82" l="1"/>
  <c r="C19" i="82" s="1"/>
  <c r="C18" i="82"/>
  <c r="O7" i="1"/>
  <c r="P7" i="1" s="1"/>
  <c r="C18" i="9"/>
  <c r="D18" i="9" s="1"/>
  <c r="D52" i="43"/>
  <c r="F34" i="67"/>
  <c r="F62" i="67" s="1"/>
  <c r="F54" i="9"/>
  <c r="F32" i="15"/>
  <c r="F60" i="15" s="1"/>
  <c r="F52" i="9"/>
  <c r="D68" i="9"/>
  <c r="F30" i="69"/>
  <c r="F48" i="69" s="1"/>
  <c r="F31" i="12"/>
  <c r="F28" i="15"/>
  <c r="F32" i="67"/>
  <c r="F60" i="67" s="1"/>
  <c r="F28" i="67"/>
  <c r="M18" i="15"/>
  <c r="M18" i="67"/>
  <c r="F30" i="11"/>
  <c r="C48" i="11" s="1"/>
  <c r="C21" i="68"/>
  <c r="G26" i="12"/>
  <c r="G22" i="68"/>
  <c r="F29" i="6"/>
  <c r="D121" i="9"/>
  <c r="D7" i="52" s="1"/>
  <c r="D6" i="52"/>
  <c r="W12" i="40"/>
  <c r="AC12" i="40"/>
  <c r="AB19" i="33"/>
  <c r="AB23" i="21"/>
  <c r="AB15" i="21"/>
  <c r="AA19" i="33"/>
  <c r="AB38" i="40"/>
  <c r="U38" i="40"/>
  <c r="AZ167" i="3"/>
  <c r="AB26" i="37"/>
  <c r="U26" i="37"/>
  <c r="AA17" i="33"/>
  <c r="S37" i="21"/>
  <c r="AC15" i="21"/>
  <c r="AA25" i="33"/>
  <c r="S25" i="33"/>
  <c r="W45" i="21"/>
  <c r="AC45" i="21"/>
  <c r="AB36" i="35"/>
  <c r="U36" i="35"/>
  <c r="AA23" i="37"/>
  <c r="S17" i="37"/>
  <c r="S43" i="34"/>
  <c r="AZ14" i="3"/>
  <c r="AZ334" i="3"/>
  <c r="AZ347" i="3"/>
  <c r="AZ123" i="3"/>
  <c r="AA11" i="39"/>
  <c r="W47" i="34"/>
  <c r="AZ523" i="3"/>
  <c r="AZ547" i="3"/>
  <c r="AZ571" i="3"/>
  <c r="AZ579" i="3"/>
  <c r="AZ516" i="3"/>
  <c r="AC31" i="34"/>
  <c r="AC44" i="33"/>
  <c r="AC11" i="35"/>
  <c r="AB41" i="21"/>
  <c r="BL585" i="3"/>
  <c r="H12" i="34"/>
  <c r="AB31" i="36"/>
  <c r="U31" i="36"/>
  <c r="H25" i="37"/>
  <c r="F25" i="37"/>
  <c r="U8" i="39"/>
  <c r="AB8" i="39"/>
  <c r="G574" i="3"/>
  <c r="AZ319" i="3"/>
  <c r="AZ155" i="3"/>
  <c r="AZ529" i="3"/>
  <c r="AZ537" i="3"/>
  <c r="AZ585" i="3"/>
  <c r="AC9" i="34"/>
  <c r="W9" i="34"/>
  <c r="S9" i="40"/>
  <c r="AA9" i="40"/>
  <c r="AC31" i="40"/>
  <c r="W31" i="40"/>
  <c r="AZ480" i="3"/>
  <c r="AZ391" i="3"/>
  <c r="AZ364" i="3"/>
  <c r="AZ346" i="3"/>
  <c r="AZ329" i="3"/>
  <c r="AZ306" i="3"/>
  <c r="AZ513" i="3"/>
  <c r="AZ575" i="3"/>
  <c r="AZ528" i="3"/>
  <c r="AZ548" i="3"/>
  <c r="AZ574" i="3"/>
  <c r="AZ502" i="3"/>
  <c r="BL587" i="3"/>
  <c r="AZ587" i="3" s="1"/>
  <c r="BL586" i="3"/>
  <c r="AZ586" i="3" s="1"/>
  <c r="B72" i="43"/>
  <c r="C15" i="39"/>
  <c r="J39" i="37"/>
  <c r="F39" i="37"/>
  <c r="S39" i="37" s="1"/>
  <c r="G570" i="3"/>
  <c r="G551" i="3"/>
  <c r="BL550" i="3"/>
  <c r="G542" i="3"/>
  <c r="AZ357" i="3"/>
  <c r="AZ322" i="3"/>
  <c r="AZ328" i="3"/>
  <c r="AZ313" i="3"/>
  <c r="AZ394" i="3"/>
  <c r="AZ519" i="3"/>
  <c r="AZ531" i="3"/>
  <c r="AZ573" i="3"/>
  <c r="AZ583" i="3"/>
  <c r="AZ568" i="3"/>
  <c r="AZ576" i="3"/>
  <c r="AA14" i="34"/>
  <c r="F12" i="34"/>
  <c r="S12" i="34" s="1"/>
  <c r="F12" i="35"/>
  <c r="J12" i="35"/>
  <c r="AB30" i="37"/>
  <c r="U30" i="37"/>
  <c r="H44" i="39"/>
  <c r="J44" i="39"/>
  <c r="AA31" i="35"/>
  <c r="S31" i="35"/>
  <c r="BL398" i="3"/>
  <c r="G402" i="3"/>
  <c r="BL403" i="3"/>
  <c r="G405" i="3"/>
  <c r="G406" i="3"/>
  <c r="BA408" i="3"/>
  <c r="AZ408" i="3" s="1"/>
  <c r="BA409" i="3"/>
  <c r="AZ409" i="3" s="1"/>
  <c r="BA411" i="3"/>
  <c r="BL414" i="3"/>
  <c r="AZ414" i="3" s="1"/>
  <c r="BL415" i="3"/>
  <c r="AZ415" i="3" s="1"/>
  <c r="BA417" i="3"/>
  <c r="BL421" i="3"/>
  <c r="BL422" i="3"/>
  <c r="BL425" i="3"/>
  <c r="AZ425" i="3" s="1"/>
  <c r="BL426" i="3"/>
  <c r="BA428" i="3"/>
  <c r="BA429" i="3"/>
  <c r="BA430" i="3"/>
  <c r="AZ430" i="3" s="1"/>
  <c r="BA432" i="3"/>
  <c r="BA434" i="3"/>
  <c r="BA436" i="3"/>
  <c r="BA438" i="3"/>
  <c r="G442" i="3"/>
  <c r="G443" i="3"/>
  <c r="BA446" i="3"/>
  <c r="BA450" i="3"/>
  <c r="AZ450" i="3" s="1"/>
  <c r="BA453" i="3"/>
  <c r="BA455" i="3"/>
  <c r="AZ455" i="3" s="1"/>
  <c r="BL457" i="3"/>
  <c r="AZ457" i="3" s="1"/>
  <c r="BL460" i="3"/>
  <c r="AZ460" i="3" s="1"/>
  <c r="BL461" i="3"/>
  <c r="BL463" i="3"/>
  <c r="G465" i="3"/>
  <c r="BL469" i="3"/>
  <c r="BL476" i="3"/>
  <c r="BL477" i="3"/>
  <c r="BL478" i="3"/>
  <c r="G479" i="3"/>
  <c r="BA481" i="3"/>
  <c r="BA487" i="3"/>
  <c r="AZ487" i="3" s="1"/>
  <c r="BL340" i="3"/>
  <c r="AZ340" i="3" s="1"/>
  <c r="AZ398" i="3"/>
  <c r="AZ418" i="3"/>
  <c r="AZ421" i="3"/>
  <c r="AZ451" i="3"/>
  <c r="AZ454" i="3"/>
  <c r="AZ461" i="3"/>
  <c r="AZ469" i="3"/>
  <c r="AZ476" i="3"/>
  <c r="BL16" i="3"/>
  <c r="AZ16" i="3" s="1"/>
  <c r="BA401" i="3"/>
  <c r="AZ401" i="3" s="1"/>
  <c r="BA403" i="3"/>
  <c r="AZ403" i="3" s="1"/>
  <c r="BA404" i="3"/>
  <c r="AZ404" i="3" s="1"/>
  <c r="BA405" i="3"/>
  <c r="AZ405" i="3" s="1"/>
  <c r="G409" i="3"/>
  <c r="BL410" i="3"/>
  <c r="G419" i="3"/>
  <c r="BA422" i="3"/>
  <c r="AZ422" i="3" s="1"/>
  <c r="G430" i="3"/>
  <c r="BL431" i="3"/>
  <c r="BL434" i="3"/>
  <c r="G437" i="3"/>
  <c r="BL438" i="3"/>
  <c r="BL439" i="3"/>
  <c r="BA441" i="3"/>
  <c r="AZ441" i="3" s="1"/>
  <c r="BL445" i="3"/>
  <c r="BL446" i="3"/>
  <c r="BL449" i="3"/>
  <c r="BL450" i="3"/>
  <c r="BL452" i="3"/>
  <c r="G455" i="3"/>
  <c r="BL456" i="3"/>
  <c r="BA464" i="3"/>
  <c r="AZ464" i="3" s="1"/>
  <c r="BL467" i="3"/>
  <c r="BL468" i="3"/>
  <c r="AZ468" i="3" s="1"/>
  <c r="BL471" i="3"/>
  <c r="BL475" i="3"/>
  <c r="BA477" i="3"/>
  <c r="BA478" i="3"/>
  <c r="AZ478" i="3" s="1"/>
  <c r="BA488" i="3"/>
  <c r="AZ488" i="3" s="1"/>
  <c r="BA319" i="3"/>
  <c r="G587" i="3"/>
  <c r="BA551" i="3"/>
  <c r="AZ551" i="3" s="1"/>
  <c r="BA550" i="3"/>
  <c r="BL548" i="3"/>
  <c r="G399" i="3"/>
  <c r="BL400" i="3"/>
  <c r="AZ400" i="3" s="1"/>
  <c r="BL408" i="3"/>
  <c r="BL411" i="3"/>
  <c r="BL413" i="3"/>
  <c r="AZ413" i="3" s="1"/>
  <c r="G416" i="3"/>
  <c r="BL417" i="3"/>
  <c r="BL418" i="3"/>
  <c r="BL420" i="3"/>
  <c r="G423" i="3"/>
  <c r="BL424" i="3"/>
  <c r="G427" i="3"/>
  <c r="BL428" i="3"/>
  <c r="BL429" i="3"/>
  <c r="BL432" i="3"/>
  <c r="BL435" i="3"/>
  <c r="AZ435" i="3" s="1"/>
  <c r="BL436" i="3"/>
  <c r="BA439" i="3"/>
  <c r="BA440" i="3"/>
  <c r="AZ440" i="3" s="1"/>
  <c r="BA442" i="3"/>
  <c r="BA445" i="3"/>
  <c r="BA447" i="3"/>
  <c r="AZ447" i="3" s="1"/>
  <c r="BA449" i="3"/>
  <c r="BL453" i="3"/>
  <c r="BL454" i="3"/>
  <c r="G458" i="3"/>
  <c r="BL459" i="3"/>
  <c r="AZ459" i="3" s="1"/>
  <c r="G461" i="3"/>
  <c r="G462" i="3"/>
  <c r="BA465" i="3"/>
  <c r="AZ465" i="3" s="1"/>
  <c r="BA467" i="3"/>
  <c r="BA468" i="3"/>
  <c r="BL479" i="3"/>
  <c r="BA491" i="3"/>
  <c r="BL316" i="3"/>
  <c r="BL324" i="3"/>
  <c r="AZ324" i="3" s="1"/>
  <c r="BL328" i="3"/>
  <c r="AZ217" i="3"/>
  <c r="AZ228" i="3"/>
  <c r="BA332" i="3"/>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L236" i="3"/>
  <c r="G237" i="3"/>
  <c r="BL238" i="3"/>
  <c r="G239" i="3"/>
  <c r="BL243" i="3"/>
  <c r="G244" i="3"/>
  <c r="BA247" i="3"/>
  <c r="AZ247" i="3" s="1"/>
  <c r="BL247" i="3"/>
  <c r="BA249" i="3"/>
  <c r="BL249" i="3"/>
  <c r="BA251" i="3"/>
  <c r="AZ251" i="3" s="1"/>
  <c r="BL251" i="3"/>
  <c r="BA253" i="3"/>
  <c r="BL260" i="3"/>
  <c r="AZ260" i="3" s="1"/>
  <c r="G262" i="3"/>
  <c r="BL263" i="3"/>
  <c r="G264" i="3"/>
  <c r="BL270" i="3"/>
  <c r="AZ270" i="3" s="1"/>
  <c r="BA272" i="3"/>
  <c r="AZ272" i="3" s="1"/>
  <c r="BL275" i="3"/>
  <c r="AZ275" i="3" s="1"/>
  <c r="G277" i="3"/>
  <c r="G280" i="3"/>
  <c r="G282" i="3"/>
  <c r="BL285" i="3"/>
  <c r="BL287" i="3"/>
  <c r="BL290" i="3"/>
  <c r="AZ290" i="3" s="1"/>
  <c r="BL291" i="3"/>
  <c r="AZ291" i="3" s="1"/>
  <c r="BL293" i="3"/>
  <c r="BL294" i="3"/>
  <c r="BA297" i="3"/>
  <c r="AZ297" i="3" s="1"/>
  <c r="BL297" i="3"/>
  <c r="BA120" i="3"/>
  <c r="AZ120" i="3" s="1"/>
  <c r="AZ137" i="3"/>
  <c r="BA145" i="3"/>
  <c r="BA156" i="3"/>
  <c r="AZ156" i="3" s="1"/>
  <c r="BA118" i="3"/>
  <c r="AZ118" i="3" s="1"/>
  <c r="BL118" i="3"/>
  <c r="BL158" i="3"/>
  <c r="AZ62" i="3"/>
  <c r="AZ70" i="3"/>
  <c r="BA471" i="3"/>
  <c r="AZ471" i="3" s="1"/>
  <c r="G486" i="3"/>
  <c r="G488" i="3"/>
  <c r="BL317" i="3"/>
  <c r="G318" i="3"/>
  <c r="BA349" i="3"/>
  <c r="AZ349" i="3" s="1"/>
  <c r="BA353" i="3"/>
  <c r="AZ353" i="3" s="1"/>
  <c r="BL353" i="3"/>
  <c r="BA358" i="3"/>
  <c r="AZ358" i="3" s="1"/>
  <c r="BL365" i="3"/>
  <c r="AZ365" i="3" s="1"/>
  <c r="BA368" i="3"/>
  <c r="AZ368" i="3" s="1"/>
  <c r="BL368" i="3"/>
  <c r="BA374" i="3"/>
  <c r="AZ374" i="3" s="1"/>
  <c r="BA388" i="3"/>
  <c r="AZ388" i="3" s="1"/>
  <c r="BA396" i="3"/>
  <c r="BA209" i="3"/>
  <c r="BL217" i="3"/>
  <c r="BA219" i="3"/>
  <c r="AZ219" i="3" s="1"/>
  <c r="BA221" i="3"/>
  <c r="AZ221" i="3" s="1"/>
  <c r="BA223" i="3"/>
  <c r="AZ223" i="3" s="1"/>
  <c r="BL228" i="3"/>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AZ274" i="3" s="1"/>
  <c r="BL274" i="3"/>
  <c r="BA276" i="3"/>
  <c r="BA279" i="3"/>
  <c r="BA281" i="3"/>
  <c r="G286" i="3"/>
  <c r="BL286" i="3"/>
  <c r="AZ286" i="3" s="1"/>
  <c r="BL298" i="3"/>
  <c r="BL299" i="3"/>
  <c r="G300" i="3"/>
  <c r="BA302" i="3"/>
  <c r="G115" i="3"/>
  <c r="BA117" i="3"/>
  <c r="G138" i="3"/>
  <c r="BA149" i="3"/>
  <c r="AZ149" i="3" s="1"/>
  <c r="AZ65" i="3"/>
  <c r="G480" i="3"/>
  <c r="BL480" i="3"/>
  <c r="G482" i="3"/>
  <c r="BA483" i="3"/>
  <c r="BL483" i="3"/>
  <c r="BA486" i="3"/>
  <c r="BL489" i="3"/>
  <c r="BL491" i="3"/>
  <c r="BL492" i="3"/>
  <c r="G307" i="3"/>
  <c r="BA315" i="3"/>
  <c r="AZ315" i="3" s="1"/>
  <c r="BA333" i="3"/>
  <c r="BL346" i="3"/>
  <c r="G349" i="3"/>
  <c r="G374" i="3"/>
  <c r="BA384" i="3"/>
  <c r="AZ384" i="3" s="1"/>
  <c r="BA395" i="3"/>
  <c r="AZ395" i="3" s="1"/>
  <c r="BA208" i="3"/>
  <c r="AZ208" i="3" s="1"/>
  <c r="BA211" i="3"/>
  <c r="AZ211" i="3" s="1"/>
  <c r="BL213" i="3"/>
  <c r="BL215" i="3"/>
  <c r="BA222" i="3"/>
  <c r="AZ222" i="3" s="1"/>
  <c r="BA224" i="3"/>
  <c r="AZ224" i="3" s="1"/>
  <c r="BA226" i="3"/>
  <c r="AZ226" i="3" s="1"/>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AZ284" i="3" s="1"/>
  <c r="BA288" i="3"/>
  <c r="BA290" i="3"/>
  <c r="BA116" i="3"/>
  <c r="AZ116" i="3" s="1"/>
  <c r="BA157" i="3"/>
  <c r="AZ157" i="3" s="1"/>
  <c r="BA162" i="3"/>
  <c r="AZ162" i="3" s="1"/>
  <c r="BL292" i="3"/>
  <c r="BA294" i="3"/>
  <c r="AZ294" i="3" s="1"/>
  <c r="BL295" i="3"/>
  <c r="BA298" i="3"/>
  <c r="BL301" i="3"/>
  <c r="AZ301" i="3" s="1"/>
  <c r="BL302" i="3"/>
  <c r="BA114" i="3"/>
  <c r="BL123" i="3"/>
  <c r="BA128" i="3"/>
  <c r="AZ128" i="3" s="1"/>
  <c r="BL134" i="3"/>
  <c r="BL137" i="3"/>
  <c r="G143" i="3"/>
  <c r="BA146" i="3"/>
  <c r="AZ146" i="3" s="1"/>
  <c r="BA150" i="3"/>
  <c r="AZ150" i="3" s="1"/>
  <c r="G159" i="3"/>
  <c r="BL167" i="3"/>
  <c r="G175" i="3"/>
  <c r="G176" i="3"/>
  <c r="BL178" i="3"/>
  <c r="BA180" i="3"/>
  <c r="AZ180" i="3" s="1"/>
  <c r="BL182" i="3"/>
  <c r="AZ182" i="3" s="1"/>
  <c r="G183" i="3"/>
  <c r="BA185" i="3"/>
  <c r="BL191" i="3"/>
  <c r="AZ191" i="3" s="1"/>
  <c r="G192" i="3"/>
  <c r="BA193" i="3"/>
  <c r="BA196" i="3"/>
  <c r="AZ196" i="3" s="1"/>
  <c r="G203" i="3"/>
  <c r="BA205" i="3"/>
  <c r="AZ205" i="3" s="1"/>
  <c r="G20" i="3"/>
  <c r="BL20" i="3"/>
  <c r="BA21" i="3"/>
  <c r="BA25" i="3"/>
  <c r="AZ25" i="3" s="1"/>
  <c r="BA26" i="3"/>
  <c r="G28" i="3"/>
  <c r="BL28" i="3"/>
  <c r="BA29" i="3"/>
  <c r="BA36" i="3"/>
  <c r="BL38" i="3"/>
  <c r="AZ38" i="3" s="1"/>
  <c r="BA39" i="3"/>
  <c r="BL47" i="3"/>
  <c r="AZ47" i="3" s="1"/>
  <c r="G49" i="3"/>
  <c r="BA52" i="3"/>
  <c r="AZ52" i="3" s="1"/>
  <c r="BA53" i="3"/>
  <c r="BA54" i="3"/>
  <c r="BL57" i="3"/>
  <c r="G62" i="3"/>
  <c r="BL62" i="3"/>
  <c r="BL63" i="3"/>
  <c r="G65" i="3"/>
  <c r="BL65" i="3"/>
  <c r="BL66" i="3"/>
  <c r="BL67" i="3"/>
  <c r="AZ67" i="3" s="1"/>
  <c r="G69" i="3"/>
  <c r="G70" i="3"/>
  <c r="BL70" i="3"/>
  <c r="BL71" i="3"/>
  <c r="BL72" i="3"/>
  <c r="AZ72" i="3" s="1"/>
  <c r="G74" i="3"/>
  <c r="BL75" i="3"/>
  <c r="BA89" i="3"/>
  <c r="BA94" i="3"/>
  <c r="AZ94" i="3" s="1"/>
  <c r="BA98" i="3"/>
  <c r="BL100" i="3"/>
  <c r="BL105" i="3"/>
  <c r="AZ105" i="3" s="1"/>
  <c r="D31" i="71"/>
  <c r="C32" i="71"/>
  <c r="C52" i="71"/>
  <c r="D51" i="71"/>
  <c r="C55" i="71"/>
  <c r="D54" i="71"/>
  <c r="N67" i="71"/>
  <c r="B66" i="71"/>
  <c r="F66" i="71"/>
  <c r="Q67" i="71"/>
  <c r="BL126" i="3"/>
  <c r="G130" i="3"/>
  <c r="BA144" i="3"/>
  <c r="AZ144" i="3" s="1"/>
  <c r="G152" i="3"/>
  <c r="BA153" i="3"/>
  <c r="BL155" i="3"/>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AZ207" i="3" s="1"/>
  <c r="BL18" i="3"/>
  <c r="G19" i="3"/>
  <c r="BL19" i="3"/>
  <c r="AZ19" i="3" s="1"/>
  <c r="BA20" i="3"/>
  <c r="AZ20" i="3" s="1"/>
  <c r="BL25" i="3"/>
  <c r="BL27" i="3"/>
  <c r="AZ27" i="3" s="1"/>
  <c r="BA28" i="3"/>
  <c r="AZ28" i="3" s="1"/>
  <c r="BA31" i="3"/>
  <c r="AZ31" i="3" s="1"/>
  <c r="BA32" i="3"/>
  <c r="BA38" i="3"/>
  <c r="BA41" i="3"/>
  <c r="AZ41" i="3" s="1"/>
  <c r="BA42" i="3"/>
  <c r="G46" i="3"/>
  <c r="BL48" i="3"/>
  <c r="BL54" i="3"/>
  <c r="BL55" i="3"/>
  <c r="AZ55" i="3" s="1"/>
  <c r="G57" i="3"/>
  <c r="BA59" i="3"/>
  <c r="AZ59" i="3" s="1"/>
  <c r="G61" i="3"/>
  <c r="BL61" i="3"/>
  <c r="AZ61" i="3" s="1"/>
  <c r="BA64" i="3"/>
  <c r="AZ64" i="3" s="1"/>
  <c r="BL68" i="3"/>
  <c r="BA69" i="3"/>
  <c r="AZ69" i="3" s="1"/>
  <c r="BL73" i="3"/>
  <c r="BA78" i="3"/>
  <c r="BA80" i="3"/>
  <c r="G84" i="3"/>
  <c r="BL84" i="3"/>
  <c r="AZ84" i="3" s="1"/>
  <c r="BL99" i="3"/>
  <c r="BA102" i="3"/>
  <c r="P65" i="71"/>
  <c r="P66" i="71"/>
  <c r="AZ49" i="3"/>
  <c r="BA121" i="3"/>
  <c r="BL121" i="3"/>
  <c r="BA124" i="3"/>
  <c r="AZ124" i="3" s="1"/>
  <c r="BA126" i="3"/>
  <c r="AZ126" i="3" s="1"/>
  <c r="BA129" i="3"/>
  <c r="BL133" i="3"/>
  <c r="AZ133" i="3" s="1"/>
  <c r="BL139" i="3"/>
  <c r="AZ139" i="3" s="1"/>
  <c r="BL141" i="3"/>
  <c r="BL143" i="3"/>
  <c r="AZ143" i="3" s="1"/>
  <c r="BL157" i="3"/>
  <c r="BL159" i="3"/>
  <c r="AZ159" i="3" s="1"/>
  <c r="BL177" i="3"/>
  <c r="AZ177" i="3" s="1"/>
  <c r="BL183" i="3"/>
  <c r="AZ183" i="3" s="1"/>
  <c r="BA186" i="3"/>
  <c r="AZ186" i="3" s="1"/>
  <c r="BA190" i="3"/>
  <c r="AZ190" i="3" s="1"/>
  <c r="BA197" i="3"/>
  <c r="BL201" i="3"/>
  <c r="AZ201" i="3" s="1"/>
  <c r="BL203" i="3"/>
  <c r="AZ203" i="3" s="1"/>
  <c r="BA204" i="3"/>
  <c r="AZ204" i="3" s="1"/>
  <c r="BA18" i="3"/>
  <c r="BL21" i="3"/>
  <c r="G23" i="3"/>
  <c r="BL29" i="3"/>
  <c r="G33" i="3"/>
  <c r="G34" i="3"/>
  <c r="BA37" i="3"/>
  <c r="G39" i="3"/>
  <c r="BL39" i="3"/>
  <c r="G43" i="3"/>
  <c r="G44" i="3"/>
  <c r="BA45" i="3"/>
  <c r="AZ45" i="3" s="1"/>
  <c r="BA46" i="3"/>
  <c r="BL49" i="3"/>
  <c r="BL50" i="3"/>
  <c r="AZ50" i="3" s="1"/>
  <c r="BL51" i="3"/>
  <c r="AZ51" i="3" s="1"/>
  <c r="G53" i="3"/>
  <c r="BL53" i="3"/>
  <c r="BA56" i="3"/>
  <c r="BA57" i="3"/>
  <c r="AZ57" i="3" s="1"/>
  <c r="BL58" i="3"/>
  <c r="AZ58" i="3" s="1"/>
  <c r="G60" i="3"/>
  <c r="BA60" i="3"/>
  <c r="BA63" i="3"/>
  <c r="AZ63" i="3" s="1"/>
  <c r="BA66" i="3"/>
  <c r="AZ66" i="3" s="1"/>
  <c r="BA71" i="3"/>
  <c r="BL77" i="3"/>
  <c r="AZ77" i="3" s="1"/>
  <c r="BL81" i="3"/>
  <c r="BA82" i="3"/>
  <c r="AZ82" i="3" s="1"/>
  <c r="BL83" i="3"/>
  <c r="AZ100" i="3"/>
  <c r="AZ103" i="3"/>
  <c r="BA104" i="3"/>
  <c r="B13" i="1"/>
  <c r="E13" i="1" s="1"/>
  <c r="K13" i="1"/>
  <c r="M13" i="1" s="1"/>
  <c r="O13" i="1" s="1"/>
  <c r="P13" i="1" s="1"/>
  <c r="C47" i="71"/>
  <c r="D47" i="71" s="1"/>
  <c r="D46" i="71"/>
  <c r="V24" i="71"/>
  <c r="E23" i="71"/>
  <c r="E22" i="71" s="1"/>
  <c r="E21" i="71" s="1"/>
  <c r="E20" i="71" s="1"/>
  <c r="BA74" i="3"/>
  <c r="AZ74" i="3" s="1"/>
  <c r="BA75" i="3"/>
  <c r="AZ75" i="3" s="1"/>
  <c r="G81" i="3"/>
  <c r="G85" i="3"/>
  <c r="BL85" i="3"/>
  <c r="BA86" i="3"/>
  <c r="AZ86" i="3" s="1"/>
  <c r="BA87" i="3"/>
  <c r="BA91" i="3"/>
  <c r="AZ91" i="3" s="1"/>
  <c r="G96" i="3"/>
  <c r="BL97" i="3"/>
  <c r="AZ97" i="3" s="1"/>
  <c r="BL101" i="3"/>
  <c r="BL102" i="3"/>
  <c r="G104" i="3"/>
  <c r="G105" i="3"/>
  <c r="BL106" i="3"/>
  <c r="BA108" i="3"/>
  <c r="AZ108" i="3" s="1"/>
  <c r="BA110" i="3"/>
  <c r="AZ110" i="3" s="1"/>
  <c r="F3" i="35"/>
  <c r="S21" i="37"/>
  <c r="W29" i="39"/>
  <c r="S25" i="40"/>
  <c r="B77" i="43"/>
  <c r="AA18" i="35"/>
  <c r="O67" i="71"/>
  <c r="AA28" i="71"/>
  <c r="E79" i="71"/>
  <c r="E78" i="71" s="1"/>
  <c r="E75" i="71"/>
  <c r="E74" i="71" s="1"/>
  <c r="AB25" i="71"/>
  <c r="C43" i="71"/>
  <c r="Y25" i="71"/>
  <c r="Z25" i="71" s="1"/>
  <c r="X38" i="71"/>
  <c r="C35" i="71"/>
  <c r="N68" i="71"/>
  <c r="E38" i="71"/>
  <c r="E39" i="71" s="1"/>
  <c r="E40" i="71" s="1"/>
  <c r="U40" i="71" s="1"/>
  <c r="B34" i="71"/>
  <c r="B35" i="71" s="1"/>
  <c r="B36" i="71" s="1"/>
  <c r="S36" i="71" s="1"/>
  <c r="X33" i="71"/>
  <c r="AB37"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L88" i="3"/>
  <c r="AZ88" i="3" s="1"/>
  <c r="G90" i="3"/>
  <c r="BL90" i="3"/>
  <c r="BL92" i="3"/>
  <c r="G101" i="3"/>
  <c r="BA101" i="3"/>
  <c r="AZ101" i="3" s="1"/>
  <c r="G108" i="3"/>
  <c r="G109" i="3"/>
  <c r="BL112" i="3"/>
  <c r="W18" i="35"/>
  <c r="U25" i="40"/>
  <c r="B68" i="43"/>
  <c r="B88" i="43"/>
  <c r="BL107" i="3"/>
  <c r="BA111" i="3"/>
  <c r="AZ111" i="3" s="1"/>
  <c r="AC21" i="37"/>
  <c r="U21" i="34"/>
  <c r="B57" i="43"/>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70" i="3"/>
  <c r="W35" i="39"/>
  <c r="F27" i="34"/>
  <c r="C21" i="39"/>
  <c r="U9" i="36"/>
  <c r="U14" i="37"/>
  <c r="H12" i="21"/>
  <c r="G526" i="3"/>
  <c r="AZ420" i="3"/>
  <c r="AZ424" i="3"/>
  <c r="AZ434" i="3"/>
  <c r="AZ436" i="3"/>
  <c r="AZ438" i="3"/>
  <c r="AZ446" i="3"/>
  <c r="G28" i="6"/>
  <c r="U26" i="21"/>
  <c r="W36" i="39"/>
  <c r="U23" i="40"/>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BA215" i="3"/>
  <c r="AZ215" i="3" s="1"/>
  <c r="G219" i="3"/>
  <c r="AZ225" i="3"/>
  <c r="G230" i="3"/>
  <c r="BA232" i="3"/>
  <c r="AZ232" i="3" s="1"/>
  <c r="BA234" i="3"/>
  <c r="AZ234" i="3" s="1"/>
  <c r="AZ236" i="3"/>
  <c r="G248" i="3"/>
  <c r="AZ258"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G240" i="3"/>
  <c r="G242" i="3"/>
  <c r="G245" i="3"/>
  <c r="BL246" i="3"/>
  <c r="AZ246" i="3" s="1"/>
  <c r="BL253" i="3"/>
  <c r="AZ253" i="3" s="1"/>
  <c r="BA261" i="3"/>
  <c r="AZ261" i="3" s="1"/>
  <c r="BA264" i="3"/>
  <c r="AZ264" i="3" s="1"/>
  <c r="BA266" i="3"/>
  <c r="AZ266" i="3" s="1"/>
  <c r="G272" i="3"/>
  <c r="G275" i="3"/>
  <c r="BL276" i="3"/>
  <c r="BL279" i="3"/>
  <c r="BL281" i="3"/>
  <c r="AZ281" i="3" s="1"/>
  <c r="BA285" i="3"/>
  <c r="AZ285" i="3" s="1"/>
  <c r="BA287" i="3"/>
  <c r="AZ287" i="3" s="1"/>
  <c r="AZ134"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BL89" i="3"/>
  <c r="AZ89" i="3" s="1"/>
  <c r="G94" i="3"/>
  <c r="G97" i="3"/>
  <c r="G100" i="3"/>
  <c r="BA107" i="3"/>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F30" i="6"/>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O23" i="43"/>
  <c r="I18" i="43"/>
  <c r="E17" i="43" s="1"/>
  <c r="C17" i="43" s="1"/>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3" i="73"/>
  <c r="D5" i="73"/>
  <c r="D4" i="73"/>
  <c r="C16" i="67"/>
  <c r="C16" i="15"/>
  <c r="D7" i="73"/>
  <c r="C20" i="82" l="1"/>
  <c r="C26" i="82" s="1"/>
  <c r="E26" i="43"/>
  <c r="M11" i="82"/>
  <c r="J10" i="82" s="1"/>
  <c r="J5" i="82" s="1"/>
  <c r="F11" i="82"/>
  <c r="J26" i="43"/>
  <c r="F26" i="43"/>
  <c r="D26" i="43" s="1"/>
  <c r="C25" i="43" s="1"/>
  <c r="H16" i="1"/>
  <c r="G26" i="43"/>
  <c r="Q16" i="1"/>
  <c r="F27" i="69" s="1"/>
  <c r="F45" i="69" s="1"/>
  <c r="E59" i="40"/>
  <c r="K16" i="1"/>
  <c r="G5" i="3"/>
  <c r="B3" i="3" s="1"/>
  <c r="E539" i="3" s="1"/>
  <c r="C40" i="71"/>
  <c r="D39" i="71"/>
  <c r="C44" i="71"/>
  <c r="D43" i="71"/>
  <c r="C56" i="71"/>
  <c r="D55" i="71"/>
  <c r="AZ491" i="3"/>
  <c r="AC44" i="39"/>
  <c r="W44" i="39"/>
  <c r="W12" i="35"/>
  <c r="AC12" i="35"/>
  <c r="J7" i="36"/>
  <c r="P6" i="1"/>
  <c r="C13" i="12" s="1"/>
  <c r="AZ107" i="3"/>
  <c r="AZ26" i="3"/>
  <c r="AZ145" i="3"/>
  <c r="AZ279" i="3"/>
  <c r="AZ213" i="3"/>
  <c r="AA39" i="37"/>
  <c r="G16" i="1"/>
  <c r="F10" i="39" s="1"/>
  <c r="S10" i="39" s="1"/>
  <c r="C70" i="71"/>
  <c r="D70" i="71" s="1"/>
  <c r="D71" i="71"/>
  <c r="C36" i="71"/>
  <c r="D35" i="71"/>
  <c r="N65" i="71"/>
  <c r="N66" i="71"/>
  <c r="AZ29" i="3"/>
  <c r="AZ302" i="3"/>
  <c r="AZ271" i="3"/>
  <c r="AZ249" i="3"/>
  <c r="AZ429" i="3"/>
  <c r="AB44" i="39"/>
  <c r="U44" i="39"/>
  <c r="AC39" i="37"/>
  <c r="W39" i="37"/>
  <c r="AZ85" i="3"/>
  <c r="T28" i="71"/>
  <c r="D28" i="71"/>
  <c r="U28" i="71" s="1"/>
  <c r="C27" i="71"/>
  <c r="D79" i="71"/>
  <c r="C78" i="71"/>
  <c r="D78" i="71" s="1"/>
  <c r="AZ71" i="3"/>
  <c r="AZ121" i="3"/>
  <c r="AZ102" i="3"/>
  <c r="AZ178" i="3"/>
  <c r="T52" i="71"/>
  <c r="D52" i="71"/>
  <c r="AZ53" i="3"/>
  <c r="AZ39" i="3"/>
  <c r="AZ21" i="3"/>
  <c r="AZ298" i="3"/>
  <c r="AZ332" i="3"/>
  <c r="AZ428" i="3"/>
  <c r="AZ411" i="3"/>
  <c r="AA25" i="37"/>
  <c r="S25" i="37"/>
  <c r="AB12" i="34"/>
  <c r="U12" i="34"/>
  <c r="D83" i="71"/>
  <c r="C82" i="71"/>
  <c r="D82" i="71" s="1"/>
  <c r="O65" i="71"/>
  <c r="D66" i="71"/>
  <c r="O66" i="71"/>
  <c r="AZ197" i="3"/>
  <c r="T32" i="71"/>
  <c r="D32" i="71"/>
  <c r="AZ483" i="3"/>
  <c r="AZ550" i="3"/>
  <c r="AZ453" i="3"/>
  <c r="AZ432" i="3"/>
  <c r="AZ417" i="3"/>
  <c r="U25" i="37"/>
  <c r="AB25" i="37"/>
  <c r="J7" i="37"/>
  <c r="K1" i="73"/>
  <c r="E510" i="3"/>
  <c r="E541" i="3"/>
  <c r="E430" i="3"/>
  <c r="E491" i="3"/>
  <c r="E37" i="3"/>
  <c r="E152" i="3"/>
  <c r="E363" i="3"/>
  <c r="E544" i="3"/>
  <c r="E76" i="3"/>
  <c r="E425" i="3"/>
  <c r="E46" i="3"/>
  <c r="E103" i="3"/>
  <c r="E249" i="3"/>
  <c r="E300" i="3"/>
  <c r="E492" i="3"/>
  <c r="E23" i="3"/>
  <c r="E33" i="3"/>
  <c r="E144" i="3"/>
  <c r="E355" i="3"/>
  <c r="E381" i="3"/>
  <c r="E81" i="3"/>
  <c r="E264" i="3"/>
  <c r="E513" i="3"/>
  <c r="E21" i="3"/>
  <c r="E281" i="3"/>
  <c r="E332" i="3"/>
  <c r="E42" i="3"/>
  <c r="E75" i="3"/>
  <c r="E96" i="3"/>
  <c r="E129" i="3"/>
  <c r="E383" i="3"/>
  <c r="E522" i="3"/>
  <c r="E206" i="3"/>
  <c r="E251" i="3"/>
  <c r="E113" i="3"/>
  <c r="E287" i="3"/>
  <c r="E205" i="3"/>
  <c r="E140" i="3"/>
  <c r="E525" i="3"/>
  <c r="E534" i="3"/>
  <c r="E456" i="3"/>
  <c r="E469" i="3"/>
  <c r="E451" i="3"/>
  <c r="E360" i="3"/>
  <c r="E13" i="3"/>
  <c r="E452" i="3"/>
  <c r="E420" i="3"/>
  <c r="E26" i="3"/>
  <c r="E104" i="3"/>
  <c r="E115" i="3"/>
  <c r="E225" i="3"/>
  <c r="E243" i="3"/>
  <c r="E428" i="3"/>
  <c r="E412" i="3"/>
  <c r="E78"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8" i="1"/>
  <c r="AE12" i="1"/>
  <c r="AE10" i="1"/>
  <c r="G1" i="73"/>
  <c r="AE7" i="1"/>
  <c r="AE6" i="1"/>
  <c r="F41" i="67"/>
  <c r="C29" i="69" l="1"/>
  <c r="D27" i="69" s="1"/>
  <c r="C47" i="69"/>
  <c r="D45" i="69" s="1"/>
  <c r="C53" i="82"/>
  <c r="C48" i="82" s="1"/>
  <c r="C10" i="82"/>
  <c r="C5" i="82" s="1"/>
  <c r="J26" i="82"/>
  <c r="J24" i="82"/>
  <c r="AA10" i="39"/>
  <c r="H10" i="39"/>
  <c r="U10" i="39" s="1"/>
  <c r="H10" i="40"/>
  <c r="AB10" i="40" s="1"/>
  <c r="J10" i="40"/>
  <c r="AC10" i="40" s="1"/>
  <c r="F10" i="40"/>
  <c r="S10" i="40" s="1"/>
  <c r="J10" i="39"/>
  <c r="W10" i="39" s="1"/>
  <c r="H6" i="3"/>
  <c r="E484" i="3"/>
  <c r="E292" i="3"/>
  <c r="E435" i="3"/>
  <c r="E3" i="6"/>
  <c r="E190" i="3"/>
  <c r="E356" i="3"/>
  <c r="E41" i="3"/>
  <c r="E470" i="3"/>
  <c r="E556" i="3"/>
  <c r="E512" i="3"/>
  <c r="T6" i="3"/>
  <c r="E197" i="3"/>
  <c r="E308" i="3"/>
  <c r="AF6" i="3"/>
  <c r="E86" i="3"/>
  <c r="E174" i="3"/>
  <c r="E482" i="3"/>
  <c r="E391" i="3"/>
  <c r="E494" i="3"/>
  <c r="E283" i="3"/>
  <c r="E68" i="3"/>
  <c r="E184" i="3"/>
  <c r="E84" i="3"/>
  <c r="E371" i="3"/>
  <c r="E160" i="3"/>
  <c r="E467" i="3"/>
  <c r="E59" i="3"/>
  <c r="E349" i="3"/>
  <c r="E192" i="3"/>
  <c r="E479" i="3"/>
  <c r="I3" i="6"/>
  <c r="R6" i="3"/>
  <c r="E212" i="3"/>
  <c r="E497" i="3"/>
  <c r="E408" i="3"/>
  <c r="E405" i="3"/>
  <c r="E173" i="3"/>
  <c r="E22" i="3"/>
  <c r="E102" i="3"/>
  <c r="E34" i="3"/>
  <c r="E235" i="3"/>
  <c r="E18" i="3"/>
  <c r="AL6" i="3"/>
  <c r="E198" i="3"/>
  <c r="E309" i="3"/>
  <c r="E63" i="3"/>
  <c r="E233" i="3"/>
  <c r="E67" i="3"/>
  <c r="E310" i="3"/>
  <c r="E267" i="3"/>
  <c r="E64" i="3"/>
  <c r="E409" i="3"/>
  <c r="E389" i="3"/>
  <c r="E258" i="3"/>
  <c r="E56" i="3"/>
  <c r="AP6" i="3"/>
  <c r="E502" i="3"/>
  <c r="E241" i="3"/>
  <c r="E95" i="3"/>
  <c r="E417" i="3"/>
  <c r="E554" i="3"/>
  <c r="E449" i="3"/>
  <c r="E442" i="3"/>
  <c r="E199" i="3"/>
  <c r="E517" i="3"/>
  <c r="E255" i="3"/>
  <c r="E466" i="3"/>
  <c r="E499" i="3"/>
  <c r="C26" i="71"/>
  <c r="D26" i="71" s="1"/>
  <c r="D27" i="71"/>
  <c r="T36" i="71"/>
  <c r="D36" i="71"/>
  <c r="D44" i="71"/>
  <c r="T44" i="71"/>
  <c r="E575" i="3"/>
  <c r="E536" i="3"/>
  <c r="E286" i="3"/>
  <c r="D56" i="71"/>
  <c r="T56" i="71"/>
  <c r="T40" i="71"/>
  <c r="D40" i="71"/>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82"/>
  <c r="M27" i="15"/>
  <c r="M27" i="67"/>
  <c r="F41" i="15"/>
  <c r="F69" i="82" l="1"/>
  <c r="J29" i="82"/>
  <c r="L36" i="43"/>
  <c r="L37" i="43" s="1"/>
  <c r="P37" i="43" s="1"/>
  <c r="F24" i="82"/>
  <c r="C38" i="82"/>
  <c r="C66" i="82"/>
  <c r="C60" i="82"/>
  <c r="W10" i="40"/>
  <c r="F22" i="68"/>
  <c r="C44" i="68" s="1"/>
  <c r="D41" i="68" s="1"/>
  <c r="F25" i="12"/>
  <c r="C26" i="12" s="1"/>
  <c r="D25" i="12" s="1"/>
  <c r="AC6" i="3"/>
  <c r="E6" i="3" s="1"/>
  <c r="D116" i="43"/>
  <c r="F22" i="11"/>
  <c r="C23" i="11" s="1"/>
  <c r="F24" i="67"/>
  <c r="C24" i="67" s="1"/>
  <c r="F24" i="15"/>
  <c r="C24" i="15" s="1"/>
  <c r="F22" i="69"/>
  <c r="F41" i="69" s="1"/>
  <c r="E49" i="34"/>
  <c r="E54" i="34" s="1"/>
  <c r="F54" i="34" s="1"/>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4" i="67"/>
  <c r="C17" i="67"/>
  <c r="C17" i="15"/>
  <c r="N36" i="43" l="1"/>
  <c r="M37" i="43"/>
  <c r="Q36" i="43"/>
  <c r="O36" i="43"/>
  <c r="O37" i="43"/>
  <c r="Q37" i="43"/>
  <c r="P36" i="43"/>
  <c r="N37" i="43"/>
  <c r="M36" i="43"/>
  <c r="C26" i="68"/>
  <c r="D22" i="68" s="1"/>
  <c r="F41" i="68"/>
  <c r="C24" i="82"/>
  <c r="C23" i="82"/>
  <c r="C26" i="11"/>
  <c r="D22" i="11" s="1"/>
  <c r="H21" i="6"/>
  <c r="H25" i="6"/>
  <c r="C44" i="11"/>
  <c r="D41" i="11"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18" i="12" l="1"/>
  <c r="C29" i="82"/>
  <c r="Q49" i="82" s="1"/>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J59" i="82" l="1"/>
  <c r="J60" i="82" s="1"/>
  <c r="Q48" i="82" s="1"/>
  <c r="C21" i="12"/>
  <c r="C22" i="12" s="1"/>
  <c r="C57" i="82"/>
  <c r="C64" i="82" s="1"/>
  <c r="C13" i="82"/>
  <c r="C37" i="82" s="1"/>
  <c r="J14" i="82"/>
  <c r="J22" i="82" s="1"/>
  <c r="C36" i="82"/>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30" i="12" l="1"/>
  <c r="C28" i="12" s="1"/>
  <c r="C27" i="12"/>
  <c r="C25" i="12" s="1"/>
  <c r="L46" i="82"/>
  <c r="J13" i="82"/>
  <c r="J23" i="82" s="1"/>
  <c r="Q70" i="82"/>
  <c r="C75" i="82"/>
  <c r="C56" i="82"/>
  <c r="C65" i="8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67"/>
  <c r="M21" i="67"/>
  <c r="F35" i="82"/>
  <c r="M21" i="15"/>
  <c r="F35" i="15"/>
  <c r="M21" i="82"/>
  <c r="C32" i="12" l="1"/>
  <c r="B2" i="12" s="1"/>
  <c r="B3" i="12" s="1"/>
  <c r="C34" i="82"/>
  <c r="C31" i="82" s="1"/>
  <c r="C30" i="82" s="1"/>
  <c r="C39" i="82" s="1"/>
  <c r="F63" i="82"/>
  <c r="C62" i="82" s="1"/>
  <c r="C59" i="82" s="1"/>
  <c r="C58" i="82" s="1"/>
  <c r="C67" i="82" s="1"/>
  <c r="C68" i="82" s="1"/>
  <c r="J20" i="82"/>
  <c r="J17" i="82" s="1"/>
  <c r="J16" i="82" s="1"/>
  <c r="J25" i="82"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71" i="82"/>
  <c r="C40" i="82"/>
  <c r="Q69" i="82"/>
  <c r="Q68" i="82" s="1"/>
  <c r="C80" i="82"/>
  <c r="C79" i="82"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4" i="9"/>
  <c r="C20" i="9"/>
  <c r="D2" i="21"/>
  <c r="L51" i="82"/>
  <c r="D35" i="9"/>
  <c r="C103" i="9" l="1"/>
  <c r="Q67" i="82"/>
  <c r="Q47" i="82"/>
  <c r="Q53" i="82" s="1"/>
  <c r="Q56" i="82"/>
  <c r="Q62" i="82" s="1"/>
  <c r="Q65" i="82"/>
  <c r="Q75" i="82" s="1"/>
  <c r="C43" i="82"/>
  <c r="B2" i="82"/>
  <c r="B3" i="82" s="1"/>
  <c r="C83" i="82"/>
  <c r="C82" i="82" s="1"/>
  <c r="C46" i="82"/>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L51" i="15"/>
  <c r="D2" i="35"/>
  <c r="D2" i="36"/>
  <c r="D2" i="37"/>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9" i="1"/>
  <c r="AO7" i="1"/>
  <c r="AO11" i="1"/>
  <c r="AO10" i="1"/>
  <c r="AO8"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3" i="15"/>
  <c r="D7" i="71"/>
  <c r="C6" i="71"/>
  <c r="B2" i="70"/>
  <c r="D16"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D21" i="9"/>
  <c r="G19" i="9"/>
  <c r="D22" i="9"/>
  <c r="B3" i="70"/>
  <c r="D6" i="71"/>
  <c r="C5" i="71"/>
  <c r="D5" i="71" s="1"/>
  <c r="M24" i="43" s="1"/>
  <c r="C42" i="40"/>
  <c r="C43" i="40"/>
  <c r="E47" i="40"/>
  <c r="F47" i="40" s="1"/>
  <c r="E46" i="40"/>
  <c r="F46" i="40" s="1"/>
  <c r="I47" i="40"/>
  <c r="J47" i="40" s="1"/>
  <c r="D20" i="9"/>
  <c r="J21" i="9" l="1"/>
  <c r="J24" i="9"/>
  <c r="J25" i="9" s="1"/>
  <c r="K25" i="9" s="1"/>
  <c r="G21" i="9"/>
  <c r="D14" i="74"/>
  <c r="G14" i="74" s="1"/>
  <c r="D103" i="9"/>
  <c r="G20" i="9"/>
  <c r="C32" i="9" s="1"/>
  <c r="B58" i="40"/>
  <c r="F58" i="40" s="1"/>
  <c r="B54" i="40"/>
  <c r="F54" i="40" s="1"/>
  <c r="B53" i="40"/>
  <c r="F53" i="40" s="1"/>
  <c r="B59" i="40"/>
  <c r="F59" i="40" s="1"/>
  <c r="B52" i="40"/>
  <c r="F52" i="40" s="1"/>
  <c r="B56" i="40"/>
  <c r="F56" i="40" s="1"/>
  <c r="B60" i="40"/>
  <c r="F60" i="40" s="1"/>
  <c r="B57" i="40"/>
  <c r="F57" i="40" s="1"/>
  <c r="B51" i="40"/>
  <c r="F51" i="40" s="1"/>
  <c r="F61" i="40"/>
  <c r="B2" i="40" s="1"/>
  <c r="B3" i="40" s="1"/>
  <c r="J22" i="9" l="1"/>
  <c r="K22" i="9" s="1"/>
  <c r="K21" i="9"/>
  <c r="K24" i="9"/>
  <c r="L24" i="9"/>
  <c r="C35" i="9"/>
  <c r="C34" i="9" s="1"/>
  <c r="E14" i="74"/>
  <c r="F14" i="74"/>
  <c r="B5" i="74"/>
  <c r="D5" i="74" s="1"/>
  <c r="B6" i="74" l="1"/>
  <c r="D6" i="74" s="1"/>
  <c r="D118" i="9"/>
  <c r="D4" i="52" s="1"/>
  <c r="B47" i="72" s="1"/>
  <c r="F118" i="9"/>
  <c r="G118" i="9" s="1"/>
  <c r="G4" i="52" s="1"/>
  <c r="B52" i="72" s="1"/>
  <c r="H118" i="9"/>
  <c r="H4" i="52" s="1"/>
  <c r="H101" i="9" l="1"/>
  <c r="F4" i="52"/>
  <c r="B51" i="72" s="1"/>
  <c r="C104" i="9"/>
  <c r="D119" i="9"/>
  <c r="D5" i="52" s="1"/>
  <c r="B49" i="72" s="1"/>
  <c r="F119" i="9"/>
  <c r="F5" i="52" s="1"/>
  <c r="B53" i="72" s="1"/>
  <c r="I118" i="9"/>
  <c r="H119" i="9"/>
  <c r="H5" i="52" s="1"/>
  <c r="I4" i="52" l="1"/>
  <c r="C105" i="9"/>
  <c r="H102" i="9"/>
  <c r="E118" i="9"/>
  <c r="E4" i="52" s="1"/>
  <c r="B48" i="72" s="1"/>
  <c r="M48" i="9"/>
  <c r="H107" i="9"/>
  <c r="D5" i="53"/>
  <c r="D45" i="9"/>
  <c r="C93" i="9" l="1"/>
  <c r="C86" i="9" s="1"/>
  <c r="C85" i="9"/>
  <c r="C78" i="9"/>
  <c r="C73" i="9" s="1"/>
  <c r="D53" i="9"/>
  <c r="D55" i="9"/>
  <c r="M53" i="9" s="1"/>
  <c r="C72" i="9"/>
  <c r="C64" i="9"/>
  <c r="C63" i="9" s="1"/>
  <c r="C67" i="9" s="1"/>
  <c r="D52" i="9"/>
  <c r="B20" i="72"/>
  <c r="D6" i="53"/>
  <c r="B22" i="72" s="1"/>
  <c r="C5" i="74"/>
  <c r="D7" i="53"/>
  <c r="B21" i="72" s="1"/>
  <c r="D13" i="53"/>
  <c r="H108" i="9"/>
  <c r="M49" i="9"/>
  <c r="D122" i="9"/>
  <c r="C95" i="9" l="1"/>
  <c r="C79" i="9"/>
  <c r="C80" i="9" s="1"/>
  <c r="E80" i="9" s="1"/>
  <c r="E81" i="9" s="1"/>
  <c r="C6" i="74"/>
  <c r="D15" i="53"/>
  <c r="B31" i="72" s="1"/>
  <c r="B30" i="72"/>
  <c r="D14" i="53"/>
  <c r="B32" i="72" s="1"/>
  <c r="D8" i="52"/>
  <c r="D123" i="9"/>
  <c r="D9" i="52" s="1"/>
  <c r="L67" i="9"/>
  <c r="M67" i="9" s="1"/>
  <c r="L66" i="9"/>
  <c r="M66" i="9" s="1"/>
  <c r="L68" i="9"/>
  <c r="M68" i="9" s="1"/>
  <c r="L65" i="9"/>
  <c r="M65" i="9" s="1"/>
  <c r="L64" i="9"/>
  <c r="M64" i="9" s="1"/>
  <c r="L63" i="9"/>
  <c r="M63" i="9" s="1"/>
  <c r="C68" i="9"/>
  <c r="D54" i="9" s="1"/>
  <c r="D59" i="9"/>
  <c r="M55" i="9" s="1"/>
  <c r="C96" i="9"/>
  <c r="E96" i="9" s="1"/>
  <c r="E97" i="9" s="1"/>
  <c r="C97" i="9" l="1"/>
  <c r="D58" i="9" s="1"/>
  <c r="D56" i="9" s="1"/>
  <c r="M54" i="9" s="1"/>
  <c r="N57" i="9" s="1"/>
  <c r="C81" i="9"/>
  <c r="M69" i="9"/>
  <c r="N69"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<sst xmlns="http://schemas.openxmlformats.org/spreadsheetml/2006/main" count="11321" uniqueCount="3696">
  <si>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</si>
  <si>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</si>
  <si>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</si>
  <si>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</si>
  <si>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</si>
  <si>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</si>
  <si>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</si>
  <si>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</si>
  <si>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</si>
  <si>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</si>
  <si>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</si>
  <si>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</si>
  <si>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</si>
  <si>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</si>
  <si>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</si>
  <si>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</si>
  <si>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</si>
  <si>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</si>
  <si>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</si>
  <si>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</si>
  <si>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</si>
  <si>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</si>
  <si>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</si>
  <si>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</si>
  <si>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</si>
  <si>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</si>
  <si>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</si>
  <si>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</si>
  <si>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</si>
  <si>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</si>
  <si>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</si>
  <si>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</si>
  <si>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</si>
  <si>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</si>
  <si>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</si>
  <si>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</si>
  <si>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</si>
  <si>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</si>
  <si>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</si>
  <si>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</si>
  <si>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</si>
  <si>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</si>
  <si>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</si>
  <si>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</si>
  <si>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</si>
  <si>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</si>
  <si>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</si>
  <si>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</si>
  <si>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</si>
  <si>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</si>
  <si>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</si>
  <si>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</si>
  <si>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</si>
  <si>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</si>
  <si>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</si>
  <si>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</si>
  <si>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</si>
  <si>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</si>
  <si>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</si>
  <si>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</si>
  <si>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</si>
  <si>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</si>
  <si>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</si>
  <si>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</si>
  <si>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</si>
  <si>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</si>
  <si>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</si>
  <si>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</si>
  <si>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</si>
  <si>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</si>
  <si>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</si>
  <si>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</si>
  <si>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</si>
  <si>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</si>
  <si>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</si>
  <si>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</si>
  <si>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</si>
  <si>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</si>
  <si>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</si>
  <si>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</si>
  <si>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</si>
  <si>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</si>
  <si>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</si>
  <si>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</si>
  <si>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</si>
  <si>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</si>
  <si>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</si>
  <si>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</si>
  <si>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</si>
  <si>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</si>
  <si>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</si>
  <si>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</si>
  <si>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</si>
  <si>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</si>
  <si>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</si>
  <si>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</si>
  <si>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</si>
  <si>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</si>
  <si>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</si>
  <si>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</si>
  <si>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</si>
  <si>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</si>
  <si>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</si>
  <si>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</si>
  <si>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</si>
  <si>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</si>
  <si>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</si>
  <si>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</si>
  <si>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</si>
  <si>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</si>
  <si>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</si>
  <si>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</si>
  <si>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</si>
  <si>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</si>
  <si>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</si>
  <si>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</si>
  <si>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</si>
  <si>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</si>
  <si>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</si>
  <si>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</si>
  <si>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</si>
  <si>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</si>
  <si>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</si>
  <si>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</si>
  <si>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</si>
  <si>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</si>
  <si>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</si>
  <si>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</si>
  <si>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</si>
  <si>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</si>
  <si>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</si>
  <si>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</si>
  <si>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</si>
  <si>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</si>
  <si>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</si>
  <si>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</si>
  <si>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</si>
  <si>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</si>
  <si>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</si>
  <si>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</si>
  <si>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</si>
  <si>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</si>
  <si>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</si>
  <si>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</si>
  <si>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</si>
  <si>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</si>
  <si>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</si>
  <si>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</si>
  <si>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</si>
  <si>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</si>
  <si>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</si>
  <si>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</si>
  <si>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</si>
  <si>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</si>
  <si>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</si>
  <si>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</si>
  <si>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</si>
  <si>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</si>
  <si>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</si>
  <si>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</si>
  <si>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</si>
  <si>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</si>
  <si>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</si>
  <si>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</si>
  <si>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</si>
  <si>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</si>
  <si>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</si>
  <si>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</si>
  <si>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</si>
  <si>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</si>
  <si>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</si>
  <si>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</si>
  <si>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</si>
  <si>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</si>
  <si>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</si>
  <si>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</si>
  <si>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</si>
  <si>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</si>
  <si>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</si>
  <si>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</si>
  <si>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</si>
  <si>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</si>
  <si>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</si>
  <si>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</si>
  <si>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</si>
  <si>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</si>
  <si>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</si>
  <si>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</si>
  <si>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</si>
  <si>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</si>
  <si>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</si>
  <si>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</si>
  <si>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</si>
  <si>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</si>
  <si>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</si>
  <si>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</si>
  <si>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</si>
  <si>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</si>
  <si>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</si>
  <si>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</si>
  <si>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</si>
  <si>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</si>
  <si>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</si>
  <si>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</si>
  <si>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</si>
  <si>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</si>
  <si>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</si>
  <si>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</si>
  <si>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</si>
  <si>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</si>
  <si>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</si>
  <si>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</si>
  <si>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</si>
  <si>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</si>
  <si>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</si>
  <si>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</si>
  <si>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</si>
  <si>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</si>
  <si>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</si>
  <si>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</si>
  <si>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</si>
  <si>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</si>
  <si>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</si>
  <si>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</si>
  <si>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</si>
  <si>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</si>
  <si>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</si>
  <si>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</si>
  <si>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</si>
  <si>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</si>
  <si>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</si>
  <si>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</si>
  <si>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</si>
  <si>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</si>
  <si>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</si>
  <si>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</si>
  <si>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</si>
  <si>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</si>
  <si>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</si>
  <si>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</si>
  <si>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</si>
  <si>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</si>
  <si>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</si>
  <si>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</si>
  <si>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</si>
  <si>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</si>
  <si>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</si>
  <si>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</si>
  <si>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</si>
  <si>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</si>
  <si>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</si>
  <si>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</si>
  <si>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</si>
  <si>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</si>
  <si>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</si>
  <si>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</si>
  <si>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</si>
  <si>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</si>
  <si>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</si>
  <si>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</si>
  <si>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</si>
  <si>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</si>
  <si>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</si>
  <si>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</si>
  <si>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</si>
  <si>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</si>
  <si>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</si>
  <si>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</si>
  <si>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</si>
  <si>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</si>
  <si>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</si>
  <si>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</si>
  <si>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</si>
  <si>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</si>
  <si>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</si>
  <si>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</si>
  <si>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</si>
  <si>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</si>
  <si>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</si>
  <si>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</si>
  <si>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</si>
  <si>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</si>
  <si>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</si>
  <si>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</si>
  <si>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</si>
  <si>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</si>
  <si>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</si>
  <si>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</si>
  <si>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</si>
  <si>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</si>
  <si>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</si>
  <si>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</si>
  <si>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</si>
  <si>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</si>
  <si>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</si>
  <si>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</si>
  <si>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</si>
  <si>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</si>
  <si>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</si>
  <si>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</si>
  <si>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</si>
  <si>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</si>
  <si>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</si>
  <si>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</si>
  <si>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</si>
  <si>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</si>
  <si>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</si>
  <si>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</si>
  <si>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</si>
  <si>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</si>
  <si>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</si>
  <si>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</si>
  <si>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</si>
  <si>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</si>
  <si>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</si>
  <si>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</si>
  <si>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</si>
  <si>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</si>
  <si>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</si>
  <si>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</si>
  <si>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</si>
  <si>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</si>
  <si>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</si>
  <si>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</si>
  <si>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</si>
  <si>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</si>
  <si>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</si>
  <si>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</si>
  <si>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</si>
  <si>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</si>
  <si>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</si>
  <si>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</si>
  <si>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</si>
  <si>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</si>
  <si>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</si>
  <si>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</si>
  <si>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</si>
  <si>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</si>
  <si>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</si>
  <si>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</si>
  <si>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</si>
  <si>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</si>
  <si>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</si>
  <si>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</si>
  <si>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</si>
  <si>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</si>
  <si>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</si>
  <si>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</si>
  <si>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</si>
  <si>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</si>
  <si>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</si>
  <si>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</si>
  <si>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</si>
  <si>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</si>
  <si>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</si>
  <si>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</si>
  <si>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</si>
  <si>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</si>
  <si>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</si>
  <si>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</si>
  <si>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</si>
  <si>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</si>
  <si>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</si>
  <si>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</si>
  <si>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</si>
  <si>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</si>
  <si>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</si>
  <si>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</si>
  <si>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</si>
  <si>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</si>
  <si>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</si>
  <si>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</si>
  <si>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</si>
  <si>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</si>
  <si>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</si>
  <si>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</si>
  <si>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</si>
  <si>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</si>
  <si>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</si>
  <si>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</si>
  <si>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</si>
  <si>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</si>
  <si>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</si>
  <si>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</si>
  <si>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</si>
  <si>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</si>
  <si>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</si>
  <si>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</si>
  <si>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</si>
  <si>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</si>
  <si>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</si>
  <si>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</si>
  <si>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</si>
  <si>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</si>
  <si>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</si>
  <si>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</si>
  <si>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</si>
  <si>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</si>
  <si>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</si>
  <si>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</si>
  <si>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</si>
  <si>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</si>
  <si>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</si>
  <si>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</si>
  <si>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</si>
  <si>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</si>
  <si>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</si>
  <si>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</si>
  <si>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</si>
  <si>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</si>
  <si>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</si>
  <si>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</si>
  <si>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</si>
  <si>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</si>
  <si>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</si>
  <si>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</si>
  <si>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</si>
  <si>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</si>
  <si>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</si>
  <si>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</si>
  <si>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</si>
  <si>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</si>
  <si>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</si>
  <si>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</si>
  <si>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</si>
  <si>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</si>
  <si>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</si>
  <si>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</si>
  <si>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</si>
  <si>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</si>
  <si>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</si>
  <si>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</si>
  <si>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</si>
  <si>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</si>
  <si>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</si>
  <si>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</si>
  <si>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</si>
  <si>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</si>
  <si>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</si>
  <si>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</si>
  <si>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</si>
  <si>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</si>
  <si>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</si>
  <si>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</si>
  <si>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</si>
  <si>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</si>
  <si>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</si>
  <si>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</si>
  <si>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</si>
  <si>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</si>
  <si>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</si>
  <si>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</si>
  <si>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</si>
  <si>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</si>
  <si>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</si>
  <si>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</si>
  <si>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</si>
  <si>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</si>
  <si>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</si>
  <si>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</si>
  <si>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</si>
  <si>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</si>
  <si>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</si>
  <si>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</si>
  <si>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</si>
  <si>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</si>
  <si>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</si>
  <si>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</si>
  <si>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</si>
  <si>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</si>
  <si>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</si>
  <si>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</si>
  <si>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</si>
  <si>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</si>
  <si>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</si>
  <si>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</si>
  <si>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</si>
  <si>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</si>
  <si>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</si>
  <si>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</si>
  <si>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</si>
  <si>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</si>
  <si>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</si>
  <si>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</si>
  <si>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</si>
  <si>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</si>
  <si>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</si>
  <si>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</si>
  <si>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</si>
  <si>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</si>
  <si>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</si>
  <si>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</si>
  <si>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</si>
  <si>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</si>
  <si>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</si>
  <si>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</si>
  <si>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</si>
  <si>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</si>
  <si>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</si>
  <si>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</si>
  <si>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</si>
  <si>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</si>
  <si>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</si>
  <si>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</si>
  <si>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</si>
  <si>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</si>
  <si>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</si>
  <si>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</si>
  <si>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</si>
  <si>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</si>
  <si>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</si>
  <si>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</si>
  <si>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</si>
  <si>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</si>
  <si>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</si>
  <si>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</si>
  <si>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</si>
  <si>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</si>
  <si>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</si>
  <si>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</si>
  <si>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</si>
  <si>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</si>
  <si>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</si>
  <si>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</si>
  <si>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</si>
  <si>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</si>
  <si>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</si>
  <si>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</si>
  <si>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</si>
  <si>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</si>
  <si>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</si>
  <si>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</si>
  <si>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</si>
  <si>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</si>
  <si>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</si>
  <si>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</si>
  <si>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</si>
  <si>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</si>
  <si>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</si>
  <si>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</si>
  <si>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</si>
  <si>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</si>
  <si>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</si>
  <si>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</si>
  <si>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</si>
  <si>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</si>
  <si>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</si>
  <si>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</si>
  <si>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</si>
  <si>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</si>
  <si>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</si>
  <si>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</si>
  <si>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</si>
  <si>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</si>
  <si>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</si>
  <si>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</si>
  <si>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</si>
  <si>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</si>
  <si>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</si>
  <si>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</si>
  <si>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</si>
  <si>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</si>
  <si>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</si>
  <si>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</si>
  <si>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</si>
  <si>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</si>
  <si>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</si>
  <si>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</si>
  <si>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</si>
  <si>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</si>
  <si>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</si>
  <si>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</si>
  <si>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</si>
  <si>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</si>
  <si>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</si>
  <si>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</si>
  <si>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</si>
  <si>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</si>
  <si>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</si>
  <si>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</si>
  <si>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</si>
  <si>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</si>
  <si>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</si>
  <si>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</si>
  <si>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</si>
  <si>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</si>
  <si>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</si>
  <si>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</si>
  <si>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</si>
  <si>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</si>
  <si>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</si>
  <si>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</si>
  <si>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</si>
  <si>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</si>
  <si>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</si>
  <si>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</si>
  <si>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</si>
  <si>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</si>
  <si>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</si>
  <si>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</si>
  <si>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</si>
  <si>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</si>
  <si>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</si>
  <si>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</si>
  <si>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</si>
  <si>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</si>
  <si>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</si>
  <si>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</si>
  <si>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</si>
  <si>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</si>
  <si>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</si>
  <si>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</si>
  <si>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</si>
  <si>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</si>
  <si>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</si>
  <si>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</si>
  <si>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</si>
  <si>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</si>
  <si>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</si>
  <si>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</si>
  <si>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</si>
  <si>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</si>
  <si>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</si>
  <si>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</si>
  <si>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</si>
  <si>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</si>
  <si>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</si>
  <si>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</si>
  <si>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</si>
  <si>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</si>
  <si>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</si>
  <si>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</si>
  <si>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</si>
  <si>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</si>
  <si>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</si>
  <si>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</si>
  <si>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</si>
  <si>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</si>
  <si>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</si>
  <si>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</si>
  <si>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</si>
  <si>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</si>
  <si>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</si>
  <si>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</si>
  <si>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</si>
  <si>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</si>
  <si>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</si>
  <si>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</si>
  <si>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</si>
  <si>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</si>
  <si>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</si>
  <si>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</si>
  <si>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</si>
  <si>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</si>
  <si>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</si>
  <si>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</si>
  <si>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</si>
  <si>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</si>
  <si>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</si>
  <si>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</si>
  <si>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</si>
  <si>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</si>
  <si>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</si>
  <si>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</si>
  <si>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</si>
  <si>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</si>
  <si>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</si>
  <si>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</si>
  <si>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</si>
  <si>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</si>
  <si>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</si>
  <si>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</si>
  <si>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</si>
  <si>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</si>
  <si>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</si>
  <si>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</si>
  <si>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</si>
  <si>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</si>
  <si>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</si>
  <si>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</si>
  <si>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</si>
  <si>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</si>
  <si>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</si>
  <si>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</si>
  <si>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</si>
  <si>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</si>
  <si>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</si>
  <si>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</si>
  <si>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</si>
  <si>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</si>
  <si>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</si>
  <si>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</si>
  <si>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</si>
  <si>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</si>
  <si>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</si>
  <si>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</si>
  <si>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</si>
  <si>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</si>
  <si>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</si>
  <si>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</si>
  <si>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</si>
  <si>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</si>
  <si>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</si>
  <si>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</si>
  <si>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</si>
  <si>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</si>
  <si>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</si>
  <si>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</si>
  <si>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</si>
  <si>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</si>
  <si>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</si>
  <si>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</si>
  <si>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</si>
  <si>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</si>
  <si>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</si>
  <si>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</si>
  <si>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</si>
  <si>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</si>
  <si>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</si>
  <si>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</si>
  <si>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</si>
  <si>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</si>
  <si>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</si>
  <si>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</si>
  <si>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</si>
  <si>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</si>
  <si>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</si>
  <si>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</si>
  <si>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</si>
  <si>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</si>
  <si>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</si>
  <si>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</si>
  <si>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</si>
  <si>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</si>
  <si>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</si>
  <si>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</si>
  <si>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</si>
  <si>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</si>
  <si>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</si>
  <si>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</si>
  <si>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</si>
  <si>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</si>
  <si>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</si>
  <si>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</si>
  <si>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</si>
  <si>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</si>
  <si>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</si>
  <si>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</si>
  <si>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</si>
  <si>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</si>
  <si>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</si>
  <si>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</si>
  <si>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</si>
  <si>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</si>
  <si>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</si>
  <si>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</si>
  <si>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</si>
  <si>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</si>
  <si>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</si>
  <si>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</si>
  <si>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</si>
  <si>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</si>
  <si>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</si>
  <si>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</si>
  <si>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</si>
  <si>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</si>
  <si>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</si>
  <si>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</si>
  <si>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</si>
  <si>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</si>
  <si>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</si>
  <si>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</si>
  <si>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</si>
  <si>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</si>
  <si>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</si>
  <si>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</si>
  <si>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</si>
  <si>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</si>
  <si>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</si>
  <si>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</si>
  <si>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</si>
  <si>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</si>
  <si>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</si>
  <si>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</si>
  <si>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</si>
  <si>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</si>
  <si>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</si>
  <si>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</si>
  <si>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</si>
  <si>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</si>
  <si>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</si>
  <si>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</si>
  <si>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</si>
  <si>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</si>
  <si>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</si>
  <si>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</si>
  <si>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</si>
  <si>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</si>
  <si>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</si>
  <si>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</si>
  <si>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</si>
  <si>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</si>
  <si>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</si>
  <si>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</si>
  <si>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</si>
  <si>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</si>
  <si>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</si>
  <si>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</si>
  <si>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</si>
  <si>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</si>
  <si>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</si>
  <si>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</si>
  <si>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</si>
  <si>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</si>
  <si>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</si>
  <si>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</si>
  <si>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</si>
  <si>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</si>
  <si>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</si>
  <si>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</si>
  <si>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</si>
  <si>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</si>
  <si>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</si>
  <si>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</si>
  <si>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</si>
  <si>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</si>
  <si>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</si>
  <si>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</si>
  <si>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</si>
  <si>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</si>
  <si>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</si>
  <si>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</si>
  <si>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</si>
  <si>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</si>
  <si>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</si>
  <si>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</si>
  <si>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</si>
  <si>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</si>
  <si>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</si>
  <si>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</si>
  <si>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</si>
  <si>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</si>
  <si>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</si>
  <si>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</si>
  <si>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</si>
  <si>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</si>
  <si>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</si>
  <si>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</si>
  <si>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</si>
  <si>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</si>
  <si>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</si>
  <si>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</si>
  <si>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</si>
  <si>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</si>
  <si>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</si>
  <si>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</si>
  <si>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</si>
  <si>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</si>
  <si>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</si>
  <si>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</si>
  <si>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</si>
  <si>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</si>
  <si>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</si>
  <si>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</si>
  <si>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</si>
  <si>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</si>
  <si>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</si>
  <si>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</si>
  <si>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</si>
  <si>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</si>
  <si>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</si>
  <si>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</si>
  <si>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</si>
  <si>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</si>
  <si>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</si>
  <si>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</si>
  <si>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</si>
  <si>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</si>
  <si>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</si>
  <si>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</si>
  <si>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</si>
  <si>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</si>
  <si>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</si>
  <si>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</si>
  <si>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</si>
  <si>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</si>
  <si>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</si>
  <si>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</si>
  <si>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</si>
  <si>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</si>
  <si>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</si>
  <si>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</si>
  <si>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</si>
  <si>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</si>
  <si>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</si>
  <si>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</si>
  <si>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</si>
  <si>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</si>
  <si>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</si>
  <si>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</si>
  <si>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</si>
  <si>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</si>
  <si>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</si>
  <si>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</si>
  <si>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</si>
  <si>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</si>
  <si>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</si>
  <si>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</si>
  <si>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</si>
  <si>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</si>
  <si>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</si>
  <si>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</si>
  <si>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</si>
  <si>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</si>
  <si>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</si>
  <si>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</si>
  <si>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</si>
  <si>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</si>
  <si>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</si>
  <si>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</si>
  <si>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</si>
  <si>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</si>
  <si>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</si>
  <si>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</si>
  <si>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</si>
  <si>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</si>
  <si>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</si>
  <si>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</si>
  <si>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</si>
  <si>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</si>
  <si>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</si>
  <si>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</si>
  <si>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</si>
  <si>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</si>
  <si>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</si>
  <si>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</si>
  <si>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</si>
  <si>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</si>
  <si>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</si>
  <si>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</si>
  <si>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</si>
  <si>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</si>
  <si>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</si>
  <si>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</si>
  <si>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</si>
  <si>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</si>
  <si>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</si>
  <si>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</si>
  <si>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</si>
  <si>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</si>
  <si>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</si>
  <si>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</si>
  <si>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</si>
  <si>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</si>
  <si>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</si>
  <si>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</si>
  <si>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</si>
  <si>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</si>
  <si>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</si>
  <si>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</si>
  <si>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</si>
  <si>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</si>
  <si>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</si>
  <si>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</si>
  <si>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</si>
  <si>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</si>
  <si>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</si>
  <si>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</si>
  <si>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</si>
  <si>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</si>
  <si>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</si>
  <si>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</si>
  <si>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</si>
  <si>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</si>
  <si>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</si>
  <si>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</si>
  <si>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</si>
  <si>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</si>
  <si>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</si>
  <si>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</si>
  <si>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</si>
  <si>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</si>
  <si>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</si>
  <si>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</si>
  <si>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</si>
  <si>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</si>
  <si>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</si>
  <si>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</si>
  <si>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</si>
  <si>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</si>
  <si>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</si>
  <si>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</si>
  <si>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</si>
  <si>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</si>
  <si>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</si>
  <si>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</si>
  <si>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</si>
  <si>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</si>
  <si>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</si>
  <si>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</si>
  <si>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</si>
  <si>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</si>
  <si>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</si>
  <si>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</si>
  <si>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</si>
  <si>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</si>
  <si>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</si>
  <si>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</si>
  <si>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</si>
  <si>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</si>
  <si>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</si>
  <si>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</si>
  <si>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</si>
  <si>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</si>
  <si>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</si>
  <si>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</si>
  <si>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</si>
  <si>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</si>
  <si>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</si>
  <si>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</si>
  <si>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</si>
  <si>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</si>
  <si>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</si>
  <si>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</si>
  <si>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</si>
  <si>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</si>
  <si>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</si>
  <si>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</si>
  <si>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</si>
  <si>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</si>
  <si>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</si>
  <si>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</si>
  <si>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</si>
  <si>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</si>
  <si>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</si>
  <si>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</si>
  <si>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</si>
  <si>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</si>
  <si>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</si>
  <si>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</si>
  <si>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</si>
  <si>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</si>
  <si>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</si>
  <si>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</si>
  <si>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</si>
  <si>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</si>
  <si>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</si>
  <si>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</si>
  <si>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</si>
  <si>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</si>
  <si>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</si>
  <si>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</si>
  <si>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</si>
  <si>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</si>
  <si>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</si>
  <si>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</si>
  <si>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</si>
  <si>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</si>
  <si>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</si>
  <si>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</si>
  <si>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</si>
  <si>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</si>
  <si>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</si>
  <si>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</si>
  <si>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</si>
  <si>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</si>
  <si>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</si>
  <si>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</si>
  <si>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</si>
  <si>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</si>
  <si>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</si>
  <si>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</si>
  <si>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</si>
  <si>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</si>
  <si>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</si>
  <si>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</si>
  <si>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</si>
  <si>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</si>
  <si>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</si>
  <si>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</si>
  <si>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</si>
  <si>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</si>
  <si>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</si>
  <si>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</si>
  <si>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</si>
  <si>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</si>
  <si>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</si>
  <si>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</si>
  <si>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</si>
  <si>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</si>
  <si>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</si>
  <si>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</si>
  <si>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</si>
  <si>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</si>
  <si>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</si>
  <si>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</si>
  <si>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</si>
  <si>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</si>
  <si>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</si>
  <si>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</si>
  <si>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</si>
  <si>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</si>
  <si>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</si>
  <si>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</si>
  <si>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</si>
  <si>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</si>
  <si>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</si>
  <si>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</si>
  <si>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</si>
  <si>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</si>
  <si>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</si>
  <si>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</si>
  <si>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</si>
  <si>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</si>
  <si>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</si>
  <si>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</si>
  <si>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</si>
  <si>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</si>
  <si>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</si>
  <si>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</si>
  <si>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</si>
  <si>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</si>
  <si>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</si>
  <si>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</si>
  <si>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</si>
  <si>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</si>
  <si>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</si>
  <si>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</si>
  <si>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</si>
  <si>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</si>
  <si>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</si>
  <si>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</si>
  <si>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</si>
  <si>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</si>
  <si>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</si>
  <si>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</si>
  <si>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</si>
  <si>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</si>
  <si>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</si>
  <si>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</si>
  <si>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</si>
  <si>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</si>
  <si>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</si>
  <si>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</si>
  <si>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</si>
  <si>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</si>
  <si>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</si>
  <si>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</si>
  <si>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</si>
  <si>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</si>
  <si>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</si>
  <si>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</si>
  <si>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</si>
  <si>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</si>
  <si>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</si>
  <si>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</si>
  <si>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</si>
  <si>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</si>
  <si>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</si>
  <si>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</si>
  <si>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</si>
  <si>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</si>
  <si>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</si>
  <si>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</si>
  <si>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</si>
  <si>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</si>
  <si>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</si>
  <si>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</si>
  <si>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</si>
  <si>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</si>
  <si>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</si>
  <si>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</si>
  <si>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</si>
  <si>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</si>
  <si>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</si>
  <si>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</si>
  <si>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</si>
  <si>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</si>
  <si>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</si>
  <si>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</si>
  <si>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</si>
  <si>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</si>
  <si>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</si>
  <si>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</si>
  <si>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</si>
  <si>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</si>
  <si>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</si>
  <si>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</si>
  <si>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</si>
  <si>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</si>
  <si>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</si>
  <si>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</si>
  <si>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</si>
  <si>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</si>
  <si>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</si>
  <si>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</si>
  <si>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</si>
  <si>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</si>
  <si>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</si>
  <si>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</si>
  <si>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</si>
  <si>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</si>
  <si>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</si>
  <si>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</si>
  <si>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</si>
  <si>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</si>
  <si>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</si>
  <si>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</si>
  <si>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</si>
  <si>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</si>
  <si>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</si>
  <si>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</si>
  <si>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</si>
  <si>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</si>
  <si>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</si>
  <si>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</si>
  <si>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</si>
  <si>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</si>
  <si>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</si>
  <si>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</si>
  <si>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</si>
  <si>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</si>
  <si>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</si>
  <si>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</si>
  <si>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</si>
  <si>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</si>
  <si>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</si>
  <si>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</si>
  <si>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</si>
  <si>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</si>
  <si>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</si>
  <si>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</si>
  <si>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</si>
  <si>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</si>
  <si>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</si>
  <si>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</si>
  <si>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</si>
  <si>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</si>
  <si>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</si>
  <si>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</si>
  <si>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</si>
  <si>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</si>
  <si>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</si>
  <si>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</si>
  <si>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</si>
  <si>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</si>
  <si>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</si>
  <si>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</si>
  <si>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</si>
  <si>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</si>
  <si>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</si>
  <si>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</si>
  <si>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</si>
  <si>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</si>
  <si>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</si>
  <si>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</si>
  <si>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</si>
  <si>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</si>
  <si>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</si>
  <si>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</si>
  <si>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</si>
  <si>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</si>
  <si>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</si>
  <si>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</si>
  <si>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</si>
  <si>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</si>
  <si>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</si>
  <si>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</si>
  <si>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</si>
  <si>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</si>
  <si>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</si>
  <si>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</si>
  <si>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</si>
  <si>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</si>
  <si>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</si>
  <si>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</si>
  <si>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</si>
  <si>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</si>
  <si>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</si>
  <si>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</si>
  <si>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</si>
  <si>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</si>
  <si>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</si>
  <si>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</si>
  <si>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</si>
  <si>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</si>
  <si>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</si>
  <si>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</si>
  <si>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</si>
  <si>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</si>
  <si>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</si>
  <si>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</si>
  <si>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</si>
  <si>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</si>
  <si>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</si>
  <si>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</si>
  <si>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</si>
  <si>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</si>
  <si>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</si>
  <si>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</si>
  <si>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</si>
  <si>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</si>
  <si>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</si>
  <si>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</si>
  <si>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</si>
  <si>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</si>
  <si>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</si>
  <si>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</si>
  <si>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</si>
  <si>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</si>
  <si>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</si>
  <si>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</si>
  <si>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</si>
  <si>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</si>
  <si>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</si>
  <si>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</si>
  <si>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</si>
  <si>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</si>
  <si>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</si>
  <si>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</si>
  <si>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</si>
  <si>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</si>
  <si>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</si>
  <si>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</si>
  <si>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</si>
  <si>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</si>
  <si>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</si>
  <si>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</si>
  <si>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</si>
  <si>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</si>
  <si>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</si>
  <si>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</si>
  <si>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</si>
  <si>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</si>
  <si>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</si>
  <si>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</si>
  <si>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</si>
  <si>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</si>
  <si>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</si>
  <si>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</si>
  <si>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</si>
  <si>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</si>
  <si>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</si>
  <si>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</si>
  <si>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</si>
  <si>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</si>
  <si>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</si>
  <si>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</si>
  <si>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</si>
  <si>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</si>
  <si>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</si>
  <si>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</si>
  <si>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</si>
  <si>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</si>
  <si>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</si>
  <si>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</si>
  <si>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</si>
  <si>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</si>
  <si>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</si>
  <si>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</si>
  <si>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</si>
  <si>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</si>
  <si>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</si>
  <si>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</si>
  <si>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</si>
  <si>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</si>
  <si>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</si>
  <si>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</si>
  <si>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</si>
  <si>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</si>
  <si>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</si>
  <si>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</si>
  <si>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</si>
  <si>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</si>
  <si>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</si>
  <si>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</si>
  <si>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</si>
  <si>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</si>
  <si>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</si>
  <si>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</si>
  <si>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</si>
  <si>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</si>
  <si>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</si>
  <si>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</si>
  <si>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</si>
  <si>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</si>
  <si>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</si>
  <si>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</si>
  <si>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</si>
  <si>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</si>
  <si>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</si>
  <si>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</si>
  <si>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</si>
  <si>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</si>
  <si>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</si>
  <si>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</si>
  <si>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</si>
  <si>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</si>
  <si>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</si>
  <si>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</si>
  <si>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</si>
  <si>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</si>
  <si>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</si>
  <si>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</si>
  <si>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</si>
  <si>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</si>
  <si>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</si>
  <si>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</si>
  <si>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</si>
  <si>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</si>
  <si>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</si>
  <si>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</si>
  <si>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</si>
  <si>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</si>
  <si>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</si>
  <si>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</si>
  <si>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</si>
  <si>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</si>
  <si>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</si>
  <si>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</si>
  <si>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</si>
  <si>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</si>
  <si>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</si>
  <si>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</si>
  <si>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</si>
  <si>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</si>
  <si>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</si>
  <si>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</si>
  <si>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</si>
  <si>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</si>
  <si>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</si>
  <si>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</si>
  <si>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</si>
  <si>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</si>
  <si>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</si>
  <si>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</si>
  <si>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</si>
  <si>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</si>
  <si>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</si>
  <si>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</si>
  <si>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</si>
  <si>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</si>
  <si>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</si>
  <si>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</si>
  <si>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</si>
  <si>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</si>
  <si>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</si>
  <si>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</si>
  <si>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</si>
  <si>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</si>
  <si>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</si>
  <si>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</si>
  <si>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</si>
  <si>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</si>
  <si>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</si>
  <si>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</si>
  <si>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</si>
  <si>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</si>
  <si>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</si>
  <si>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</si>
  <si>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</si>
  <si>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</si>
  <si>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</si>
  <si>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</si>
  <si>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</si>
  <si>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</si>
  <si>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</si>
  <si>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</si>
  <si>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</si>
  <si>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</si>
  <si>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</si>
  <si>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</si>
  <si>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</si>
  <si>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</si>
  <si>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</si>
  <si>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</si>
  <si>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</si>
  <si>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</si>
  <si>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</si>
  <si>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</si>
  <si>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</si>
  <si>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</si>
  <si>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</si>
  <si>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</si>
  <si>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</si>
  <si>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</si>
  <si>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</si>
  <si>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</si>
  <si>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</si>
  <si>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</si>
  <si>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</si>
  <si>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</si>
  <si>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</si>
  <si>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</si>
  <si>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</si>
  <si>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</si>
  <si>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</si>
  <si>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</si>
  <si>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</si>
  <si>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</si>
  <si>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</si>
  <si>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</si>
  <si>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</si>
  <si>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</si>
  <si>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</si>
  <si>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</si>
  <si>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</si>
  <si>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</si>
  <si>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</si>
  <si>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</si>
  <si>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</si>
  <si>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</si>
  <si>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</si>
  <si>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</si>
  <si>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</si>
  <si>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</si>
  <si>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</si>
  <si>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</si>
  <si>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</si>
  <si>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</si>
  <si>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</si>
  <si>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</si>
  <si>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</si>
  <si>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</si>
  <si>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</si>
  <si>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</si>
  <si>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</si>
  <si>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</si>
  <si>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</si>
  <si>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</si>
  <si>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</si>
  <si>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</si>
  <si>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</si>
  <si>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</si>
  <si>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</si>
  <si>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</si>
  <si>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</si>
  <si>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</si>
  <si>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</si>
  <si>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</si>
  <si>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</si>
  <si>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</si>
  <si>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</si>
  <si>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</si>
  <si>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</si>
  <si>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</si>
  <si>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</si>
  <si>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</si>
  <si>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</si>
  <si>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</si>
  <si>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</si>
  <si>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</si>
  <si>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</si>
  <si>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</si>
  <si>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</si>
  <si>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</si>
  <si>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</si>
  <si>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</si>
  <si>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</si>
  <si>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</si>
  <si>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</si>
  <si>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</si>
  <si>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</si>
  <si>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</si>
  <si>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</si>
  <si>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</si>
  <si>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</si>
  <si>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</si>
  <si>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</si>
  <si>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</si>
  <si>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</si>
  <si>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</si>
  <si>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</si>
  <si>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</si>
  <si>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</si>
  <si>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</si>
  <si>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</si>
  <si>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</si>
  <si>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</si>
  <si>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</si>
  <si>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</si>
  <si>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</si>
  <si>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</si>
  <si>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</si>
  <si>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</si>
  <si>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</si>
  <si>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</si>
  <si>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</si>
  <si>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</si>
  <si>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</si>
  <si>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</si>
  <si>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</si>
  <si>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</si>
  <si>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</si>
  <si>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</si>
  <si>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</si>
  <si>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</si>
  <si>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</si>
  <si>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</si>
  <si>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</si>
  <si>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</si>
  <si>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</si>
  <si>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</si>
  <si>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</si>
  <si>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</si>
  <si>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</si>
  <si>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</si>
  <si>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</si>
  <si>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</si>
  <si>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</si>
  <si>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</si>
  <si>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</si>
  <si>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</si>
  <si>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</si>
  <si>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</si>
  <si>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</si>
  <si>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</si>
  <si>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</si>
  <si>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</si>
  <si>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</si>
  <si>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</si>
  <si>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</si>
  <si>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</si>
  <si>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</si>
  <si>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</si>
  <si>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</si>
  <si>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</si>
  <si>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</si>
  <si>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</si>
  <si>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</si>
  <si>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</si>
  <si>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</si>
  <si>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</si>
  <si>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</si>
  <si>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</si>
  <si>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</si>
  <si>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</si>
  <si>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</si>
  <si>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</si>
  <si>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</si>
  <si>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</si>
  <si>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</si>
  <si>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</si>
  <si>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</si>
  <si>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</si>
  <si>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</si>
  <si>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</si>
  <si>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</si>
  <si>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</si>
  <si>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</si>
  <si>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</si>
  <si>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</si>
  <si>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</si>
  <si>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</si>
  <si>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</si>
  <si>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</si>
  <si>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</si>
  <si>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</si>
  <si>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</si>
  <si>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</si>
  <si>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</si>
  <si>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</si>
  <si>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</si>
  <si>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</si>
  <si>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</si>
  <si>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</si>
  <si>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</si>
  <si>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</si>
  <si>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</si>
  <si>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</si>
  <si>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</si>
  <si>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</si>
  <si>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</si>
  <si>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</si>
  <si>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</si>
  <si>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</si>
  <si>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</si>
  <si>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</si>
  <si>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</si>
  <si>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</si>
  <si>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</si>
  <si>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</si>
  <si>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</si>
  <si>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</si>
  <si>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</si>
  <si>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</si>
  <si>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</si>
  <si>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</si>
  <si>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</si>
  <si>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</si>
  <si>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</si>
  <si>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</si>
  <si>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</si>
  <si>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</si>
  <si>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</si>
  <si>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</si>
  <si>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</si>
  <si>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</si>
  <si>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</si>
  <si>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</si>
  <si>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</si>
  <si>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</si>
  <si>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</si>
  <si>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</si>
  <si>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</si>
  <si>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</si>
  <si>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</si>
  <si>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</si>
  <si>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</si>
  <si>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</si>
  <si>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</si>
  <si>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</si>
  <si>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</si>
  <si>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</si>
  <si>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</si>
  <si>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</si>
  <si>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</si>
  <si>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</si>
  <si>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</si>
  <si>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</si>
  <si>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</si>
  <si>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</si>
  <si>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</si>
  <si>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</si>
  <si>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</si>
  <si>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</si>
  <si>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</si>
  <si>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</si>
  <si>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</si>
  <si>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</si>
  <si>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</si>
  <si>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</si>
  <si>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</si>
  <si>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</si>
  <si>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</si>
  <si>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</si>
  <si>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</si>
  <si>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</si>
  <si>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</si>
  <si>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</si>
  <si>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</si>
  <si>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</si>
  <si>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</si>
  <si>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</si>
  <si>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</si>
  <si>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</si>
  <si>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</si>
  <si>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</si>
  <si>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</si>
  <si>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</si>
  <si>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</si>
  <si>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</si>
  <si>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</si>
  <si>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</si>
  <si>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</si>
  <si>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</si>
  <si>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</si>
  <si>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</si>
  <si>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</si>
  <si>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</si>
  <si>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</si>
  <si>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</si>
  <si>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</si>
  <si>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</si>
  <si>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</si>
  <si>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</si>
  <si>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</si>
  <si>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</si>
  <si>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</si>
  <si>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</si>
  <si>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</si>
  <si>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</si>
  <si>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</si>
  <si>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</si>
  <si>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</si>
  <si>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</si>
  <si>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</si>
  <si>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</si>
  <si>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</si>
  <si>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</si>
  <si>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</si>
  <si>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</si>
  <si>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</si>
  <si>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</si>
  <si>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</si>
  <si>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</si>
  <si>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</si>
  <si>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</si>
  <si>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</si>
  <si>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</si>
  <si>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</si>
  <si>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</si>
  <si>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</si>
  <si>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</si>
  <si>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</si>
  <si>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</si>
  <si>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</si>
  <si>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</si>
  <si>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</si>
  <si>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</si>
  <si>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</si>
  <si>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</si>
  <si>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</si>
  <si>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</si>
  <si>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</si>
  <si>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</si>
  <si>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</si>
  <si>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</si>
  <si>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</si>
  <si>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</si>
  <si>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</si>
  <si>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</si>
  <si>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</si>
  <si>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</si>
  <si>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</si>
  <si>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</si>
  <si>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</si>
  <si>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</si>
  <si>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</si>
  <si>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</si>
  <si>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</si>
  <si>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</si>
  <si>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</si>
  <si>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</si>
  <si>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</si>
  <si>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</si>
  <si>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</si>
  <si>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</si>
  <si>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</si>
  <si>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</si>
  <si>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</si>
  <si>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</si>
  <si>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</si>
  <si>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</si>
  <si>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</si>
  <si>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</si>
  <si>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</si>
  <si>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</si>
  <si>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</si>
  <si>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</si>
  <si>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</si>
  <si>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</si>
  <si>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</si>
  <si>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</si>
  <si>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</si>
  <si>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</si>
  <si>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</si>
  <si>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</si>
  <si>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</si>
  <si>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</si>
  <si>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</si>
  <si>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</si>
  <si>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</si>
  <si>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</si>
  <si>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</si>
  <si>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</si>
  <si>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</si>
  <si>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</si>
  <si>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</si>
  <si>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</si>
  <si>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</si>
  <si>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</si>
  <si>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</si>
  <si>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</si>
  <si>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</si>
  <si>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</si>
  <si>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</si>
  <si>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</si>
  <si>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</si>
  <si>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</si>
  <si>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</si>
  <si>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</si>
  <si>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</si>
  <si>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</si>
  <si>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</si>
  <si>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</si>
  <si>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</si>
  <si>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</si>
  <si>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</si>
  <si>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</si>
  <si>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</si>
  <si>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</si>
  <si>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</si>
  <si>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</si>
  <si>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</si>
  <si>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</si>
  <si>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</si>
  <si>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</si>
  <si>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</si>
  <si>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</si>
  <si>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</si>
  <si>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</si>
  <si>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</si>
  <si>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</si>
  <si>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</si>
  <si>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</si>
  <si>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</si>
  <si>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</si>
  <si>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</si>
  <si>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</si>
  <si>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</si>
  <si>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</si>
  <si>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</si>
  <si>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</si>
  <si>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</si>
  <si>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</si>
  <si>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</si>
  <si>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</si>
  <si>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</si>
  <si>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</si>
  <si>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</si>
  <si>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</si>
  <si>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</si>
  <si>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</si>
  <si>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</si>
  <si>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</si>
  <si>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</si>
  <si>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</si>
  <si>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</si>
  <si>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</si>
  <si>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</si>
  <si>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</si>
  <si>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</si>
  <si>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</si>
  <si>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</si>
  <si>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</si>
  <si>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</si>
  <si>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</si>
  <si>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</si>
  <si>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</si>
  <si>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</si>
  <si>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</si>
  <si>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</si>
  <si>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</si>
  <si>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</si>
  <si>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</si>
  <si>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</si>
  <si>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</si>
  <si>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</si>
  <si>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</si>
  <si>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</si>
  <si>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</si>
  <si>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</si>
  <si>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</si>
  <si>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</si>
  <si>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</si>
  <si>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</si>
  <si>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</si>
  <si>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</si>
  <si>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</si>
  <si>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</si>
  <si>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</si>
  <si>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</si>
  <si>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</si>
  <si>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</si>
  <si>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</si>
  <si>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</si>
  <si>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</si>
  <si>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</si>
  <si>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</si>
  <si>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</si>
  <si>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</si>
  <si>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</si>
  <si>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</si>
  <si>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</si>
  <si>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</si>
  <si>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</si>
  <si>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</si>
  <si>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</si>
  <si>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</si>
  <si>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</si>
  <si>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</si>
  <si>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</si>
  <si>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</si>
  <si>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</si>
  <si>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</si>
  <si>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</si>
  <si>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</si>
  <si>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</si>
  <si>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</si>
  <si>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</si>
  <si>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</si>
  <si>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</si>
  <si>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</si>
  <si>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</si>
  <si>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</si>
  <si>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</si>
  <si>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</si>
  <si>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</si>
  <si>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</si>
  <si>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</si>
  <si>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</si>
  <si>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</si>
  <si>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</si>
  <si>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</si>
  <si>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</si>
  <si>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</si>
  <si>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</si>
  <si>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</si>
  <si>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</si>
  <si>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</si>
  <si>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</si>
  <si>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</si>
  <si>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</si>
  <si>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</si>
  <si>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</si>
  <si>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</si>
  <si>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</si>
  <si>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</si>
  <si>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</si>
  <si>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</si>
  <si>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</si>
  <si>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</si>
  <si>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</si>
  <si>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</si>
  <si>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</si>
  <si>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</si>
  <si>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</si>
  <si>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</si>
  <si>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</si>
  <si>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</si>
  <si>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</si>
  <si>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</si>
  <si>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</si>
  <si>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</si>
  <si>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</si>
  <si>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</si>
  <si>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</si>
  <si>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</si>
  <si>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</si>
  <si>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</si>
  <si>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</si>
  <si>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</si>
  <si>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</si>
  <si>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</si>
  <si>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</si>
  <si>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</si>
  <si>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</si>
  <si>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</si>
  <si>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</si>
  <si>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</si>
  <si>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</si>
  <si>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</si>
  <si>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</si>
  <si>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</si>
  <si>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</si>
  <si>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</si>
  <si>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</si>
  <si>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</si>
  <si>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</si>
  <si>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</si>
  <si>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</si>
  <si>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</si>
  <si>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</si>
  <si>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</si>
  <si>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</si>
  <si>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</si>
  <si>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</si>
  <si>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</si>
  <si>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</si>
  <si>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</si>
  <si>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</si>
  <si>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</si>
  <si>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</si>
  <si>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</si>
  <si>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</si>
  <si>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</si>
  <si>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</si>
  <si>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</si>
  <si>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</si>
  <si>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</si>
  <si>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</si>
  <si>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</si>
  <si>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</si>
  <si>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</si>
  <si>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</si>
  <si>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</si>
  <si>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</si>
  <si>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</si>
  <si>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</si>
  <si>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</si>
  <si>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</si>
  <si>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</si>
  <si>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</si>
  <si>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</si>
  <si>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</si>
  <si>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</si>
  <si>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</si>
  <si>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</si>
  <si>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</si>
  <si>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</si>
  <si>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</si>
  <si>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</si>
  <si>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</si>
  <si>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</si>
  <si>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</si>
  <si>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</si>
  <si>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</si>
  <si>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</si>
  <si>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</si>
  <si>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</si>
  <si>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</si>
  <si>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</si>
  <si>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</si>
  <si>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</si>
  <si>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</si>
  <si>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</si>
  <si>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</si>
  <si>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</si>
  <si>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</si>
  <si>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</si>
  <si>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</si>
  <si>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</si>
  <si>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</si>
  <si>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</si>
  <si>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</si>
  <si>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</si>
  <si>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</si>
  <si>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</si>
  <si>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</si>
  <si>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</si>
  <si>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</si>
  <si>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</si>
  <si>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</si>
  <si>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</si>
  <si>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</si>
  <si>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</si>
  <si>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</si>
  <si>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</si>
  <si>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</si>
  <si>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</si>
  <si>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</si>
  <si>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</si>
  <si>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</si>
  <si>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</si>
  <si>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</si>
  <si>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</si>
  <si>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</si>
  <si>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</si>
  <si>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</si>
  <si>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</si>
  <si>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</si>
  <si>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</si>
  <si>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</si>
  <si>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</si>
  <si>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</si>
  <si>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</si>
  <si>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</si>
  <si>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</si>
  <si>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</si>
  <si>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</si>
  <si>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</si>
  <si>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</si>
  <si>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</si>
  <si>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</si>
  <si>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</si>
  <si>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</si>
  <si>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</si>
  <si>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</si>
  <si>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</si>
  <si>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</si>
  <si>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</si>
  <si>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</si>
  <si>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</si>
  <si>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</si>
  <si>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</si>
  <si>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</si>
  <si>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</si>
  <si>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</si>
  <si>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</si>
  <si>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</si>
  <si>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</si>
  <si>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</si>
  <si>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</si>
  <si>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</si>
  <si>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</si>
  <si>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</si>
  <si>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</si>
  <si>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</si>
  <si>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</si>
  <si>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</si>
  <si>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</si>
  <si>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</si>
  <si>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</si>
  <si>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</si>
  <si>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</si>
  <si>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</si>
  <si>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</si>
  <si>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</si>
  <si>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</si>
  <si>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</si>
  <si>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</si>
  <si>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</si>
  <si>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</si>
  <si>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</si>
  <si>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</si>
  <si>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</si>
  <si>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</si>
  <si>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</si>
  <si>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</si>
  <si>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</si>
  <si>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</si>
  <si>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</si>
  <si>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</si>
  <si>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</si>
  <si>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</si>
  <si>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</si>
  <si>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</si>
  <si>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</si>
  <si>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</si>
  <si>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</si>
  <si>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</si>
  <si>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</si>
  <si>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</si>
  <si>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</si>
  <si>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</si>
  <si>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</si>
  <si>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</si>
  <si>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</si>
  <si>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</si>
  <si>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</si>
  <si>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</si>
  <si>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</si>
  <si>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</si>
  <si>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</si>
  <si>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</si>
  <si>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</si>
  <si>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</si>
  <si>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</si>
  <si>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</si>
  <si>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</si>
  <si>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</si>
  <si>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</si>
  <si>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</si>
  <si>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</si>
  <si>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</si>
  <si>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</si>
  <si>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</si>
  <si>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</si>
  <si>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</si>
  <si>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</si>
  <si>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</si>
  <si>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</si>
  <si>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</si>
  <si>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</si>
  <si>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</si>
  <si>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</si>
  <si>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</si>
  <si>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</si>
  <si>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</si>
  <si>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</si>
  <si>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</si>
  <si>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</si>
  <si>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</si>
  <si>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</si>
  <si>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</si>
  <si>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</si>
  <si>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</si>
  <si>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</si>
  <si>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</si>
  <si>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</si>
  <si>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</si>
  <si>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</si>
  <si>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</si>
  <si>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</si>
  <si>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</si>
  <si>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</si>
  <si>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</si>
  <si>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</si>
  <si>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</si>
  <si>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</si>
  <si>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</si>
  <si>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</si>
  <si>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</si>
  <si>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</si>
  <si>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</si>
  <si>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</si>
  <si>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</si>
  <si>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</si>
  <si>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</si>
  <si>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</si>
  <si>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</si>
  <si>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</si>
  <si>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</si>
  <si>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</si>
  <si>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</si>
  <si>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</si>
  <si>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</si>
  <si>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</si>
  <si>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</si>
  <si>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</si>
  <si>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</si>
  <si>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</si>
  <si>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</si>
  <si>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</si>
  <si>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</si>
  <si>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</si>
  <si>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</si>
  <si>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</si>
  <si>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</si>
  <si>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</si>
  <si>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</si>
  <si>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</si>
  <si>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</si>
  <si>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</si>
  <si>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</si>
  <si>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</si>
  <si>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</si>
  <si>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</si>
  <si>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</si>
  <si>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</si>
  <si>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</si>
  <si>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</si>
  <si>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</si>
  <si>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</si>
  <si>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</si>
  <si>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</si>
  <si>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</si>
  <si>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</si>
  <si>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</si>
  <si>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</si>
  <si>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</si>
  <si>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</si>
  <si>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</si>
  <si>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</si>
  <si>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</si>
  <si>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</si>
  <si>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</si>
  <si>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</si>
  <si>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</si>
  <si>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</si>
  <si>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</si>
  <si>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</si>
  <si>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</si>
  <si>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</si>
  <si>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</si>
  <si>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</si>
  <si>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</si>
  <si>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</si>
  <si>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</si>
  <si>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</si>
  <si>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</si>
  <si>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</si>
  <si>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</si>
  <si>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</si>
  <si>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</si>
  <si>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</si>
  <si>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</si>
  <si>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</si>
  <si>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</si>
  <si>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</si>
  <si>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</si>
  <si>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</si>
  <si>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</si>
  <si>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</si>
  <si>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</si>
  <si>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</si>
  <si>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</si>
  <si>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</si>
  <si>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</si>
  <si>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</si>
  <si>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</si>
  <si>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</si>
  <si>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</si>
  <si>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</si>
  <si>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</si>
  <si>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</si>
  <si>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</si>
  <si>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</si>
  <si>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</si>
  <si>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</si>
  <si>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</si>
  <si>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</si>
  <si>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</si>
  <si>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</si>
  <si>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</si>
  <si>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</si>
  <si>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</si>
  <si>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</si>
  <si>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</si>
  <si>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</si>
  <si>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</si>
  <si>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</si>
  <si>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</si>
  <si>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</si>
  <si>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</si>
  <si>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</si>
  <si>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</si>
  <si>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</si>
  <si>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</si>
  <si>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</si>
  <si>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</si>
  <si>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</si>
  <si>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</si>
  <si>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</si>
  <si>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</si>
  <si>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</si>
  <si>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</si>
  <si>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</si>
  <si>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</si>
  <si>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</si>
  <si>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</si>
  <si>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</si>
  <si>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</si>
  <si>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</si>
  <si>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</si>
  <si>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</si>
  <si>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</si>
  <si>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</si>
  <si>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</si>
  <si>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</si>
  <si>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</si>
  <si>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</si>
  <si>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</si>
  <si>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</si>
  <si>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</si>
  <si>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</si>
  <si>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</si>
  <si>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</si>
  <si>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</si>
  <si>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</si>
  <si>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</si>
  <si>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</si>
  <si>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</si>
  <si>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</si>
  <si>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</si>
  <si>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</si>
  <si>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</si>
  <si>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</si>
  <si>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</si>
  <si>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</si>
  <si>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</si>
  <si>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</si>
  <si>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</si>
  <si>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</si>
  <si>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</si>
  <si>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</si>
  <si>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</si>
  <si>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</si>
  <si>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</si>
  <si>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</si>
  <si>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</si>
  <si>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</si>
  <si>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</si>
  <si>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</si>
  <si>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</si>
  <si>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</si>
  <si>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</si>
  <si>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</si>
  <si>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</si>
  <si>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</si>
  <si>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</si>
  <si>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</si>
  <si>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</si>
  <si>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</si>
  <si>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</si>
  <si>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</si>
  <si>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</si>
  <si>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</si>
  <si>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</si>
  <si>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</si>
  <si>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</si>
  <si>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</si>
  <si>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</si>
  <si>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</si>
  <si>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</si>
  <si>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</si>
  <si>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</si>
  <si>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</si>
  <si>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</si>
  <si>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</si>
  <si>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</si>
  <si>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</si>
  <si>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</si>
  <si>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</si>
  <si>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</si>
  <si>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</si>
  <si>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</si>
  <si>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</si>
  <si>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</si>
  <si>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</si>
  <si>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</si>
  <si>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</si>
  <si>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</si>
  <si>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</si>
  <si>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</si>
  <si>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</si>
  <si>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</si>
  <si>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</si>
  <si>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</si>
  <si>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</si>
  <si>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</si>
  <si>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</si>
  <si>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</si>
  <si>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</si>
  <si>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</si>
  <si>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</si>
  <si>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</si>
  <si>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</si>
  <si>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</si>
  <si>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</si>
  <si>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</si>
  <si>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</si>
  <si>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</si>
  <si>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</si>
  <si>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</si>
  <si>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</si>
  <si>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</si>
  <si>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</si>
  <si>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</si>
  <si>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</si>
  <si>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</si>
  <si>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</si>
  <si>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</si>
  <si>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</si>
  <si>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</si>
  <si>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</si>
  <si>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</si>
  <si>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</si>
  <si>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</si>
  <si>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</si>
  <si>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</si>
  <si>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</si>
  <si>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</si>
  <si>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</si>
  <si>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</si>
  <si>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</si>
  <si>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</si>
  <si>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</si>
  <si>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</si>
  <si>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</si>
  <si>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</si>
  <si>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</si>
  <si>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</si>
  <si>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</si>
  <si>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</si>
  <si>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</si>
  <si>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</si>
  <si>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</si>
  <si>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</si>
  <si>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</si>
  <si>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</si>
  <si>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</si>
  <si>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</si>
  <si>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</si>
  <si>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</si>
  <si>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</si>
  <si>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</si>
  <si>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</si>
  <si>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</si>
  <si>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</si>
  <si>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</si>
  <si>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</si>
  <si>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</si>
  <si>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</si>
  <si>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</si>
  <si>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</si>
  <si>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</si>
  <si>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</si>
  <si>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</si>
  <si>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</si>
  <si>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</si>
  <si>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</si>
  <si>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</si>
  <si>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</si>
  <si>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</si>
  <si>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</si>
  <si>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</si>
  <si>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</si>
  <si>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</si>
  <si>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</si>
  <si>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</si>
  <si>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</si>
  <si>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</si>
  <si>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</si>
  <si>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</si>
  <si>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</si>
  <si>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</si>
  <si>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</si>
  <si>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</si>
  <si>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</si>
  <si>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</si>
  <si>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</si>
  <si>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</si>
  <si>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</si>
  <si>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</si>
  <si>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</si>
  <si>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</si>
  <si>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</si>
  <si>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</si>
  <si>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</si>
  <si>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</si>
  <si>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</si>
  <si>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</si>
  <si>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</si>
  <si>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</si>
  <si>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</si>
  <si>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</si>
  <si>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</si>
  <si>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</si>
  <si>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</si>
  <si>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</si>
  <si>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</si>
  <si>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</si>
  <si>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</si>
  <si>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</si>
  <si>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</si>
  <si>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</si>
  <si>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</si>
  <si>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</si>
  <si>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</si>
  <si>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</si>
  <si>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</si>
  <si>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</si>
  <si>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</si>
  <si>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</si>
  <si>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</si>
  <si>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</si>
  <si>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</si>
  <si>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</si>
  <si>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</si>
  <si>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</si>
  <si>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</si>
  <si>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</si>
  <si>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</si>
  <si>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</si>
  <si>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</si>
  <si>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</si>
  <si>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</si>
  <si>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</si>
  <si>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</si>
  <si>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</si>
  <si>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</si>
  <si>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</si>
  <si>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</si>
  <si>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</si>
  <si>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</si>
  <si>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</si>
  <si>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</si>
  <si>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</si>
  <si>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</si>
  <si>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</si>
  <si>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</si>
  <si>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</si>
  <si>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</si>
  <si>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</si>
  <si>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</si>
  <si>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</si>
  <si>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</si>
  <si>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</si>
  <si>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</si>
  <si>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</si>
  <si>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</si>
  <si>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</si>
  <si>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</si>
  <si>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</si>
  <si>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</si>
  <si>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</si>
  <si>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</si>
  <si>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</si>
  <si>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</si>
  <si>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</si>
  <si>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</si>
  <si>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</si>
  <si>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</si>
  <si>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</si>
  <si>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</si>
  <si>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</si>
  <si>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</si>
  <si>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</si>
  <si>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</si>
  <si>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</si>
  <si>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</si>
  <si>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</si>
  <si>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</si>
  <si>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</si>
  <si>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</si>
  <si>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</si>
  <si>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</si>
  <si>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</si>
  <si>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</si>
  <si>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</si>
  <si>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</si>
  <si>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</si>
  <si>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</si>
  <si>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</si>
  <si>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</si>
  <si>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</si>
  <si>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</si>
  <si>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</si>
  <si>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</si>
  <si>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</si>
  <si>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</si>
  <si>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</si>
  <si>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</si>
  <si>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</si>
  <si>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</si>
  <si>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</si>
  <si>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</si>
  <si>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</si>
  <si>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</si>
  <si>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</si>
  <si>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</si>
  <si>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</si>
  <si>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</si>
  <si>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</si>
  <si>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</si>
  <si>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</si>
  <si>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</si>
  <si>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</si>
  <si>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</si>
  <si>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</si>
  <si>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</si>
  <si>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</si>
  <si>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</si>
  <si>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</si>
  <si>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</si>
  <si>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</si>
  <si>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</si>
  <si>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</si>
  <si>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</si>
  <si>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</si>
  <si>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</si>
  <si>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</si>
  <si>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</si>
  <si>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</si>
  <si>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</si>
  <si>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</si>
  <si>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</si>
  <si>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</si>
  <si>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</si>
  <si>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</si>
  <si>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</si>
  <si>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</si>
  <si>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</si>
  <si>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</si>
  <si>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</si>
  <si>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</si>
  <si>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</si>
  <si>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</si>
  <si>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</si>
  <si>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</si>
  <si>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</si>
  <si>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</si>
  <si>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</si>
  <si>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</si>
  <si>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</si>
  <si>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</si>
  <si>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</si>
  <si>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</si>
  <si>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</si>
  <si>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</si>
  <si>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</si>
  <si>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</si>
  <si>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</si>
  <si>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</si>
  <si>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</si>
  <si>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</si>
  <si>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</si>
  <si>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</si>
  <si>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</si>
  <si>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</si>
  <si>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</si>
  <si>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</si>
  <si>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</si>
  <si>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</si>
  <si>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</si>
  <si>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</si>
  <si>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</si>
  <si>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</si>
  <si>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</si>
  <si>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</si>
  <si>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</si>
  <si>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</si>
  <si>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</si>
  <si>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</si>
  <si>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</si>
  <si>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</si>
  <si>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</si>
  <si>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</si>
  <si>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</si>
  <si>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</si>
  <si>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</si>
  <si>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</si>
  <si>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</si>
  <si>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</si>
  <si>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</si>
  <si>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</si>
  <si>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</si>
  <si>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</si>
  <si>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</si>
  <si>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</si>
  <si>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</si>
  <si>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</si>
  <si>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</si>
  <si>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</si>
  <si>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</si>
  <si>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</si>
  <si>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</si>
  <si>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</si>
  <si>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</si>
  <si>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</si>
  <si>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</si>
  <si>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</si>
  <si>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</si>
  <si>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</si>
  <si>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</si>
  <si>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</si>
  <si>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</si>
  <si>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</si>
  <si>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</si>
  <si>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</si>
  <si>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</si>
  <si>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</si>
  <si>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</si>
  <si>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</si>
  <si>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</si>
  <si>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</si>
  <si>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</si>
  <si>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</si>
  <si>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</si>
  <si>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</si>
  <si>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</si>
  <si>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</si>
  <si>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</si>
  <si>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</si>
  <si>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</si>
  <si>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</si>
  <si>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</si>
  <si>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</si>
  <si>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</si>
  <si>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</si>
  <si>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</si>
  <si>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</si>
  <si>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</si>
  <si>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</si>
  <si>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</si>
  <si>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</si>
  <si>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</si>
  <si>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</si>
  <si>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</si>
  <si>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</si>
  <si>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</si>
  <si>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</si>
  <si>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</si>
  <si>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</si>
  <si>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</si>
  <si>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</si>
  <si>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</si>
  <si>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</si>
  <si>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</si>
  <si>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</si>
  <si>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</si>
  <si>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</si>
  <si>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</si>
  <si>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</si>
  <si>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</si>
  <si>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</si>
  <si>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</si>
  <si>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</si>
  <si>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</si>
  <si>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</si>
  <si>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</si>
  <si>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</si>
  <si>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</si>
  <si>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</si>
  <si>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</si>
  <si>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</si>
  <si>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</si>
  <si>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</si>
  <si>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</si>
  <si>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</si>
  <si>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</si>
  <si>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</si>
  <si>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</si>
  <si>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</si>
  <si>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</si>
  <si>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</si>
  <si>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</si>
  <si>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</si>
  <si>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</si>
  <si>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</si>
  <si>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</si>
  <si>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</si>
  <si>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</si>
  <si>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</si>
  <si>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</si>
  <si>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</si>
  <si>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</si>
  <si>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</si>
  <si>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</si>
  <si>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</si>
  <si>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</si>
  <si>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</si>
  <si>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</si>
  <si>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</si>
  <si>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</si>
  <si>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</si>
  <si>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</si>
  <si>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</si>
  <si>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</si>
  <si>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</si>
  <si>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</si>
  <si>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</si>
  <si>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</si>
  <si>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</si>
  <si>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</si>
  <si>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</si>
  <si>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</si>
  <si>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</si>
  <si>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</si>
  <si>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</si>
  <si>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</si>
  <si>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</si>
  <si>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</si>
  <si>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</si>
  <si>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</si>
  <si>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</si>
  <si>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</si>
  <si>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</si>
  <si>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</si>
  <si>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</si>
  <si>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</si>
  <si>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</si>
  <si>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</si>
  <si>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</si>
  <si>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</si>
  <si>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</si>
  <si>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</si>
  <si>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</si>
  <si>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</si>
  <si>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</si>
  <si>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</si>
  <si>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</si>
  <si>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</si>
  <si>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</si>
  <si>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</si>
  <si>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</si>
  <si>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</si>
  <si>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</si>
  <si>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</si>
  <si>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</si>
  <si>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</si>
  <si>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</si>
  <si>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</si>
  <si>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</si>
  <si>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</si>
  <si>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</si>
  <si>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</si>
  <si>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</si>
  <si>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</si>
  <si>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</si>
  <si>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</si>
  <si>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</si>
  <si>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</si>
  <si>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</si>
  <si>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</si>
  <si>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</si>
  <si>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</si>
  <si>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</si>
  <si>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</si>
  <si>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</si>
  <si>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</si>
  <si>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</si>
  <si>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</si>
  <si>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</si>
  <si>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</si>
  <si>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</si>
  <si>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</si>
  <si>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</si>
  <si>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</si>
  <si>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</si>
  <si>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</si>
  <si>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</si>
  <si>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</si>
  <si>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</si>
  <si>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</si>
  <si>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</si>
  <si>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</si>
  <si>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</si>
  <si>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</si>
  <si>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</si>
  <si>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</si>
  <si>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</si>
  <si>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</si>
  <si>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</si>
  <si>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</si>
  <si>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</si>
  <si>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</si>
  <si>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</si>
  <si>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</si>
  <si>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</si>
  <si>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</si>
  <si>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</si>
  <si>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</si>
  <si>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</si>
  <si>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</si>
  <si>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</si>
  <si>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</si>
  <si>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</si>
  <si>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</si>
  <si>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</si>
  <si>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</si>
  <si>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</si>
  <si>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</si>
  <si>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</si>
  <si>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</si>
  <si>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</si>
  <si>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</si>
  <si>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</si>
  <si>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</si>
  <si>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</si>
  <si>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</si>
  <si>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</si>
  <si>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</si>
  <si>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</si>
  <si>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</si>
  <si>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</si>
  <si>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</si>
  <si>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</si>
  <si>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</si>
  <si>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</si>
  <si>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</si>
  <si>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</si>
  <si>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</si>
  <si>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</si>
  <si>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</si>
  <si>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</si>
  <si>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</si>
  <si>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</si>
  <si>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</si>
  <si>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</si>
  <si>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</si>
  <si>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</si>
  <si>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</si>
  <si>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</si>
  <si>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</si>
  <si>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</si>
  <si>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</si>
  <si>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</si>
  <si>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</si>
  <si>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</si>
  <si>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</si>
  <si>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</si>
  <si>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</si>
  <si>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</si>
  <si>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</si>
  <si>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</si>
  <si>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</si>
  <si>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</si>
  <si>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</si>
  <si>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</si>
  <si>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</si>
  <si>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</si>
  <si>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</si>
  <si>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</si>
  <si>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</si>
  <si>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</si>
  <si>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</si>
  <si>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</si>
  <si>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</si>
  <si>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</si>
  <si>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</si>
  <si>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</si>
  <si>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</si>
  <si>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</si>
  <si>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</si>
  <si>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</si>
  <si>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</si>
  <si>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</si>
  <si>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</si>
  <si>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</si>
  <si>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</si>
  <si>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</si>
  <si>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</si>
  <si>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</si>
  <si>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</si>
  <si>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</si>
  <si>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</si>
  <si>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</si>
  <si>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</si>
  <si>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</si>
  <si>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</si>
  <si>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</si>
  <si>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</si>
  <si>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</si>
  <si>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</si>
  <si>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</si>
  <si>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</si>
  <si>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</si>
  <si>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</si>
  <si>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</si>
  <si>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</si>
  <si>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</si>
  <si>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</si>
  <si>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</si>
  <si>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</si>
  <si>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</si>
  <si>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</si>
  <si>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</si>
  <si>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</si>
  <si>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</si>
  <si>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</si>
  <si>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</si>
  <si>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</si>
  <si>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</si>
  <si>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</si>
  <si>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</si>
  <si>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</si>
  <si>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</si>
  <si>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</si>
  <si>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</si>
  <si>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</si>
  <si>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</si>
  <si>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</si>
  <si>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</si>
  <si>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</si>
  <si>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</si>
  <si>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</si>
  <si>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</si>
  <si>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</si>
  <si>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</si>
  <si>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</si>
  <si>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</si>
  <si>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</si>
  <si>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</si>
  <si>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</si>
  <si>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</si>
  <si>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</si>
  <si>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</si>
  <si>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</si>
  <si>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</si>
  <si>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</si>
  <si>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</si>
  <si>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</si>
  <si>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</si>
  <si>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</si>
  <si>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</si>
  <si>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</si>
  <si>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</si>
  <si>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</si>
  <si>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</si>
  <si>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</si>
  <si>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</si>
  <si>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</si>
  <si>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</si>
  <si>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</si>
  <si>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</si>
  <si>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</si>
  <si>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</si>
  <si>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</si>
  <si>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</si>
  <si>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</si>
  <si>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</si>
  <si>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</si>
  <si>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</si>
  <si>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</si>
  <si>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</si>
  <si>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</si>
  <si>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</si>
  <si>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</si>
  <si>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</si>
  <si>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</si>
  <si>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</si>
  <si>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</si>
  <si>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</si>
  <si>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</si>
  <si>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</si>
  <si>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</si>
  <si>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</si>
  <si>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</si>
  <si>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</si>
  <si>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</si>
  <si>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</si>
  <si>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</si>
  <si>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</si>
  <si>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</si>
  <si>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</si>
  <si>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</si>
  <si>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</si>
  <si>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</si>
  <si>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</si>
  <si>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</si>
  <si>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</si>
  <si>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</si>
  <si>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</si>
  <si>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</si>
  <si>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</si>
  <si>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</si>
  <si>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</si>
  <si>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</si>
  <si>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</si>
  <si>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</si>
  <si>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</si>
  <si>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</si>
  <si>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</si>
  <si>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</si>
  <si>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</si>
  <si>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</si>
  <si>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</si>
  <si>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</si>
  <si>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</si>
  <si>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</si>
  <si>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</si>
  <si>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</si>
  <si>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</si>
  <si>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</si>
  <si>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</si>
  <si>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</si>
  <si>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</si>
  <si>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</si>
  <si>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</si>
  <si>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</si>
  <si>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</si>
  <si>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</si>
  <si>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</si>
  <si>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</si>
  <si>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</si>
  <si>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</si>
  <si>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</si>
  <si>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</si>
  <si>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</si>
  <si>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</si>
  <si>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</si>
  <si>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</si>
  <si>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</si>
  <si>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</si>
  <si>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</si>
  <si>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</si>
  <si>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</si>
  <si>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</si>
  <si>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</si>
  <si>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</si>
  <si>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</si>
  <si>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</si>
  <si>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</si>
  <si>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</si>
  <si>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</si>
  <si>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</si>
  <si>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</si>
  <si>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</si>
  <si>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</si>
  <si>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</si>
  <si>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</si>
  <si>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</si>
  <si>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</si>
  <si>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</si>
  <si>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</si>
  <si>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</si>
  <si>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</si>
  <si>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</si>
  <si>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</si>
  <si>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</si>
  <si>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</si>
  <si>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</si>
  <si>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</si>
  <si>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</si>
  <si>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</si>
  <si>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</si>
  <si>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</si>
  <si>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</si>
  <si>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</si>
  <si>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</si>
  <si>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</si>
  <si>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</si>
  <si>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</si>
  <si>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</si>
  <si>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</si>
  <si>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</si>
  <si>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</si>
  <si>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</si>
  <si>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</si>
  <si>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</si>
  <si>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</si>
  <si>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</si>
  <si>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</si>
  <si>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</si>
  <si>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</si>
  <si>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</si>
  <si>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</si>
  <si>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</si>
  <si>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</si>
  <si>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</si>
  <si>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</si>
  <si>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</si>
  <si>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</si>
  <si>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</si>
  <si>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</si>
  <si>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</si>
  <si>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</si>
  <si>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</si>
  <si>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</si>
  <si>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</si>
  <si>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</si>
  <si>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</si>
  <si>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</si>
  <si>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</si>
  <si>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</si>
  <si>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</si>
  <si>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</si>
  <si>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</si>
  <si>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</si>
  <si>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</si>
  <si>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</si>
  <si>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</si>
  <si>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</si>
  <si>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</si>
  <si>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</si>
  <si>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</si>
  <si>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</si>
  <si>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</si>
  <si>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</si>
  <si>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</si>
  <si>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</si>
  <si>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</si>
  <si>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</si>
  <si>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</si>
  <si>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</si>
  <si>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</si>
  <si>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</si>
  <si>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</si>
  <si>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</si>
  <si>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</si>
  <si>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</si>
  <si>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</si>
  <si>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</si>
  <si>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</si>
  <si>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</si>
  <si>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</si>
  <si>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</si>
  <si>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</si>
  <si>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</si>
  <si>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</si>
  <si>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</si>
  <si>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</si>
  <si>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</si>
  <si>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</si>
  <si>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</si>
  <si>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</si>
  <si>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</si>
  <si>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</si>
  <si>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</si>
  <si>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</si>
  <si>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</si>
  <si>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</si>
  <si>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</si>
  <si>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</si>
  <si>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</si>
  <si>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</si>
  <si>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</si>
  <si>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</si>
  <si>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</si>
  <si>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</si>
  <si>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</si>
  <si>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</si>
  <si>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</si>
  <si>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</si>
  <si>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</si>
  <si>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</si>
  <si>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</si>
  <si>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</si>
  <si>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</si>
  <si>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</si>
  <si>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</si>
  <si>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</si>
  <si>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</si>
  <si>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</si>
  <si>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</si>
  <si>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</si>
  <si>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</si>
  <si>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</si>
  <si>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</si>
  <si>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</si>
  <si>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</si>
  <si>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</si>
  <si>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</si>
  <si>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</si>
  <si>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</si>
  <si>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</si>
  <si>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</si>
  <si>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</si>
  <si>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</si>
  <si>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</si>
  <si>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</si>
  <si>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</si>
  <si>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</si>
  <si>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</si>
  <si>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</si>
  <si>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</si>
  <si>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</si>
  <si>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</si>
  <si>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</si>
  <si>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</si>
  <si>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</si>
  <si>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</si>
  <si>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</si>
  <si>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</si>
  <si>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</si>
  <si>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</si>
  <si>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</si>
  <si>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</si>
  <si>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</si>
  <si>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</si>
  <si>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</si>
  <si>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</si>
  <si>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</si>
  <si>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</si>
  <si>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</si>
  <si>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</si>
  <si>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</si>
  <si>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</si>
  <si>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吴薇</t>
  </si>
  <si>
    <t>郑燚</t>
  </si>
  <si>
    <t>抵押</t>
  </si>
  <si>
    <t>房地产抵押价值</t>
  </si>
  <si>
    <t>北京市</t>
  </si>
  <si>
    <t>企业</t>
  </si>
  <si>
    <t>抵押清单</t>
  </si>
  <si>
    <t>担保合同编号：</t>
  </si>
  <si>
    <t>2017000545-02</t>
  </si>
  <si>
    <t>单位：</t>
  </si>
  <si>
    <t>平方米</t>
  </si>
  <si>
    <t>抵押人</t>
  </si>
  <si>
    <t>富力（北京）地产开发有限公司</t>
  </si>
  <si>
    <t>抵押权人</t>
  </si>
  <si>
    <t>北京农村商业银行股份有限公司天通苑支行</t>
  </si>
  <si>
    <t>房地产权属 情况1</t>
  </si>
  <si>
    <t>房屋坐落</t>
  </si>
  <si>
    <t>北京市西城区太平街6号</t>
  </si>
  <si>
    <t>房屋建筑面积</t>
  </si>
  <si>
    <t>房屋所有权证号</t>
  </si>
  <si>
    <t>X京房权证宣其字第000241号</t>
  </si>
  <si>
    <t>土地面积</t>
  </si>
  <si>
    <t>土地使用权证号</t>
  </si>
  <si>
    <t>京宣国用（2008出）第00134号</t>
  </si>
  <si>
    <t>土地来源</t>
  </si>
  <si>
    <t>房地产抵押 情况</t>
  </si>
  <si>
    <t>抵押房屋建筑面积</t>
  </si>
  <si>
    <t>是否出租</t>
  </si>
  <si>
    <t>是</t>
  </si>
  <si>
    <t>抵押土地使用权面积</t>
  </si>
  <si>
    <t>抵押建筑面积对应土地面积，详见清单</t>
  </si>
  <si>
    <t>抵押物评估价值</t>
  </si>
  <si>
    <t>64712万元</t>
  </si>
  <si>
    <t>抵押房屋部位清单</t>
  </si>
  <si>
    <t>序号</t>
  </si>
  <si>
    <t>房号或部位</t>
  </si>
  <si>
    <t>建筑面积</t>
  </si>
  <si>
    <t>规划用途</t>
  </si>
  <si>
    <t>总地上/地下</t>
  </si>
  <si>
    <t>所在层数</t>
  </si>
  <si>
    <t>A101</t>
  </si>
  <si>
    <t>商业用途</t>
  </si>
  <si>
    <t>9/-3</t>
  </si>
  <si>
    <t>A102</t>
  </si>
  <si>
    <t>A103</t>
  </si>
  <si>
    <t>A105</t>
  </si>
  <si>
    <t>A106</t>
  </si>
  <si>
    <t>A107</t>
  </si>
  <si>
    <t>A108</t>
  </si>
  <si>
    <t>A109</t>
  </si>
  <si>
    <t>A110</t>
  </si>
  <si>
    <t>A111</t>
  </si>
  <si>
    <t>A112</t>
  </si>
  <si>
    <t>A115</t>
  </si>
  <si>
    <t>商业用房</t>
  </si>
  <si>
    <t>A116</t>
  </si>
  <si>
    <t>A117</t>
  </si>
  <si>
    <t>A118</t>
  </si>
  <si>
    <t>A119</t>
  </si>
  <si>
    <t>A120</t>
  </si>
  <si>
    <t>A121</t>
  </si>
  <si>
    <t>A122</t>
  </si>
  <si>
    <t>A123</t>
  </si>
  <si>
    <t>A125</t>
  </si>
  <si>
    <t>B101</t>
  </si>
  <si>
    <t>B105</t>
  </si>
  <si>
    <t>B106</t>
  </si>
  <si>
    <t>B107</t>
  </si>
  <si>
    <t>B108</t>
  </si>
  <si>
    <t>B109</t>
  </si>
  <si>
    <t>B110</t>
  </si>
  <si>
    <t>B112</t>
  </si>
  <si>
    <t>B116</t>
  </si>
  <si>
    <t>B117</t>
  </si>
  <si>
    <t>B118</t>
  </si>
  <si>
    <t>B119</t>
  </si>
  <si>
    <t>B120</t>
  </si>
  <si>
    <t>B121</t>
  </si>
  <si>
    <t>B122</t>
  </si>
  <si>
    <t>B123</t>
  </si>
  <si>
    <t>C101</t>
  </si>
  <si>
    <t>C102</t>
  </si>
  <si>
    <t>C103</t>
  </si>
  <si>
    <t>C105</t>
  </si>
  <si>
    <t>C106</t>
  </si>
  <si>
    <t>C107</t>
  </si>
  <si>
    <t>C108</t>
  </si>
  <si>
    <t>C109</t>
  </si>
  <si>
    <t>C110</t>
  </si>
  <si>
    <t>C111</t>
  </si>
  <si>
    <t>C112</t>
  </si>
  <si>
    <t>C115</t>
  </si>
  <si>
    <t>C116</t>
  </si>
  <si>
    <t>C117</t>
  </si>
  <si>
    <t>C118</t>
  </si>
  <si>
    <t>C119</t>
  </si>
  <si>
    <t>D101</t>
  </si>
  <si>
    <t>D102</t>
  </si>
  <si>
    <t>D103</t>
  </si>
  <si>
    <t>D105</t>
  </si>
  <si>
    <t>D106</t>
  </si>
  <si>
    <t>D107</t>
  </si>
  <si>
    <t>D108</t>
  </si>
  <si>
    <t>D109</t>
  </si>
  <si>
    <t>D110</t>
  </si>
  <si>
    <t>D111</t>
  </si>
  <si>
    <t>D112</t>
  </si>
  <si>
    <t>D115</t>
  </si>
  <si>
    <t>D116</t>
  </si>
  <si>
    <t>D117</t>
  </si>
  <si>
    <t>D118</t>
  </si>
  <si>
    <t>D119</t>
  </si>
  <si>
    <t>D120</t>
  </si>
  <si>
    <t>D121</t>
  </si>
  <si>
    <t>D122</t>
  </si>
  <si>
    <t>D123</t>
  </si>
  <si>
    <t>A201</t>
  </si>
  <si>
    <t>A202</t>
  </si>
  <si>
    <t>A203</t>
  </si>
  <si>
    <t>A205</t>
  </si>
  <si>
    <t>A206</t>
  </si>
  <si>
    <t>A207</t>
  </si>
  <si>
    <t>A208</t>
  </si>
  <si>
    <t>A209</t>
  </si>
  <si>
    <t>A210</t>
  </si>
  <si>
    <t>A211</t>
  </si>
  <si>
    <t>A212</t>
  </si>
  <si>
    <t>A215</t>
  </si>
  <si>
    <t>A216</t>
  </si>
  <si>
    <t>A217</t>
  </si>
  <si>
    <t>A218</t>
  </si>
  <si>
    <t>A219</t>
  </si>
  <si>
    <t>A220</t>
  </si>
  <si>
    <t>A221</t>
  </si>
  <si>
    <t>A222</t>
  </si>
  <si>
    <t>A223</t>
  </si>
  <si>
    <t>A225</t>
  </si>
  <si>
    <t>A226</t>
  </si>
  <si>
    <t>A227</t>
  </si>
  <si>
    <t>A228</t>
  </si>
  <si>
    <t>A229</t>
  </si>
  <si>
    <t>A230</t>
  </si>
  <si>
    <t>A231</t>
  </si>
  <si>
    <t>A232</t>
  </si>
  <si>
    <t>A233</t>
  </si>
  <si>
    <t>A235</t>
  </si>
  <si>
    <t>A236</t>
  </si>
  <si>
    <t>A237</t>
  </si>
  <si>
    <t>A238</t>
  </si>
  <si>
    <t>A239</t>
  </si>
  <si>
    <t>B201</t>
  </si>
  <si>
    <t>B202</t>
  </si>
  <si>
    <t>B203</t>
  </si>
  <si>
    <t>B205</t>
  </si>
  <si>
    <t>B206</t>
  </si>
  <si>
    <t>B207</t>
  </si>
  <si>
    <t>B208</t>
  </si>
  <si>
    <t>B209</t>
  </si>
  <si>
    <t>B210</t>
  </si>
  <si>
    <t>B211</t>
  </si>
  <si>
    <t>B212</t>
  </si>
  <si>
    <t>B215</t>
  </si>
  <si>
    <t>B216</t>
  </si>
  <si>
    <t>B218</t>
  </si>
  <si>
    <t>B219</t>
  </si>
  <si>
    <t>B220</t>
  </si>
  <si>
    <t>B221</t>
  </si>
  <si>
    <t>B222</t>
  </si>
  <si>
    <t>B223</t>
  </si>
  <si>
    <t>B225</t>
  </si>
  <si>
    <t>B226</t>
  </si>
  <si>
    <t>B227</t>
  </si>
  <si>
    <t>B228</t>
  </si>
  <si>
    <t>B229</t>
  </si>
  <si>
    <t>B230</t>
  </si>
  <si>
    <t>C201</t>
  </si>
  <si>
    <t>C202</t>
  </si>
  <si>
    <t>C203</t>
  </si>
  <si>
    <t>C205</t>
  </si>
  <si>
    <t>C206</t>
  </si>
  <si>
    <t>C207</t>
  </si>
  <si>
    <t>C208</t>
  </si>
  <si>
    <t>C209</t>
  </si>
  <si>
    <t>C210</t>
  </si>
  <si>
    <t>C211</t>
  </si>
  <si>
    <t>C212</t>
  </si>
  <si>
    <t>C215</t>
  </si>
  <si>
    <t xml:space="preserve">9/-3 </t>
  </si>
  <si>
    <t>C216</t>
  </si>
  <si>
    <t>C217</t>
  </si>
  <si>
    <t>C218</t>
  </si>
  <si>
    <t>C219</t>
  </si>
  <si>
    <t>C220</t>
  </si>
  <si>
    <t>C221</t>
  </si>
  <si>
    <t>C222</t>
  </si>
  <si>
    <t>C223</t>
  </si>
  <si>
    <t>C225</t>
  </si>
  <si>
    <t>C226</t>
  </si>
  <si>
    <t>C227</t>
  </si>
  <si>
    <t>C228</t>
  </si>
  <si>
    <t>C229</t>
  </si>
  <si>
    <t>C230</t>
  </si>
  <si>
    <t>D201</t>
  </si>
  <si>
    <t>D202</t>
  </si>
  <si>
    <t>D203</t>
  </si>
  <si>
    <t>D205</t>
  </si>
  <si>
    <t>D206</t>
  </si>
  <si>
    <t>D207</t>
  </si>
  <si>
    <t>D208</t>
  </si>
  <si>
    <t>D209</t>
  </si>
  <si>
    <t>D210</t>
  </si>
  <si>
    <t>D211</t>
  </si>
  <si>
    <t>D212</t>
  </si>
  <si>
    <t>D215</t>
  </si>
  <si>
    <t>D216</t>
  </si>
  <si>
    <t>D217</t>
  </si>
  <si>
    <t>D218</t>
  </si>
  <si>
    <t>D219</t>
  </si>
  <si>
    <t>D220</t>
  </si>
  <si>
    <t>D221</t>
  </si>
  <si>
    <t>D222</t>
  </si>
  <si>
    <t>D223</t>
  </si>
  <si>
    <t>D225</t>
  </si>
  <si>
    <t>D226</t>
  </si>
  <si>
    <t>D227</t>
  </si>
  <si>
    <t>D228</t>
  </si>
  <si>
    <t>D229</t>
  </si>
  <si>
    <t>D230</t>
  </si>
  <si>
    <t>D231</t>
  </si>
  <si>
    <t>D232</t>
  </si>
  <si>
    <t>商业小计</t>
  </si>
  <si>
    <t>---</t>
  </si>
  <si>
    <t>车位</t>
  </si>
  <si>
    <t>车位小计</t>
  </si>
  <si>
    <t>合计</t>
  </si>
  <si>
    <t xml:space="preserve">备注： </t>
  </si>
  <si>
    <t>房地产抵押权人</t>
  </si>
  <si>
    <t>房地产抵押人</t>
  </si>
  <si>
    <t>（盖章）</t>
  </si>
  <si>
    <t>年   月   日</t>
  </si>
  <si>
    <t>建筑面积（㎡）</t>
    <phoneticPr fontId="134" type="noConversion"/>
  </si>
  <si>
    <t>总楼层</t>
    <phoneticPr fontId="134" type="noConversion"/>
  </si>
  <si>
    <t>1层</t>
    <phoneticPr fontId="134" type="noConversion"/>
  </si>
  <si>
    <t>2层</t>
    <phoneticPr fontId="134" type="noConversion"/>
  </si>
  <si>
    <t>地上</t>
  </si>
  <si>
    <t>地下</t>
  </si>
  <si>
    <t>超市</t>
  </si>
  <si>
    <t>超市</t>
    <phoneticPr fontId="7" type="noConversion"/>
  </si>
  <si>
    <t>车库</t>
    <phoneticPr fontId="7" type="noConversion"/>
  </si>
  <si>
    <t>成新度</t>
  </si>
  <si>
    <t>主体</t>
    <phoneticPr fontId="3" type="noConversion"/>
  </si>
  <si>
    <t>地上</t>
    <phoneticPr fontId="3" type="noConversion"/>
  </si>
  <si>
    <t>装修</t>
    <phoneticPr fontId="3" type="noConversion"/>
  </si>
  <si>
    <t>设备</t>
    <phoneticPr fontId="3" type="noConversion"/>
  </si>
  <si>
    <t>外部</t>
    <phoneticPr fontId="3" type="noConversion"/>
  </si>
  <si>
    <t>收益法</t>
  </si>
  <si>
    <t>押一</t>
  </si>
  <si>
    <t>钢混</t>
  </si>
  <si>
    <t>非生产用房</t>
  </si>
  <si>
    <t>否</t>
  </si>
  <si>
    <t>收益法车库</t>
  </si>
  <si>
    <t>收益法车库</t>
    <phoneticPr fontId="16" type="noConversion"/>
  </si>
  <si>
    <t>自定义</t>
  </si>
  <si>
    <t>自定义容积率</t>
  </si>
  <si>
    <t>不临65条商业街</t>
  </si>
  <si>
    <t>通路</t>
  </si>
  <si>
    <t>通电</t>
  </si>
  <si>
    <t>通讯</t>
  </si>
  <si>
    <t>通上水</t>
  </si>
  <si>
    <t>通下水</t>
  </si>
  <si>
    <t>平整</t>
  </si>
  <si>
    <t>通热</t>
  </si>
  <si>
    <t>楼层修正</t>
  </si>
  <si>
    <t>较好</t>
  </si>
  <si>
    <t>较差</t>
  </si>
  <si>
    <t>好</t>
  </si>
  <si>
    <t>未包含在土地购买价格中</t>
  </si>
  <si>
    <t>全部缴纳</t>
  </si>
  <si>
    <t>已包含在土地取得成本中</t>
  </si>
  <si>
    <t>成本法</t>
  </si>
  <si>
    <t>收益法（汇总）</t>
  </si>
  <si>
    <t>总价</t>
  </si>
  <si>
    <t>成本比率</t>
  </si>
  <si>
    <r>
      <t>（-</t>
    </r>
    <r>
      <rPr>
        <sz val="11"/>
        <color theme="1"/>
        <rFont val="宋体"/>
        <family val="3"/>
        <charset val="134"/>
        <scheme val="minor"/>
      </rPr>
      <t>1）</t>
    </r>
    <phoneticPr fontId="134" type="noConversion"/>
  </si>
  <si>
    <r>
      <t>1</t>
    </r>
    <r>
      <rPr>
        <sz val="11"/>
        <color theme="1"/>
        <rFont val="宋体"/>
        <family val="3"/>
        <charset val="134"/>
        <scheme val="minor"/>
      </rPr>
      <t>-2层</t>
    </r>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</si>
</sst>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0_ "/>
    <numFmt numFmtId="198" formatCode="000"/>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rgb="FFFF0000"/>
      <name val="宋体"/>
      <family val="3"/>
      <charset val="134"/>
      <scheme val="minor"/>
    </font>
    <font>
      <sz val="20"/>
      <color theme="1"/>
      <name val="宋体"/>
      <family val="3"/>
      <charset val="134"/>
      <scheme val="minor"/>
    </font>
    <font>
      <sz val="11"/>
      <name val="宋体"/>
      <family val="3"/>
      <charset val="134"/>
      <scheme val="minor"/>
    </font>
    <font>
      <b/>
      <sz val="10"/>
      <color theme="1"/>
      <name val="华文细黑"/>
      <family val="3"/>
      <charset val="134"/>
    </font>
    <font>
      <sz val="10"/>
      <color theme="1"/>
      <name val="华文细黑"/>
      <family val="3"/>
      <charset val="134"/>
    </font>
    <font>
      <sz val="10"/>
      <name val="华文细黑"/>
      <family val="3"/>
      <charset val="134"/>
    </font>
    <font>
      <sz val="10"/>
      <color rgb="FFFF0000"/>
      <name val="华文细黑"/>
      <family val="3"/>
      <charset val="134"/>
    </font>
    <font>
      <sz val="10"/>
      <color indexed="8"/>
      <name val="华文细黑"/>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36" fillId="0" borderId="0">
      <alignment vertical="center"/>
    </xf>
  </cellStyleXfs>
  <cellXfs count="356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95" fillId="0" borderId="0" xfId="19" applyFont="1">
      <alignment vertical="center"/>
    </xf>
    <xf numFmtId="0" fontId="95" fillId="0" borderId="0" xfId="19" applyFont="1" applyAlignment="1">
      <alignment horizontal="center" vertical="center"/>
    </xf>
    <xf numFmtId="0" fontId="96" fillId="0" borderId="1" xfId="19" applyFont="1" applyBorder="1" applyAlignment="1">
      <alignment horizontal="center" vertical="center"/>
    </xf>
    <xf numFmtId="0" fontId="95" fillId="0" borderId="1" xfId="19" applyFont="1" applyBorder="1" applyAlignment="1">
      <alignment horizontal="center" vertical="center"/>
    </xf>
    <xf numFmtId="0" fontId="95" fillId="0" borderId="5" xfId="19" applyFont="1" applyBorder="1" applyAlignment="1">
      <alignment horizontal="center" vertical="center"/>
    </xf>
    <xf numFmtId="0" fontId="95" fillId="0" borderId="2" xfId="19" applyFont="1" applyBorder="1" applyAlignment="1">
      <alignment horizontal="center" vertical="center"/>
    </xf>
    <xf numFmtId="0" fontId="95" fillId="7" borderId="13" xfId="19" applyFont="1" applyFill="1" applyBorder="1" applyAlignment="1">
      <alignment horizontal="center" vertical="center"/>
    </xf>
    <xf numFmtId="197" fontId="95" fillId="7" borderId="13" xfId="19" applyNumberFormat="1" applyFont="1" applyFill="1" applyBorder="1" applyAlignment="1">
      <alignment horizontal="center" vertical="center"/>
    </xf>
    <xf numFmtId="0" fontId="95" fillId="7" borderId="1" xfId="19" applyFont="1" applyFill="1" applyBorder="1" applyAlignment="1">
      <alignment horizontal="center" vertical="center"/>
    </xf>
    <xf numFmtId="197" fontId="95" fillId="0" borderId="1" xfId="19" applyNumberFormat="1" applyFont="1" applyBorder="1" applyAlignment="1">
      <alignment horizontal="right" vertical="center"/>
    </xf>
    <xf numFmtId="197" fontId="95" fillId="7" borderId="1" xfId="19" applyNumberFormat="1" applyFont="1" applyFill="1" applyBorder="1" applyAlignment="1">
      <alignment horizontal="right" vertical="center"/>
    </xf>
    <xf numFmtId="0" fontId="114" fillId="7" borderId="1" xfId="19" applyFont="1" applyFill="1" applyBorder="1" applyAlignment="1">
      <alignment horizontal="center" vertical="center"/>
    </xf>
    <xf numFmtId="0" fontId="273" fillId="7" borderId="1" xfId="19" applyFont="1" applyFill="1" applyBorder="1" applyAlignment="1">
      <alignment horizontal="center" vertical="center"/>
    </xf>
    <xf numFmtId="197" fontId="273" fillId="7" borderId="1" xfId="19" applyNumberFormat="1" applyFont="1" applyFill="1" applyBorder="1" applyAlignment="1">
      <alignment horizontal="right" vertical="center"/>
    </xf>
    <xf numFmtId="0" fontId="94" fillId="7" borderId="1" xfId="19" applyFont="1" applyFill="1" applyBorder="1" applyAlignment="1">
      <alignment horizontal="center" vertical="center"/>
    </xf>
    <xf numFmtId="0" fontId="271" fillId="0" borderId="0" xfId="19" applyFont="1">
      <alignment vertical="center"/>
    </xf>
    <xf numFmtId="0" fontId="128" fillId="3" borderId="1" xfId="19" quotePrefix="1" applyFont="1" applyFill="1" applyBorder="1" applyAlignment="1">
      <alignment horizontal="center" vertical="center"/>
    </xf>
    <xf numFmtId="198" fontId="273" fillId="7" borderId="1" xfId="19" applyNumberFormat="1" applyFont="1" applyFill="1" applyBorder="1" applyAlignment="1">
      <alignment horizontal="center" vertical="center"/>
    </xf>
    <xf numFmtId="198" fontId="95" fillId="7" borderId="1" xfId="19" applyNumberFormat="1" applyFont="1" applyFill="1" applyBorder="1" applyAlignment="1">
      <alignment horizontal="center" vertical="center"/>
    </xf>
    <xf numFmtId="0" fontId="275" fillId="0" borderId="0" xfId="19" applyFont="1" applyAlignment="1">
      <alignment horizontal="left" vertical="center"/>
    </xf>
    <xf numFmtId="0" fontId="275" fillId="7" borderId="13" xfId="19" applyFont="1" applyFill="1" applyBorder="1" applyAlignment="1">
      <alignment horizontal="left" vertical="center"/>
    </xf>
    <xf numFmtId="197" fontId="275" fillId="7" borderId="13" xfId="19" applyNumberFormat="1" applyFont="1" applyFill="1" applyBorder="1" applyAlignment="1">
      <alignment horizontal="left" vertical="center"/>
    </xf>
    <xf numFmtId="0" fontId="275" fillId="7" borderId="1" xfId="19" applyFont="1" applyFill="1" applyBorder="1" applyAlignment="1">
      <alignment horizontal="left" vertical="center"/>
    </xf>
    <xf numFmtId="0" fontId="275" fillId="0" borderId="1" xfId="19" applyFont="1" applyBorder="1" applyAlignment="1">
      <alignment horizontal="left" vertical="center"/>
    </xf>
    <xf numFmtId="197" fontId="275" fillId="0" borderId="1" xfId="19" applyNumberFormat="1" applyFont="1" applyBorder="1" applyAlignment="1">
      <alignment horizontal="left" vertical="center"/>
    </xf>
    <xf numFmtId="197" fontId="275" fillId="7" borderId="1" xfId="19" applyNumberFormat="1" applyFont="1" applyFill="1" applyBorder="1" applyAlignment="1">
      <alignment horizontal="left" vertical="center"/>
    </xf>
    <xf numFmtId="0" fontId="276" fillId="7" borderId="1" xfId="19" applyFont="1" applyFill="1" applyBorder="1" applyAlignment="1">
      <alignment horizontal="left" vertical="center"/>
    </xf>
    <xf numFmtId="197" fontId="276" fillId="7" borderId="1" xfId="19" applyNumberFormat="1" applyFont="1" applyFill="1" applyBorder="1" applyAlignment="1">
      <alignment horizontal="left" vertical="center"/>
    </xf>
    <xf numFmtId="0" fontId="277" fillId="0" borderId="0" xfId="19" applyFont="1" applyAlignment="1">
      <alignment horizontal="left" vertical="center"/>
    </xf>
    <xf numFmtId="197" fontId="275" fillId="0" borderId="0" xfId="19" applyNumberFormat="1" applyFont="1" applyAlignment="1">
      <alignment horizontal="left" vertical="center"/>
    </xf>
    <xf numFmtId="0" fontId="278" fillId="3" borderId="1" xfId="19" quotePrefix="1" applyFont="1" applyFill="1" applyBorder="1" applyAlignment="1">
      <alignment horizontal="left" vertical="center"/>
    </xf>
    <xf numFmtId="198" fontId="276" fillId="7" borderId="1" xfId="19" applyNumberFormat="1" applyFont="1" applyFill="1" applyBorder="1" applyAlignment="1">
      <alignment horizontal="left" vertical="center"/>
    </xf>
    <xf numFmtId="198" fontId="275" fillId="7" borderId="1" xfId="19" applyNumberFormat="1" applyFont="1" applyFill="1" applyBorder="1" applyAlignment="1">
      <alignment horizontal="left" vertical="center"/>
    </xf>
    <xf numFmtId="0" fontId="128" fillId="12" borderId="0" xfId="0" applyFont="1" applyFill="1" applyProtection="1">
      <alignment vertical="center"/>
      <protection locked="0"/>
    </xf>
    <xf numFmtId="0" fontId="128" fillId="12" borderId="0" xfId="0" applyFont="1" applyFill="1" applyAlignment="1" applyProtection="1">
      <alignment horizontal="right" vertical="center"/>
      <protection locked="0"/>
    </xf>
    <xf numFmtId="9" fontId="47" fillId="12" borderId="0" xfId="0" applyNumberFormat="1" applyFont="1" applyFill="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274" fillId="0" borderId="5" xfId="19" applyFont="1" applyBorder="1" applyAlignment="1">
      <alignment horizontal="center" vertical="center"/>
    </xf>
    <xf numFmtId="0" fontId="274" fillId="0" borderId="54" xfId="19" applyFont="1" applyBorder="1" applyAlignment="1">
      <alignment horizontal="center" vertical="center"/>
    </xf>
    <xf numFmtId="0" fontId="274" fillId="0" borderId="3" xfId="19" applyFont="1" applyBorder="1" applyAlignment="1">
      <alignment horizontal="center" vertical="center"/>
    </xf>
    <xf numFmtId="0" fontId="275" fillId="7" borderId="1" xfId="19" applyFont="1" applyFill="1" applyBorder="1" applyAlignment="1">
      <alignment horizontal="left"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95" fillId="0" borderId="4" xfId="19" applyFont="1" applyBorder="1" applyAlignment="1">
      <alignment horizontal="center" vertical="center"/>
    </xf>
    <xf numFmtId="0" fontId="95" fillId="0" borderId="60" xfId="19" applyFont="1" applyBorder="1" applyAlignment="1">
      <alignment horizontal="center" vertical="center"/>
    </xf>
    <xf numFmtId="0" fontId="95" fillId="0" borderId="7" xfId="19" applyFont="1" applyBorder="1" applyAlignment="1">
      <alignment horizontal="center" vertical="center"/>
    </xf>
    <xf numFmtId="0" fontId="147" fillId="0" borderId="58" xfId="19" applyFont="1" applyBorder="1" applyAlignment="1">
      <alignment horizontal="center" vertical="center"/>
    </xf>
    <xf numFmtId="0" fontId="147" fillId="0" borderId="0" xfId="19" applyFont="1" applyAlignment="1">
      <alignment horizontal="center" vertical="center"/>
    </xf>
    <xf numFmtId="0" fontId="147" fillId="0" borderId="35" xfId="19" applyFont="1" applyBorder="1" applyAlignment="1">
      <alignment horizontal="center" vertical="center"/>
    </xf>
    <xf numFmtId="0" fontId="95" fillId="0" borderId="58" xfId="19" applyFont="1" applyBorder="1" applyAlignment="1">
      <alignment horizontal="center" vertical="center"/>
    </xf>
    <xf numFmtId="0" fontId="95" fillId="0" borderId="0" xfId="19" applyFont="1" applyAlignment="1">
      <alignment horizontal="center" vertical="center"/>
    </xf>
    <xf numFmtId="0" fontId="95" fillId="0" borderId="35" xfId="19" applyFont="1" applyBorder="1" applyAlignment="1">
      <alignment horizontal="center" vertical="center"/>
    </xf>
    <xf numFmtId="0" fontId="95" fillId="7" borderId="1" xfId="19" applyFont="1" applyFill="1" applyBorder="1" applyAlignment="1">
      <alignment horizontal="center" vertical="center"/>
    </xf>
    <xf numFmtId="0" fontId="95" fillId="0" borderId="46" xfId="19" applyFont="1" applyBorder="1" applyAlignment="1">
      <alignment horizontal="left" vertical="top" wrapText="1"/>
    </xf>
    <xf numFmtId="0" fontId="95" fillId="0" borderId="36" xfId="19" applyFont="1" applyBorder="1" applyAlignment="1">
      <alignment horizontal="left" vertical="top" wrapText="1"/>
    </xf>
    <xf numFmtId="0" fontId="95" fillId="0" borderId="22" xfId="19" applyFont="1" applyBorder="1" applyAlignment="1">
      <alignment horizontal="left" vertical="top" wrapText="1"/>
    </xf>
    <xf numFmtId="0" fontId="95" fillId="0" borderId="58" xfId="19" applyFont="1" applyBorder="1" applyAlignment="1">
      <alignment horizontal="left" vertical="top" wrapText="1"/>
    </xf>
    <xf numFmtId="0" fontId="95" fillId="0" borderId="0" xfId="19" applyFont="1" applyAlignment="1">
      <alignment horizontal="left" vertical="top" wrapText="1"/>
    </xf>
    <xf numFmtId="0" fontId="95" fillId="0" borderId="35" xfId="19" applyFont="1" applyBorder="1" applyAlignment="1">
      <alignment horizontal="left" vertical="top" wrapText="1"/>
    </xf>
    <xf numFmtId="0" fontId="95" fillId="0" borderId="46" xfId="19" applyFont="1" applyBorder="1" applyAlignment="1">
      <alignment horizontal="center" vertical="center"/>
    </xf>
    <xf numFmtId="0" fontId="95" fillId="0" borderId="36" xfId="19" applyFont="1" applyBorder="1" applyAlignment="1">
      <alignment horizontal="center" vertical="center"/>
    </xf>
    <xf numFmtId="0" fontId="95" fillId="0" borderId="22" xfId="19" applyFont="1" applyBorder="1" applyAlignment="1">
      <alignment horizontal="center" vertical="center"/>
    </xf>
    <xf numFmtId="0" fontId="96" fillId="0" borderId="1" xfId="19" applyFont="1" applyBorder="1" applyAlignment="1">
      <alignment horizontal="center" vertical="center" wrapText="1"/>
    </xf>
    <xf numFmtId="0" fontId="108" fillId="0" borderId="1" xfId="19" applyFont="1" applyBorder="1" applyAlignment="1">
      <alignment horizontal="center" vertical="center" wrapText="1"/>
    </xf>
    <xf numFmtId="0" fontId="95" fillId="0" borderId="1" xfId="19" applyFont="1" applyBorder="1" applyAlignment="1">
      <alignment horizontal="center" vertical="center"/>
    </xf>
    <xf numFmtId="0" fontId="95" fillId="0" borderId="54" xfId="19" applyFont="1" applyBorder="1" applyAlignment="1">
      <alignment horizontal="center" vertical="center"/>
    </xf>
    <xf numFmtId="0" fontId="95" fillId="0" borderId="3" xfId="19" applyFont="1" applyBorder="1" applyAlignment="1">
      <alignment horizontal="center" vertical="center"/>
    </xf>
    <xf numFmtId="0" fontId="95" fillId="0" borderId="5" xfId="19" applyFont="1" applyBorder="1" applyAlignment="1">
      <alignment horizontal="center" vertical="center"/>
    </xf>
    <xf numFmtId="0" fontId="96" fillId="0" borderId="5" xfId="19" applyFont="1" applyBorder="1" applyAlignment="1">
      <alignment horizontal="center" vertical="center"/>
    </xf>
    <xf numFmtId="0" fontId="96" fillId="0" borderId="54" xfId="19" applyFont="1" applyBorder="1" applyAlignment="1">
      <alignment horizontal="center" vertical="center"/>
    </xf>
    <xf numFmtId="0" fontId="96" fillId="0" borderId="3" xfId="19" applyFont="1" applyBorder="1" applyAlignment="1">
      <alignment horizontal="center" vertical="center"/>
    </xf>
    <xf numFmtId="0" fontId="272" fillId="0" borderId="0" xfId="19" applyFont="1" applyAlignment="1">
      <alignment horizontal="center" vertical="center"/>
    </xf>
    <xf numFmtId="0" fontId="96" fillId="0" borderId="1" xfId="19" applyFont="1" applyBorder="1" applyAlignment="1">
      <alignment horizontal="center" vertical="center"/>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7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476250</xdr:colOff>
      <xdr:row>1</xdr:row>
      <xdr:rowOff>28575</xdr:rowOff>
    </xdr:from>
    <xdr:to>
      <xdr:col>17</xdr:col>
      <xdr:colOff>579555</xdr:colOff>
      <xdr:row>31</xdr:row>
      <xdr:rowOff>123170</xdr:rowOff>
    </xdr:to>
    <xdr:pic>
      <xdr:nvPicPr>
        <xdr:cNvPr id="2" name="图片 1">
          <a:extLst>
            <a:ext uri="{FF2B5EF4-FFF2-40B4-BE49-F238E27FC236}">
              <a16:creationId xmlns:a16="http://schemas.microsoft.com/office/drawing/2014/main" xmlns="" id="{B9259D3F-C032-C947-F736-44648B64CB91}"/>
            </a:ext>
          </a:extLst>
        </xdr:cNvPr>
        <xdr:cNvPicPr>
          <a:picLocks noChangeAspect="1"/>
        </xdr:cNvPicPr>
      </xdr:nvPicPr>
      <xdr:blipFill>
        <a:blip xmlns:r="http://schemas.openxmlformats.org/officeDocument/2006/relationships" r:embed="rId1"/>
        <a:stretch>
          <a:fillRect/>
        </a:stretch>
      </xdr:blipFill>
      <xdr:spPr>
        <a:xfrm>
          <a:off x="476250" y="200025"/>
          <a:ext cx="11761905" cy="5238095"/>
        </a:xfrm>
        <a:prstGeom prst="rect">
          <a:avLst/>
        </a:prstGeom>
      </xdr:spPr>
    </xdr:pic>
    <xdr:clientData/>
  </xdr:twoCellAnchor>
  <xdr:twoCellAnchor editAs="oneCell">
    <xdr:from>
      <xdr:col>0</xdr:col>
      <xdr:colOff>381000</xdr:colOff>
      <xdr:row>33</xdr:row>
      <xdr:rowOff>76200</xdr:rowOff>
    </xdr:from>
    <xdr:to>
      <xdr:col>18</xdr:col>
      <xdr:colOff>322314</xdr:colOff>
      <xdr:row>65</xdr:row>
      <xdr:rowOff>94562</xdr:rowOff>
    </xdr:to>
    <xdr:pic>
      <xdr:nvPicPr>
        <xdr:cNvPr id="3" name="图片 2">
          <a:extLst>
            <a:ext uri="{FF2B5EF4-FFF2-40B4-BE49-F238E27FC236}">
              <a16:creationId xmlns:a16="http://schemas.microsoft.com/office/drawing/2014/main" xmlns="" id="{76E9E349-9B7E-5F34-03E9-0A2A1B0557F2}"/>
            </a:ext>
          </a:extLst>
        </xdr:cNvPr>
        <xdr:cNvPicPr>
          <a:picLocks noChangeAspect="1"/>
        </xdr:cNvPicPr>
      </xdr:nvPicPr>
      <xdr:blipFill>
        <a:blip xmlns:r="http://schemas.openxmlformats.org/officeDocument/2006/relationships" r:embed="rId2"/>
        <a:stretch>
          <a:fillRect/>
        </a:stretch>
      </xdr:blipFill>
      <xdr:spPr>
        <a:xfrm>
          <a:off x="381000" y="5734050"/>
          <a:ext cx="12285714" cy="5504762"/>
        </a:xfrm>
        <a:prstGeom prst="rect">
          <a:avLst/>
        </a:prstGeom>
      </xdr:spPr>
    </xdr:pic>
    <xdr:clientData/>
  </xdr:twoCellAnchor>
  <xdr:twoCellAnchor editAs="oneCell">
    <xdr:from>
      <xdr:col>0</xdr:col>
      <xdr:colOff>514350</xdr:colOff>
      <xdr:row>67</xdr:row>
      <xdr:rowOff>9525</xdr:rowOff>
    </xdr:from>
    <xdr:to>
      <xdr:col>18</xdr:col>
      <xdr:colOff>608045</xdr:colOff>
      <xdr:row>97</xdr:row>
      <xdr:rowOff>151739</xdr:rowOff>
    </xdr:to>
    <xdr:pic>
      <xdr:nvPicPr>
        <xdr:cNvPr id="4" name="图片 3">
          <a:extLst>
            <a:ext uri="{FF2B5EF4-FFF2-40B4-BE49-F238E27FC236}">
              <a16:creationId xmlns:a16="http://schemas.microsoft.com/office/drawing/2014/main" xmlns="" id="{2331109D-3EBB-3B91-8BD9-5B9CAF2531CE}"/>
            </a:ext>
          </a:extLst>
        </xdr:cNvPr>
        <xdr:cNvPicPr>
          <a:picLocks noChangeAspect="1"/>
        </xdr:cNvPicPr>
      </xdr:nvPicPr>
      <xdr:blipFill>
        <a:blip xmlns:r="http://schemas.openxmlformats.org/officeDocument/2006/relationships" r:embed="rId3"/>
        <a:stretch>
          <a:fillRect/>
        </a:stretch>
      </xdr:blipFill>
      <xdr:spPr>
        <a:xfrm>
          <a:off x="514350" y="11496675"/>
          <a:ext cx="12438095" cy="52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抵押物清单"/>
      <sheetName val="估价对象房地状况"/>
      <sheetName val="系统读取表"/>
      <sheetName val="结果表"/>
      <sheetName val="成本法"/>
      <sheetName val="成本法 (元)"/>
      <sheetName val="假设开发法"/>
      <sheetName val="基准地价修正"/>
      <sheetName val="收益法"/>
      <sheetName val="收益法 (元)"/>
      <sheetName val="收益法-酒店模型"/>
      <sheetName val="收益法车库"/>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因素修正幅度"/>
      <sheetName val="区片价（范围）"/>
      <sheetName val="地价-分区"/>
      <sheetName val="地价"/>
      <sheetName val="区片价"/>
      <sheetName val="存贷款利率"/>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收益法车库</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商业</v>
          </cell>
        </row>
        <row r="20">
          <cell r="C20" t="str">
            <v>车库</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75">
          <cell r="H75">
            <v>4769.6500000000024</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0">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2">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3">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4">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5">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6">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7"/>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 ca="1">'预评函-封皮'!B46</f>
        <v>吴薇（注册号：1419970001)、郑燚（注册号：1120070131)</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估价对象为北京市房地产，为所有。根据《国有土地使用证》[]，估价对象（分摊）出让国有建设用地使用权面积为0平方米，建筑面积为27067.12平方米。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估价对象为北京市房地产,属开发建设的，该项目尚在开发建设中。根据《国有土地使用证》[]，估价对象（分摊）出让国有建设用地使用权面积为0平方米，规划建筑面积为27067.12平方米。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2025年4月1日</v>
      </c>
    </row>
    <row r="13" spans="1:2">
      <c r="A13" s="1119" t="s">
        <v>529</v>
      </c>
      <c r="B13" s="1120" t="str">
        <f>'预评函-1'!A18</f>
        <v>本次估价的“房地产价值”是指在正常市场情况下，在价值时点2025年4月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53085</v>
      </c>
    </row>
    <row r="21" spans="1:2">
      <c r="A21" s="1119" t="s">
        <v>537</v>
      </c>
      <c r="B21" s="1120">
        <f ca="1">'预评函-2'!D7</f>
        <v>19612</v>
      </c>
    </row>
    <row r="22" spans="1:2">
      <c r="A22" s="1119" t="s">
        <v>538</v>
      </c>
      <c r="B22" s="1120" t="str">
        <f ca="1">'预评函-2'!D6</f>
        <v>伍亿叁仟零捌拾伍万元整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53085</v>
      </c>
    </row>
    <row r="31" spans="1:2">
      <c r="A31" s="1119" t="s">
        <v>576</v>
      </c>
      <c r="B31" s="1120">
        <f ca="1">'预评函-2'!D15</f>
        <v>19612</v>
      </c>
    </row>
    <row r="32" spans="1:2">
      <c r="A32" s="1119" t="s">
        <v>543</v>
      </c>
      <c r="B32" s="1120" t="str">
        <f ca="1">'预评函-2'!D14</f>
        <v>伍亿叁仟零捌拾伍万元整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27067.119999999988</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 ca="1">'预评函-3'!D4</f>
        <v>41884</v>
      </c>
    </row>
    <row r="48" spans="1:2">
      <c r="A48" s="1119" t="s">
        <v>549</v>
      </c>
      <c r="B48" s="1120">
        <f ca="1">'预评函-3'!E4</f>
        <v>15474</v>
      </c>
    </row>
    <row r="49" spans="1:2">
      <c r="A49" s="1119" t="s">
        <v>550</v>
      </c>
      <c r="B49" s="1120" t="str">
        <f ca="1">'预评函-3'!D5</f>
        <v>肆亿壹仟捌佰捌拾肆万元整</v>
      </c>
    </row>
    <row r="50" spans="1:2">
      <c r="A50" s="1119" t="s">
        <v>574</v>
      </c>
      <c r="B50" s="1120" t="str">
        <f>'预评函-3'!F2</f>
        <v>在建建筑物价值</v>
      </c>
    </row>
    <row r="51" spans="1:2">
      <c r="A51" s="1119" t="s">
        <v>551</v>
      </c>
      <c r="B51" s="1120">
        <f ca="1">'预评函-3'!F4</f>
        <v>11201</v>
      </c>
    </row>
    <row r="52" spans="1:2">
      <c r="A52" s="1119" t="s">
        <v>552</v>
      </c>
      <c r="B52" s="1120">
        <f ca="1">'预评函-3'!G4</f>
        <v>4138</v>
      </c>
    </row>
    <row r="53" spans="1:2">
      <c r="A53" s="1119" t="s">
        <v>580</v>
      </c>
      <c r="B53" s="1120" t="str">
        <f ca="1">'预评函-3'!F5</f>
        <v>壹亿壹仟贰佰零壹万元整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t="str">
        <f>'预评函-4'!A4</f>
        <v>吴薇</v>
      </c>
    </row>
    <row r="71" spans="1:2">
      <c r="A71" s="1119" t="s">
        <v>563</v>
      </c>
      <c r="B71" s="1120">
        <f ca="1">'预评函-4'!B4</f>
        <v>1419970001</v>
      </c>
    </row>
    <row r="72" spans="1:2">
      <c r="A72" s="1119" t="s">
        <v>564</v>
      </c>
      <c r="B72" s="1127" t="str">
        <f>'预评函-4'!A5</f>
        <v>郑燚</v>
      </c>
    </row>
    <row r="73" spans="1:2" s="1115" customFormat="1" ht="15" thickBot="1">
      <c r="A73" s="1122" t="s">
        <v>565</v>
      </c>
      <c r="B73" s="1123">
        <f ca="1">'预评函-4'!B5</f>
        <v>1120070131</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3341</v>
      </c>
    </row>
    <row r="8" spans="1:23">
      <c r="A8" s="1441" t="s">
        <v>1026</v>
      </c>
      <c r="B8" s="1441" t="s">
        <v>1027</v>
      </c>
      <c r="C8" s="1442" t="s">
        <v>319</v>
      </c>
      <c r="F8" s="1443" t="s">
        <v>1028</v>
      </c>
      <c r="H8" s="1443" t="s">
        <v>2577</v>
      </c>
      <c r="I8" s="1443" t="s">
        <v>3342</v>
      </c>
    </row>
    <row r="9" spans="1:23">
      <c r="A9" s="1441" t="s">
        <v>1029</v>
      </c>
      <c r="B9" s="1441" t="s">
        <v>1030</v>
      </c>
      <c r="C9" s="1442" t="s">
        <v>320</v>
      </c>
      <c r="F9" s="1443" t="s">
        <v>1031</v>
      </c>
      <c r="H9" s="1443"/>
      <c r="I9" s="1445" t="s">
        <v>3343</v>
      </c>
    </row>
    <row r="10" spans="1:23">
      <c r="A10" s="1441" t="s">
        <v>1032</v>
      </c>
      <c r="B10" s="1441" t="s">
        <v>1033</v>
      </c>
      <c r="C10" s="1442" t="s">
        <v>321</v>
      </c>
      <c r="F10" s="1443" t="s">
        <v>2578</v>
      </c>
      <c r="I10" s="1445" t="s">
        <v>3344</v>
      </c>
    </row>
    <row r="11" spans="1:23">
      <c r="A11" s="1441" t="s">
        <v>1034</v>
      </c>
      <c r="B11" s="1441" t="s">
        <v>1035</v>
      </c>
      <c r="C11" s="1442" t="s">
        <v>322</v>
      </c>
      <c r="F11" s="1443" t="s">
        <v>13</v>
      </c>
      <c r="I11" s="1445" t="s">
        <v>3345</v>
      </c>
    </row>
    <row r="12" spans="1:23">
      <c r="A12" s="1441" t="s">
        <v>1036</v>
      </c>
      <c r="B12" s="1441" t="s">
        <v>1037</v>
      </c>
      <c r="C12" s="1442" t="s">
        <v>323</v>
      </c>
      <c r="I12" s="1445" t="s">
        <v>3346</v>
      </c>
    </row>
    <row r="13" spans="1:23">
      <c r="A13" s="1441" t="s">
        <v>1038</v>
      </c>
      <c r="B13" s="1441" t="s">
        <v>1039</v>
      </c>
      <c r="C13" s="1442" t="s">
        <v>324</v>
      </c>
      <c r="I13" s="1445" t="s">
        <v>3347</v>
      </c>
    </row>
    <row r="14" spans="1:23">
      <c r="A14" s="1441" t="s">
        <v>1040</v>
      </c>
      <c r="B14" s="1441" t="s">
        <v>1041</v>
      </c>
      <c r="C14" s="1443" t="s">
        <v>13</v>
      </c>
      <c r="I14" s="1445" t="s">
        <v>3348</v>
      </c>
    </row>
    <row r="15" spans="1:23">
      <c r="A15" s="1441" t="s">
        <v>1042</v>
      </c>
      <c r="B15" s="1441" t="s">
        <v>1043</v>
      </c>
      <c r="C15" s="1442"/>
      <c r="I15" s="1445" t="s">
        <v>3349</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3672</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39"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9"/>
      <c r="B54" s="1447" t="s">
        <v>385</v>
      </c>
      <c r="C54" s="1445" t="s">
        <v>583</v>
      </c>
    </row>
    <row r="55" spans="1:4">
      <c r="A55" s="3239"/>
      <c r="B55" s="1447" t="s">
        <v>386</v>
      </c>
      <c r="C55" s="1445" t="s">
        <v>584</v>
      </c>
    </row>
    <row r="56" spans="1:4">
      <c r="A56" s="3239"/>
      <c r="B56" s="1447" t="s">
        <v>387</v>
      </c>
      <c r="C56" s="1445" t="s">
        <v>588</v>
      </c>
    </row>
    <row r="57" spans="1:4">
      <c r="A57" s="3239"/>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Normal="10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2500</v>
      </c>
      <c r="B1" s="2757"/>
      <c r="C1" s="2757"/>
      <c r="D1" s="2757"/>
      <c r="E1" s="2757"/>
      <c r="F1" s="2758"/>
      <c r="I1" s="3135" t="s">
        <v>2593</v>
      </c>
      <c r="J1" s="2783"/>
      <c r="K1" s="2783"/>
      <c r="L1" s="2783"/>
      <c r="M1" s="2783"/>
      <c r="N1" s="2968"/>
      <c r="O1" s="2968"/>
      <c r="P1" s="2968"/>
      <c r="Q1" s="2968"/>
      <c r="R1" s="2968"/>
    </row>
    <row r="2" spans="1:18">
      <c r="A2" s="2760"/>
      <c r="B2" s="2761"/>
      <c r="C2" s="2761"/>
      <c r="D2" s="2761"/>
      <c r="E2" s="2761"/>
      <c r="F2" s="2762"/>
      <c r="I2" s="3240" t="s">
        <v>2580</v>
      </c>
      <c r="J2" s="3240"/>
      <c r="K2" s="3240"/>
      <c r="L2" s="3240"/>
      <c r="M2" s="3240"/>
      <c r="N2" s="3240"/>
      <c r="O2" s="3240"/>
      <c r="P2" s="3240"/>
      <c r="Q2" s="3240"/>
      <c r="R2" s="3240"/>
    </row>
    <row r="3" spans="1:18">
      <c r="A3" s="2763" t="s">
        <v>2501</v>
      </c>
      <c r="B3" s="2764">
        <f>项目基本情况!D3</f>
        <v>45748</v>
      </c>
      <c r="C3" s="2766"/>
      <c r="D3" s="2766"/>
      <c r="E3" s="2766"/>
      <c r="F3" s="2762"/>
      <c r="I3" s="2778"/>
      <c r="J3" s="2778" t="s">
        <v>2584</v>
      </c>
      <c r="K3" s="2778" t="s">
        <v>2585</v>
      </c>
      <c r="L3" s="2778" t="s">
        <v>2586</v>
      </c>
      <c r="M3" s="2778" t="s">
        <v>2587</v>
      </c>
      <c r="N3" s="3136" t="s">
        <v>2588</v>
      </c>
      <c r="O3" s="3136" t="s">
        <v>2589</v>
      </c>
      <c r="P3" s="3136" t="s">
        <v>2590</v>
      </c>
      <c r="Q3" s="3136" t="s">
        <v>2591</v>
      </c>
      <c r="R3" s="3136" t="s">
        <v>2592</v>
      </c>
    </row>
    <row r="4" spans="1:18">
      <c r="A4" s="2763" t="s">
        <v>2502</v>
      </c>
      <c r="B4" s="2766" t="s">
        <v>2503</v>
      </c>
      <c r="C4" s="2766" t="s">
        <v>2504</v>
      </c>
      <c r="D4" s="2766" t="s">
        <v>2505</v>
      </c>
      <c r="E4" s="2766" t="s">
        <v>2506</v>
      </c>
      <c r="F4" s="2762"/>
      <c r="I4" s="2778" t="s">
        <v>2581</v>
      </c>
      <c r="J4" s="2778">
        <v>80</v>
      </c>
      <c r="K4" s="2778">
        <v>70</v>
      </c>
      <c r="L4" s="2778">
        <v>20</v>
      </c>
      <c r="M4" s="2778">
        <v>30</v>
      </c>
      <c r="N4" s="2766">
        <v>45</v>
      </c>
      <c r="O4" s="2766">
        <v>60</v>
      </c>
      <c r="P4" s="2766">
        <v>50</v>
      </c>
      <c r="Q4" s="2766">
        <v>20</v>
      </c>
      <c r="R4" s="2766">
        <v>375</v>
      </c>
    </row>
    <row r="5" spans="1:18">
      <c r="A5" s="2767">
        <v>40</v>
      </c>
      <c r="B5" s="2764">
        <v>46375</v>
      </c>
      <c r="C5" s="2766">
        <f>ROUNDDOWN(MIN((B5-B3)/365,A5),2)</f>
        <v>1.71</v>
      </c>
      <c r="D5" s="2768">
        <f>IF(ISERROR(ROUND(POWER(1+E5,A5-C5)*(POWER(1+E5,C5)-1)/(POWER(1+E5,A5)-1),3)),0,ROUND(POWER(1+E5,A5-C5)*(POWER(1+E5,C5)-1)/(POWER(1+E5,A5)-1),4))</f>
        <v>8.1900000000000001E-2</v>
      </c>
      <c r="E5" s="2769">
        <v>0.04</v>
      </c>
      <c r="F5" s="2762"/>
      <c r="I5" s="2778" t="s">
        <v>2582</v>
      </c>
      <c r="J5" s="2778">
        <v>70</v>
      </c>
      <c r="K5" s="2778">
        <v>60</v>
      </c>
      <c r="L5" s="2778">
        <v>15</v>
      </c>
      <c r="M5" s="2778">
        <v>25</v>
      </c>
      <c r="N5" s="2766">
        <v>40</v>
      </c>
      <c r="O5" s="2766">
        <v>50</v>
      </c>
      <c r="P5" s="2766">
        <v>40</v>
      </c>
      <c r="Q5" s="2766">
        <v>15</v>
      </c>
      <c r="R5" s="2766">
        <v>315</v>
      </c>
    </row>
    <row r="6" spans="1:18">
      <c r="A6" s="2767">
        <v>50</v>
      </c>
      <c r="B6" s="2764">
        <v>50028</v>
      </c>
      <c r="C6" s="2766">
        <f>ROUNDDOWN(MIN((B6-B3)/365,A6),2)</f>
        <v>11.72</v>
      </c>
      <c r="D6" s="2768">
        <f>IF(ISERROR(ROUND(POWER(1+E6,A6-C6)*(POWER(1+E6,C6)-1)/(POWER(1+E6,A6)-1),3)),0,ROUND(POWER(1+E6,A6-C6)*(POWER(1+E6,C6)-1)/(POWER(1+E6,A6)-1),4))</f>
        <v>0.4289</v>
      </c>
      <c r="E6" s="2769">
        <v>0.04</v>
      </c>
      <c r="F6" s="2762"/>
      <c r="I6" s="2778" t="s">
        <v>2583</v>
      </c>
      <c r="J6" s="2778">
        <v>60</v>
      </c>
      <c r="K6" s="2778">
        <v>50</v>
      </c>
      <c r="L6" s="2778">
        <v>10</v>
      </c>
      <c r="M6" s="2778">
        <v>20</v>
      </c>
      <c r="N6" s="2766">
        <v>35</v>
      </c>
      <c r="O6" s="2766">
        <v>40</v>
      </c>
      <c r="P6" s="2766">
        <v>30</v>
      </c>
      <c r="Q6" s="2766">
        <v>10</v>
      </c>
      <c r="R6" s="2766">
        <v>255</v>
      </c>
    </row>
    <row r="7" spans="1:18">
      <c r="A7" s="2767">
        <v>70</v>
      </c>
      <c r="B7" s="2764">
        <v>57333</v>
      </c>
      <c r="C7" s="2766">
        <f>ROUNDDOWN(MIN((B7-B3)/365,A7),2)</f>
        <v>31.73</v>
      </c>
      <c r="D7" s="2768">
        <f>IF(ISERROR(ROUND(POWER(1+E7,A7-C7)*(POWER(1+E7,C7)-1)/(POWER(1+E7,A7)-1),3)),0,ROUND(POWER(1+E7,A7-C7)*(POWER(1+E7,C7)-1)/(POWER(1+E7,A7)-1),4))</f>
        <v>0.76080000000000003</v>
      </c>
      <c r="E7" s="2769">
        <v>0.04</v>
      </c>
      <c r="F7" s="2762"/>
    </row>
    <row r="8" spans="1:18">
      <c r="A8" s="2760"/>
      <c r="B8" s="2761"/>
      <c r="C8" s="2761"/>
      <c r="D8" s="2761"/>
      <c r="E8" s="2761"/>
      <c r="F8" s="2762"/>
    </row>
    <row r="9" spans="1:18">
      <c r="A9" s="2763" t="s">
        <v>2507</v>
      </c>
      <c r="B9" s="2766"/>
      <c r="C9" s="2766"/>
      <c r="D9" s="2766"/>
      <c r="E9" s="2766"/>
      <c r="F9" s="2770"/>
    </row>
    <row r="10" spans="1:18">
      <c r="A10" s="2763" t="s">
        <v>2508</v>
      </c>
      <c r="B10" s="2766"/>
      <c r="C10" s="2766"/>
      <c r="D10" s="2766" t="s">
        <v>2506</v>
      </c>
      <c r="E10" s="2766"/>
      <c r="F10" s="2770" t="s">
        <v>2505</v>
      </c>
    </row>
    <row r="11" spans="1:18">
      <c r="A11" s="2763" t="s">
        <v>2509</v>
      </c>
      <c r="B11" s="2771">
        <v>70</v>
      </c>
      <c r="C11" s="2766" t="s">
        <v>2510</v>
      </c>
      <c r="D11" s="2771">
        <v>4.4999999999999998E-2</v>
      </c>
      <c r="E11" s="2766" t="s">
        <v>2511</v>
      </c>
      <c r="F11" s="2772">
        <f>ROUND(1-(1/(POWER(1+D11,B11))),4)</f>
        <v>0.95409999999999995</v>
      </c>
    </row>
    <row r="12" spans="1:18">
      <c r="A12" s="2763" t="s">
        <v>2512</v>
      </c>
      <c r="B12" s="2771">
        <v>40</v>
      </c>
      <c r="C12" s="2766" t="s">
        <v>2513</v>
      </c>
      <c r="D12" s="2771">
        <v>4.4999999999999998E-2</v>
      </c>
      <c r="E12" s="2766" t="s">
        <v>2514</v>
      </c>
      <c r="F12" s="2772">
        <f>ROUND(1-(1/(POWER(1+D12,B12))),4)</f>
        <v>0.82809999999999995</v>
      </c>
    </row>
    <row r="13" spans="1:18">
      <c r="A13" s="2763" t="s">
        <v>2515</v>
      </c>
      <c r="B13" s="2766"/>
      <c r="C13" s="2766"/>
      <c r="D13" s="2761"/>
      <c r="E13" s="2761"/>
      <c r="F13" s="2762"/>
    </row>
    <row r="14" spans="1:18">
      <c r="A14" s="2763" t="s">
        <v>2516</v>
      </c>
      <c r="B14" s="2771">
        <v>5000</v>
      </c>
      <c r="C14" s="2765"/>
      <c r="D14" s="2761"/>
      <c r="E14" s="2761"/>
      <c r="F14" s="2762"/>
    </row>
    <row r="15" spans="1:18">
      <c r="A15" s="2763" t="s">
        <v>2517</v>
      </c>
      <c r="B15" s="2766">
        <f>ROUND(B14*F12/F11,2)</f>
        <v>4339.6899999999996</v>
      </c>
      <c r="C15" s="2766">
        <f>ROUND(F12/F11,4)</f>
        <v>0.8679</v>
      </c>
      <c r="D15" s="2761"/>
      <c r="E15" s="2761"/>
      <c r="F15" s="2762"/>
    </row>
    <row r="16" spans="1:18">
      <c r="A16" s="2763" t="s">
        <v>2518</v>
      </c>
      <c r="B16" s="2766"/>
      <c r="C16" s="2766"/>
      <c r="D16" s="2761"/>
      <c r="E16" s="2761"/>
      <c r="F16" s="2762"/>
    </row>
    <row r="17" spans="1:14">
      <c r="A17" s="2763" t="s">
        <v>2517</v>
      </c>
      <c r="B17" s="2771">
        <v>4810</v>
      </c>
      <c r="C17" s="2765"/>
      <c r="D17" s="2761"/>
      <c r="E17" s="2761"/>
      <c r="F17" s="2762"/>
    </row>
    <row r="18" spans="1:14" ht="14.25" thickBot="1">
      <c r="A18" s="2773" t="s">
        <v>2516</v>
      </c>
      <c r="B18" s="2774">
        <f>ROUND(B17*F11/F12,2)</f>
        <v>5541.87</v>
      </c>
      <c r="C18" s="2774">
        <f>ROUND(F11/F12,4)</f>
        <v>1.1521999999999999</v>
      </c>
      <c r="D18" s="2775"/>
      <c r="E18" s="2775"/>
      <c r="F18" s="2776"/>
    </row>
    <row r="19" spans="1:14" ht="14.25" thickBot="1"/>
    <row r="20" spans="1:14" s="2809" customFormat="1" ht="14.25" thickTop="1">
      <c r="A20" s="2806" t="s">
        <v>2519</v>
      </c>
      <c r="B20" s="2807"/>
      <c r="C20" s="2807"/>
      <c r="D20" s="2807"/>
      <c r="E20" s="2807"/>
      <c r="F20" s="2807"/>
      <c r="G20" s="2808"/>
      <c r="I20" s="2810" t="s">
        <v>2564</v>
      </c>
      <c r="J20" s="2810" t="s">
        <v>2569</v>
      </c>
      <c r="K20" s="2810"/>
      <c r="L20" s="2810"/>
      <c r="M20" s="2810"/>
    </row>
    <row r="21" spans="1:14">
      <c r="A21" s="2777"/>
      <c r="B21" s="2778" t="s">
        <v>2520</v>
      </c>
      <c r="C21" s="2778" t="s">
        <v>2521</v>
      </c>
      <c r="D21" s="2778" t="s">
        <v>2522</v>
      </c>
      <c r="E21" s="2778" t="s">
        <v>2523</v>
      </c>
      <c r="F21" s="2778" t="s">
        <v>2524</v>
      </c>
      <c r="G21" s="2779" t="s">
        <v>2525</v>
      </c>
      <c r="I21" s="2800">
        <v>5</v>
      </c>
      <c r="J21" s="2800">
        <v>54.2</v>
      </c>
    </row>
    <row r="22" spans="1:14">
      <c r="A22" s="2777" t="s">
        <v>2526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2567</v>
      </c>
      <c r="N23" s="3153" t="s">
        <v>2568</v>
      </c>
    </row>
    <row r="24" spans="1:14">
      <c r="A24" s="2777" t="s">
        <v>2528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2566</v>
      </c>
      <c r="N24" s="3153">
        <v>10</v>
      </c>
    </row>
    <row r="25" spans="1:14">
      <c r="A25" s="2777" t="s">
        <v>2529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2570</v>
      </c>
      <c r="N25" s="3153">
        <v>8</v>
      </c>
    </row>
    <row r="26" spans="1:14">
      <c r="A26" s="2782"/>
      <c r="B26" s="2783"/>
      <c r="C26" s="2783"/>
      <c r="D26" s="2783"/>
      <c r="E26" s="2783"/>
      <c r="F26" s="2783"/>
      <c r="G26" s="2784"/>
      <c r="I26" s="2800">
        <v>30</v>
      </c>
      <c r="J26" s="2800">
        <v>90.5</v>
      </c>
      <c r="K26" s="2800">
        <f t="shared" si="2"/>
        <v>4.2000000000000028</v>
      </c>
      <c r="L26" s="2800" t="s">
        <v>2571</v>
      </c>
      <c r="N26" s="3153">
        <v>5</v>
      </c>
    </row>
    <row r="27" spans="1:14">
      <c r="A27" s="2782" t="s">
        <v>2530</v>
      </c>
      <c r="B27" s="2783"/>
      <c r="C27" s="2783"/>
      <c r="D27" s="2783"/>
      <c r="E27" s="2783"/>
      <c r="F27" s="2783"/>
      <c r="G27" s="2784"/>
      <c r="I27" s="2800">
        <v>35</v>
      </c>
      <c r="J27" s="2800">
        <v>93.8</v>
      </c>
      <c r="K27" s="2800">
        <f t="shared" si="2"/>
        <v>3.2999999999999972</v>
      </c>
      <c r="L27" s="2800" t="s">
        <v>2572</v>
      </c>
      <c r="N27" s="3153">
        <v>3</v>
      </c>
    </row>
    <row r="28" spans="1:14">
      <c r="A28" s="2782" t="s">
        <v>2531</v>
      </c>
      <c r="B28" s="2783"/>
      <c r="C28" s="2783"/>
      <c r="D28" s="2783"/>
      <c r="E28" s="2783"/>
      <c r="F28" s="2783"/>
      <c r="G28" s="2784"/>
      <c r="I28" s="2800">
        <v>40</v>
      </c>
      <c r="J28" s="2800">
        <v>96.4</v>
      </c>
      <c r="K28" s="2800">
        <f t="shared" si="2"/>
        <v>2.6000000000000085</v>
      </c>
      <c r="L28" s="2800" t="s">
        <v>2573</v>
      </c>
      <c r="N28" s="3153">
        <v>2</v>
      </c>
    </row>
    <row r="29" spans="1:14">
      <c r="A29" s="2782" t="s">
        <v>2532</v>
      </c>
      <c r="B29" s="2783"/>
      <c r="C29" s="2783"/>
      <c r="D29" s="2783"/>
      <c r="E29" s="2783"/>
      <c r="F29" s="2783"/>
      <c r="G29" s="2784"/>
      <c r="I29" s="2800">
        <v>45</v>
      </c>
      <c r="J29" s="2800">
        <v>98.4</v>
      </c>
      <c r="K29" s="2800">
        <f t="shared" si="2"/>
        <v>2</v>
      </c>
    </row>
    <row r="30" spans="1:14">
      <c r="A30" s="2782" t="s">
        <v>2533</v>
      </c>
      <c r="B30" s="2783"/>
      <c r="C30" s="2783"/>
      <c r="D30" s="2783"/>
      <c r="E30" s="2783"/>
      <c r="F30" s="2783"/>
      <c r="G30" s="2784"/>
      <c r="I30" s="2800">
        <v>50</v>
      </c>
      <c r="J30" s="2800">
        <v>100</v>
      </c>
      <c r="K30" s="2800">
        <f t="shared" si="2"/>
        <v>1.5999999999999943</v>
      </c>
    </row>
    <row r="31" spans="1:14">
      <c r="A31" s="2782" t="s">
        <v>2534</v>
      </c>
      <c r="B31" s="2783"/>
      <c r="C31" s="2783"/>
      <c r="D31" s="2783"/>
      <c r="E31" s="2783"/>
      <c r="F31" s="2783"/>
      <c r="G31" s="2784"/>
      <c r="I31" s="2800" t="s">
        <v>2565</v>
      </c>
    </row>
    <row r="32" spans="1:14">
      <c r="A32" s="2782" t="s">
        <v>2535</v>
      </c>
      <c r="B32" s="2783"/>
      <c r="C32" s="2783"/>
      <c r="D32" s="2783"/>
      <c r="E32" s="2783"/>
      <c r="F32" s="2783"/>
      <c r="G32" s="2784"/>
    </row>
    <row r="33" spans="1:14">
      <c r="A33" s="2782" t="s">
        <v>2536</v>
      </c>
      <c r="B33" s="2783"/>
      <c r="C33" s="2783"/>
      <c r="D33" s="2783"/>
      <c r="E33" s="2783"/>
      <c r="F33" s="2783"/>
      <c r="G33" s="2784"/>
      <c r="I33" s="2800" t="s">
        <v>2564</v>
      </c>
      <c r="J33" s="2800" t="s">
        <v>2574</v>
      </c>
    </row>
    <row r="34" spans="1:14">
      <c r="A34" s="2782" t="s">
        <v>2537</v>
      </c>
      <c r="B34" s="2783"/>
      <c r="C34" s="2783"/>
      <c r="D34" s="2783"/>
      <c r="E34" s="2783"/>
      <c r="F34" s="2783"/>
      <c r="G34" s="2784"/>
      <c r="I34" s="2800">
        <v>5</v>
      </c>
      <c r="J34" s="2800">
        <v>55.1</v>
      </c>
    </row>
    <row r="35" spans="1:14">
      <c r="A35" s="2782" t="s">
        <v>2538</v>
      </c>
      <c r="B35" s="2783"/>
      <c r="C35" s="2783"/>
      <c r="D35" s="2783"/>
      <c r="E35" s="2783"/>
      <c r="F35" s="2783"/>
      <c r="G35" s="2784"/>
      <c r="I35" s="2800">
        <v>10</v>
      </c>
      <c r="J35" s="2800">
        <v>67</v>
      </c>
      <c r="K35" s="2800">
        <f>J35-J34</f>
        <v>11.899999999999999</v>
      </c>
    </row>
    <row r="36" spans="1:14">
      <c r="A36" s="2782" t="s">
        <v>2539</v>
      </c>
      <c r="B36" s="2783"/>
      <c r="C36" s="2783"/>
      <c r="D36" s="2783"/>
      <c r="E36" s="2783"/>
      <c r="F36" s="2783"/>
      <c r="G36" s="2784"/>
      <c r="I36" s="2800">
        <v>15</v>
      </c>
      <c r="J36" s="2800">
        <v>76.3</v>
      </c>
      <c r="K36" s="2800">
        <f t="shared" ref="K36:K41" si="3">J36-J35</f>
        <v>9.2999999999999972</v>
      </c>
      <c r="L36" s="2800" t="s">
        <v>2567</v>
      </c>
      <c r="N36" s="3153" t="s">
        <v>2568</v>
      </c>
    </row>
    <row r="37" spans="1:14">
      <c r="A37" s="2782" t="s">
        <v>2540</v>
      </c>
      <c r="B37" s="2783"/>
      <c r="C37" s="2783"/>
      <c r="D37" s="2783"/>
      <c r="E37" s="2783"/>
      <c r="F37" s="2783"/>
      <c r="G37" s="2784"/>
      <c r="I37" s="2800">
        <v>20</v>
      </c>
      <c r="J37" s="2800">
        <v>83.6</v>
      </c>
      <c r="K37" s="2800">
        <f t="shared" si="3"/>
        <v>7.2999999999999972</v>
      </c>
      <c r="L37" s="2800" t="s">
        <v>2566</v>
      </c>
      <c r="N37" s="3153">
        <v>10</v>
      </c>
    </row>
    <row r="38" spans="1:14">
      <c r="A38" s="2782" t="s">
        <v>2541</v>
      </c>
      <c r="B38" s="2783"/>
      <c r="C38" s="2783"/>
      <c r="D38" s="2783"/>
      <c r="E38" s="2783"/>
      <c r="F38" s="2783"/>
      <c r="G38" s="2784"/>
      <c r="I38" s="2800">
        <v>25</v>
      </c>
      <c r="J38" s="2800">
        <v>89.3</v>
      </c>
      <c r="K38" s="2800">
        <f t="shared" si="3"/>
        <v>5.7000000000000028</v>
      </c>
      <c r="L38" s="2800" t="s">
        <v>2570</v>
      </c>
      <c r="N38" s="3153">
        <v>8</v>
      </c>
    </row>
    <row r="39" spans="1:14">
      <c r="A39" s="2782"/>
      <c r="B39" s="2783"/>
      <c r="C39" s="2783"/>
      <c r="D39" s="2783"/>
      <c r="E39" s="2783"/>
      <c r="F39" s="2783"/>
      <c r="G39" s="2784"/>
      <c r="I39" s="2800">
        <v>30</v>
      </c>
      <c r="J39" s="2800">
        <v>93.8</v>
      </c>
      <c r="K39" s="2800">
        <f t="shared" si="3"/>
        <v>4.5</v>
      </c>
      <c r="L39" s="2800" t="s">
        <v>2571</v>
      </c>
      <c r="N39" s="3153">
        <v>6</v>
      </c>
    </row>
    <row r="40" spans="1:14">
      <c r="A40" s="2785" t="s">
        <v>2542</v>
      </c>
      <c r="B40" s="2786"/>
      <c r="C40" s="2786"/>
      <c r="D40" s="2786"/>
      <c r="E40" s="2786"/>
      <c r="F40" s="2786"/>
      <c r="G40" s="2787"/>
      <c r="I40" s="2800">
        <v>35</v>
      </c>
      <c r="J40" s="2800">
        <v>97.2</v>
      </c>
      <c r="K40" s="2800">
        <f t="shared" si="3"/>
        <v>3.4000000000000057</v>
      </c>
      <c r="L40" s="2800" t="s">
        <v>2572</v>
      </c>
      <c r="N40" s="3153">
        <v>3</v>
      </c>
    </row>
    <row r="41" spans="1:14">
      <c r="A41" s="2788" t="s">
        <v>2543</v>
      </c>
      <c r="B41" s="2789" t="s">
        <v>2544</v>
      </c>
      <c r="C41" s="2790" t="s">
        <v>2545</v>
      </c>
      <c r="D41" s="2790" t="s">
        <v>2546</v>
      </c>
      <c r="E41" s="2791"/>
      <c r="F41" s="2792"/>
      <c r="G41" s="2793"/>
      <c r="I41" s="2800">
        <v>40</v>
      </c>
      <c r="J41" s="2800">
        <v>100</v>
      </c>
      <c r="K41" s="2800">
        <f t="shared" si="3"/>
        <v>2.7999999999999972</v>
      </c>
    </row>
    <row r="42" spans="1:14">
      <c r="A42" s="2788" t="s">
        <v>2547</v>
      </c>
      <c r="B42" s="2789" t="s">
        <v>2548</v>
      </c>
      <c r="C42" s="2790" t="s">
        <v>2549</v>
      </c>
      <c r="D42" s="2794" t="s">
        <v>2550</v>
      </c>
      <c r="E42" s="2786" t="s">
        <v>2551</v>
      </c>
      <c r="F42" s="2786"/>
      <c r="G42" s="2787"/>
    </row>
    <row r="43" spans="1:14">
      <c r="A43" s="2788" t="s">
        <v>2552</v>
      </c>
      <c r="B43" s="2789" t="s">
        <v>2553</v>
      </c>
      <c r="C43" s="2790" t="s">
        <v>2554</v>
      </c>
      <c r="D43" s="2790" t="s">
        <v>2555</v>
      </c>
      <c r="E43" s="2791" t="s">
        <v>2556</v>
      </c>
      <c r="F43" s="2792"/>
      <c r="G43" s="2793"/>
      <c r="I43" s="2800" t="s">
        <v>2564</v>
      </c>
      <c r="J43" s="2800" t="s">
        <v>2575</v>
      </c>
    </row>
    <row r="44" spans="1:14">
      <c r="A44" s="2788" t="s">
        <v>2557</v>
      </c>
      <c r="B44" s="2789" t="s">
        <v>2558</v>
      </c>
      <c r="C44" s="2790" t="s">
        <v>2559</v>
      </c>
      <c r="D44" s="2794">
        <v>0.5</v>
      </c>
      <c r="E44" s="2791" t="s">
        <v>2560</v>
      </c>
      <c r="F44" s="2792"/>
      <c r="G44" s="2793"/>
      <c r="I44" s="2800">
        <v>30</v>
      </c>
      <c r="J44" s="2800">
        <v>81.7</v>
      </c>
    </row>
    <row r="45" spans="1:14" ht="14.25" thickBot="1">
      <c r="A45" s="2795" t="s">
        <v>2561</v>
      </c>
      <c r="B45" s="2796" t="s">
        <v>2548</v>
      </c>
      <c r="C45" s="2797" t="s">
        <v>2548</v>
      </c>
      <c r="D45" s="2797" t="s">
        <v>2562</v>
      </c>
      <c r="E45" s="2798" t="s">
        <v>2563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3386</v>
      </c>
    </row>
    <row r="50" spans="1:4">
      <c r="A50" s="3145" t="s">
        <v>3387</v>
      </c>
      <c r="B50" s="3145" t="s">
        <v>3388</v>
      </c>
      <c r="C50" s="3145" t="s">
        <v>3389</v>
      </c>
      <c r="D50" s="3145" t="s">
        <v>3390</v>
      </c>
    </row>
    <row r="51" spans="1:4">
      <c r="A51" s="3145" t="s">
        <v>3391</v>
      </c>
      <c r="B51" s="2765">
        <f>B52+B53</f>
        <v>15000</v>
      </c>
      <c r="C51" s="3146">
        <f>D51/B51</f>
        <v>2666.6666666666665</v>
      </c>
      <c r="D51" s="2765">
        <f>D52+D53</f>
        <v>40000000</v>
      </c>
    </row>
    <row r="52" spans="1:4">
      <c r="A52" s="3147" t="s">
        <v>3392</v>
      </c>
      <c r="B52" s="3148">
        <v>10000</v>
      </c>
      <c r="C52" s="3148">
        <v>1500</v>
      </c>
      <c r="D52" s="3149">
        <f>C52*B52</f>
        <v>15000000</v>
      </c>
    </row>
    <row r="53" spans="1:4">
      <c r="A53" s="3147" t="s">
        <v>3393</v>
      </c>
      <c r="B53" s="3148">
        <v>5000</v>
      </c>
      <c r="C53" s="3148">
        <v>5000</v>
      </c>
      <c r="D53" s="3149">
        <f>C53*B53</f>
        <v>25000000</v>
      </c>
    </row>
    <row r="54" spans="1:4">
      <c r="A54" s="3145" t="s">
        <v>3394</v>
      </c>
      <c r="B54" s="2765">
        <f>B51</f>
        <v>15000</v>
      </c>
      <c r="C54" s="2771">
        <v>700</v>
      </c>
      <c r="D54" s="2765">
        <f t="shared" ref="D54:D55" si="5">C54*B54</f>
        <v>10500000</v>
      </c>
    </row>
    <row r="55" spans="1:4">
      <c r="A55" s="3145" t="s">
        <v>3395</v>
      </c>
      <c r="B55" s="2765">
        <f>B51</f>
        <v>15000</v>
      </c>
      <c r="C55" s="2771">
        <v>1500</v>
      </c>
      <c r="D55" s="2765">
        <f t="shared" si="5"/>
        <v>22500000</v>
      </c>
    </row>
    <row r="56" spans="1:4">
      <c r="A56" s="3145" t="s">
        <v>3396</v>
      </c>
      <c r="B56" s="2765">
        <f>B51</f>
        <v>15000</v>
      </c>
      <c r="C56" s="3150">
        <f>C51+C54+C55</f>
        <v>4866.6666666666661</v>
      </c>
      <c r="D56" s="2765">
        <f>D51+D54+D55</f>
        <v>73000000</v>
      </c>
    </row>
    <row r="58" spans="1:4">
      <c r="A58" s="3145" t="s">
        <v>3397</v>
      </c>
      <c r="B58" s="3151">
        <v>0.05</v>
      </c>
      <c r="C58" s="2765">
        <f>C56*(1+B58)</f>
        <v>5110</v>
      </c>
      <c r="D58" s="2765">
        <f>D56*B58</f>
        <v>3650000</v>
      </c>
    </row>
    <row r="60" spans="1:4">
      <c r="A60" s="3145" t="s">
        <v>3398</v>
      </c>
      <c r="B60" s="2771">
        <v>3500</v>
      </c>
      <c r="C60" s="2771">
        <f>C53</f>
        <v>5000</v>
      </c>
      <c r="D60" s="2765">
        <f>C60*B60</f>
        <v>17500000</v>
      </c>
    </row>
    <row r="62" spans="1:4">
      <c r="A62" s="3145" t="s">
        <v>3399</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13" sqref="D13"/>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41" t="str">
        <f>IF(B10="北京市","北京市",C10)&amp;F10&amp;IF(结果表!G1="在建","出让国有建设用地使用权及在建建筑物",IF(结果表!G1="土地","出让国有建设用地使用权",))&amp;B9&amp;"预评估"</f>
        <v>北京市房地产抵押价值预评估</v>
      </c>
      <c r="C1" s="3242"/>
      <c r="D1" s="3242"/>
      <c r="E1" s="3242"/>
      <c r="F1" s="3242"/>
      <c r="G1" s="3242"/>
      <c r="H1" s="3242"/>
      <c r="I1" s="3243"/>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c r="C3" s="2186" t="s">
        <v>2171</v>
      </c>
      <c r="D3" s="2185">
        <v>45748</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t="s">
        <v>3411</v>
      </c>
      <c r="C4" s="2188">
        <f ca="1">SUMIF(注册房地产估价师,B4,估价师及机构信息!B3:B24)</f>
        <v>1419970001</v>
      </c>
      <c r="D4" s="2187" t="s">
        <v>3412</v>
      </c>
      <c r="E4" s="2188">
        <f ca="1">SUMIF(注册房地产估价师,D4,估价师及机构信息!B3:B24)</f>
        <v>1120070131</v>
      </c>
      <c r="F4" s="2187"/>
      <c r="G4" s="2188">
        <f>SUMIF(注册房地产估价师,F4,估价师及机构信息!B3:B24)</f>
        <v>0</v>
      </c>
      <c r="H4" s="2187"/>
      <c r="I4" s="2188">
        <f>SUMIF(注册房地产估价师,H4,估价师及机构信息!B3:B24)</f>
        <v>0</v>
      </c>
      <c r="J4" s="2245"/>
      <c r="K4" s="2189" t="str">
        <f ca="1">CONCATENATE(B4,"（注册号：",C4,")、",D4,"（注册号：",E4,")")</f>
        <v>吴薇（注册号：1419970001)、郑燚（注册号：1120070131)</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3413</v>
      </c>
      <c r="C8" s="2201"/>
      <c r="D8" s="3244" t="s">
        <v>2177</v>
      </c>
      <c r="E8" s="2202" t="s">
        <v>3414</v>
      </c>
      <c r="F8" s="2203"/>
      <c r="G8" s="2442"/>
      <c r="H8" s="2442"/>
      <c r="I8" s="2442"/>
      <c r="J8" s="2245"/>
      <c r="K8" s="2400"/>
      <c r="L8" s="2399"/>
      <c r="M8" s="2399"/>
      <c r="N8" s="2245"/>
      <c r="O8" s="1670"/>
      <c r="P8" s="2245"/>
      <c r="Q8" s="2245"/>
      <c r="R8" s="2245"/>
    </row>
    <row r="9" spans="1:30" ht="13.5" thickBot="1">
      <c r="A9" s="2204" t="s">
        <v>2178</v>
      </c>
      <c r="B9" s="2205" t="s">
        <v>3414</v>
      </c>
      <c r="C9" s="2206"/>
      <c r="D9" s="3245"/>
      <c r="E9" s="2205"/>
      <c r="F9" s="2207"/>
      <c r="G9" s="2443"/>
      <c r="H9" s="2443"/>
      <c r="I9" s="2443"/>
      <c r="J9" s="2245"/>
      <c r="K9" s="2402"/>
      <c r="L9" s="2399"/>
      <c r="M9" s="2399"/>
      <c r="N9" s="2245"/>
      <c r="O9" s="1670"/>
      <c r="P9" s="2245"/>
      <c r="Q9" s="2245"/>
      <c r="R9" s="2245"/>
    </row>
    <row r="10" spans="1:30" ht="13.5" thickTop="1">
      <c r="A10" s="2208" t="s">
        <v>2179</v>
      </c>
      <c r="B10" s="2209" t="s">
        <v>3415</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3416</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2576</v>
      </c>
      <c r="J12" s="2803"/>
      <c r="K12" s="2399"/>
      <c r="L12" s="2399"/>
      <c r="M12" s="2245"/>
      <c r="N12" s="1670"/>
      <c r="O12" s="2245"/>
      <c r="P12" s="2245"/>
      <c r="Q12" s="2245"/>
      <c r="AD12" s="1618"/>
    </row>
    <row r="13" spans="1:30">
      <c r="A13" s="3122" t="s">
        <v>3332</v>
      </c>
      <c r="B13" s="2218" t="s">
        <v>2190</v>
      </c>
      <c r="C13" s="803"/>
      <c r="D13" s="803">
        <v>52823</v>
      </c>
      <c r="E13" s="803"/>
      <c r="F13" s="803">
        <v>56475</v>
      </c>
      <c r="G13" s="803"/>
      <c r="H13" s="803"/>
      <c r="I13" s="803"/>
      <c r="J13" s="2803"/>
      <c r="K13" s="2399"/>
      <c r="L13" s="2399"/>
      <c r="M13" s="2245"/>
      <c r="N13" s="1670"/>
      <c r="O13" s="2245"/>
      <c r="P13" s="2245"/>
      <c r="Q13" s="2245"/>
      <c r="AD13" s="1618"/>
    </row>
    <row r="14" spans="1:30">
      <c r="A14" s="1018"/>
      <c r="B14" s="2218" t="s">
        <v>2191</v>
      </c>
      <c r="C14" s="2219"/>
      <c r="D14" s="2219">
        <v>40</v>
      </c>
      <c r="E14" s="2219"/>
      <c r="F14" s="2219">
        <v>50</v>
      </c>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f>IF(A13="出让",IF(D13="","",ROUNDDOWN(MIN((D13-$D$3)/365,D14),2)),D14)</f>
        <v>19.38</v>
      </c>
      <c r="E15" s="2221" t="str">
        <f>IF(A13="出让",IF(E13="","",ROUNDDOWN(MIN((E13-$D$3)/365,E14),2)),E14)</f>
        <v/>
      </c>
      <c r="F15" s="2221">
        <f>IF(A13="出让",IF(F13="","",ROUNDDOWN(MIN((F13-$D$3)/365,F14),2)),F14)</f>
        <v>29.38</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51"/>
      <c r="C16" s="3252"/>
      <c r="D16" s="3253"/>
      <c r="E16" s="2222" t="s">
        <v>2194</v>
      </c>
      <c r="F16" s="3254"/>
      <c r="G16" s="3255"/>
      <c r="H16" s="3255"/>
      <c r="I16" s="3256"/>
      <c r="J16" s="2245"/>
      <c r="K16" s="2403"/>
      <c r="L16" s="1670"/>
      <c r="M16" s="1670"/>
      <c r="N16" s="2245"/>
      <c r="O16" s="1670"/>
      <c r="P16" s="2245"/>
      <c r="Q16" s="2245"/>
      <c r="R16" s="2245"/>
    </row>
    <row r="17" spans="1:28">
      <c r="A17" s="305" t="s">
        <v>2195</v>
      </c>
      <c r="B17" s="294" t="s">
        <v>2196</v>
      </c>
      <c r="C17" s="8">
        <f>'数据-汇总表'!E3</f>
        <v>27067.119999999988</v>
      </c>
      <c r="D17" s="1256" t="s">
        <v>2197</v>
      </c>
      <c r="E17" s="3257" t="s">
        <v>2198</v>
      </c>
      <c r="F17" s="3258"/>
      <c r="G17" s="3258"/>
      <c r="H17" s="3258"/>
      <c r="I17" s="3259"/>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60" t="s">
        <v>2202</v>
      </c>
      <c r="F18" s="3261"/>
      <c r="G18" s="3261"/>
      <c r="H18" s="3261"/>
      <c r="I18" s="3262"/>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47" t="s">
        <v>2206</v>
      </c>
      <c r="C20" s="3248"/>
      <c r="D20" s="3249" t="s">
        <v>2207</v>
      </c>
      <c r="E20" s="3250"/>
      <c r="F20" s="2430" t="s">
        <v>1056</v>
      </c>
      <c r="G20" s="2442"/>
      <c r="H20" s="2442"/>
      <c r="I20" s="2442"/>
      <c r="J20" s="2245"/>
      <c r="K20" s="3246"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4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4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64"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64"/>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64"/>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65"/>
      <c r="B30" s="294" t="s">
        <v>2218</v>
      </c>
      <c r="C30" s="3266"/>
      <c r="D30" s="3267"/>
      <c r="E30" s="2442"/>
      <c r="F30" s="2442"/>
      <c r="G30" s="2442"/>
      <c r="H30" s="2442"/>
      <c r="I30" s="2442"/>
      <c r="J30" s="2245"/>
      <c r="K30" s="2402"/>
      <c r="L30" s="2399"/>
      <c r="M30" s="2399"/>
      <c r="N30" s="2245"/>
      <c r="O30" s="1670"/>
      <c r="P30" s="2245"/>
      <c r="Q30" s="2245"/>
      <c r="R30" s="2245"/>
      <c r="S30" s="2245"/>
      <c r="T30" s="2245"/>
      <c r="U30" s="2245"/>
      <c r="V30" s="2245"/>
    </row>
    <row r="31" spans="1:28">
      <c r="A31" s="3268"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69"/>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69"/>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63" t="s">
        <v>2228</v>
      </c>
      <c r="T34" s="315" t="str">
        <f>NUMBERSTRING(7-K34,1)&amp;"通"</f>
        <v>七通</v>
      </c>
      <c r="U34" s="2245"/>
      <c r="V34" s="2245"/>
    </row>
    <row r="35" spans="1:30">
      <c r="A35" s="2236"/>
      <c r="B35" s="3263" t="s">
        <v>2229</v>
      </c>
      <c r="C35" s="3263"/>
      <c r="D35" s="3263"/>
      <c r="E35" s="3263"/>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63"/>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t="s">
        <v>296</v>
      </c>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t="s">
        <v>202</v>
      </c>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27067.119999999988</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27067.119999999988</v>
      </c>
      <c r="H5" s="13">
        <f t="shared" ref="H5:AT5" si="0">SUM(H13:H656)</f>
        <v>27067.119999999988</v>
      </c>
      <c r="I5" s="13">
        <f t="shared" si="0"/>
        <v>12768.250000000011</v>
      </c>
      <c r="J5" s="13">
        <f t="shared" si="0"/>
        <v>0</v>
      </c>
      <c r="K5" s="13">
        <f t="shared" si="0"/>
        <v>14298.869999999975</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27067.119999999988</v>
      </c>
      <c r="BA5" s="15">
        <f t="shared" si="1"/>
        <v>27067.119999999988</v>
      </c>
      <c r="BB5" s="15">
        <f t="shared" si="1"/>
        <v>12768.250000000011</v>
      </c>
      <c r="BC5" s="15">
        <f t="shared" si="1"/>
        <v>14298.869999999975</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3655</v>
      </c>
      <c r="J9" s="761"/>
      <c r="K9" s="1491" t="s">
        <v>3656</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t="s">
        <v>3333</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t="str">
        <f>K10</f>
        <v>车库</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3439</v>
      </c>
      <c r="E13" s="13">
        <f>IF($C$3="是",ROUND($A$3*G13/$B$3,2),ROUND($A$3*(G13-AT13)/$B$3,2))</f>
        <v>0</v>
      </c>
      <c r="F13" s="29"/>
      <c r="G13" s="30">
        <f>H13+AC13+AT13</f>
        <v>27067.119999999988</v>
      </c>
      <c r="H13" s="17">
        <f>SUMIF(I$12:AB$12,"总值",I13:AB13)</f>
        <v>27067.119999999988</v>
      </c>
      <c r="I13" s="1514">
        <f>抵押物清单!H75+抵押物清单!H76</f>
        <v>12768.250000000011</v>
      </c>
      <c r="J13" s="1514"/>
      <c r="K13" s="1514">
        <f>抵押物清单!C651</f>
        <v>14298.869999999975</v>
      </c>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27067.119999999988</v>
      </c>
      <c r="BA13" s="13">
        <f>SUM(BB13:BK13)</f>
        <v>27067.119999999988</v>
      </c>
      <c r="BB13" s="13">
        <f>IF($D13="是",I13-J13,0)</f>
        <v>12768.250000000011</v>
      </c>
      <c r="BC13" s="13">
        <f>IF($D13="是",K13-L13,0)</f>
        <v>14298.869999999975</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50" sqref="H5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79" t="s">
        <v>1131</v>
      </c>
      <c r="B2" s="3279"/>
      <c r="C2" s="3279"/>
      <c r="D2" s="748" t="s">
        <v>1107</v>
      </c>
      <c r="E2" s="1523" t="s">
        <v>1108</v>
      </c>
      <c r="F2" s="2439"/>
      <c r="G2" s="2432"/>
      <c r="H2" s="2433"/>
      <c r="I2" s="2146" t="s">
        <v>1132</v>
      </c>
      <c r="J2" s="2439"/>
      <c r="K2" s="2439"/>
      <c r="L2" s="2439"/>
      <c r="M2" s="2439"/>
      <c r="N2" s="2440"/>
      <c r="O2" s="2439"/>
      <c r="P2" s="2439"/>
    </row>
    <row r="3" spans="1:16" ht="15.75" thickBot="1">
      <c r="A3" s="3280" t="s">
        <v>1105</v>
      </c>
      <c r="B3" s="3280"/>
      <c r="C3" s="3280"/>
      <c r="D3" s="41">
        <f>'数据-基础表'!AY6</f>
        <v>0</v>
      </c>
      <c r="E3" s="41">
        <f>'数据-基础表'!AZ5</f>
        <v>27067.119999999988</v>
      </c>
      <c r="F3" s="2439"/>
      <c r="G3" s="42"/>
      <c r="H3" s="43" t="s">
        <v>1106</v>
      </c>
      <c r="I3" s="802" t="e">
        <f>ROUND('数据-基础表'!B3/'数据-基础表'!A3,2)</f>
        <v>#DIV/0!</v>
      </c>
      <c r="J3" s="2439"/>
      <c r="K3" s="2439"/>
      <c r="L3" s="2439"/>
      <c r="M3" s="2439"/>
      <c r="N3" s="2440"/>
      <c r="O3" s="2439"/>
      <c r="P3" s="2439"/>
    </row>
    <row r="4" spans="1:16" ht="15">
      <c r="A4" s="3281"/>
      <c r="B4" s="3282"/>
      <c r="C4" s="3283"/>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84" t="s">
        <v>1110</v>
      </c>
      <c r="C5" s="3284"/>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84" t="s">
        <v>1111</v>
      </c>
      <c r="C6" s="3284"/>
      <c r="D6" s="43">
        <f>ROUND($D$3*E6/$E$3,2)</f>
        <v>0</v>
      </c>
      <c r="E6" s="44">
        <f>E3-E5</f>
        <v>27067.119999999988</v>
      </c>
      <c r="F6" s="2439"/>
      <c r="G6" s="1529" t="s">
        <v>1112</v>
      </c>
      <c r="H6" s="45" t="s">
        <v>1113</v>
      </c>
      <c r="I6" s="2435" t="e">
        <f>ROUND(F31/D31,2)</f>
        <v>#DIV/0!</v>
      </c>
      <c r="J6" s="2439"/>
      <c r="K6" s="2439"/>
      <c r="L6" s="2439"/>
      <c r="M6" s="2439"/>
      <c r="N6" s="2439"/>
      <c r="O6" s="2439"/>
      <c r="P6" s="2439"/>
    </row>
    <row r="7" spans="1:16" ht="15.75" thickBot="1">
      <c r="A7" s="3276"/>
      <c r="B7" s="3277"/>
      <c r="C7" s="3278"/>
      <c r="D7" s="1524" t="s">
        <v>1107</v>
      </c>
      <c r="E7" s="1528" t="s">
        <v>1114</v>
      </c>
      <c r="F7" s="2439"/>
      <c r="G7" s="2436" t="s">
        <v>1115</v>
      </c>
      <c r="H7" s="95"/>
      <c r="I7" s="2437">
        <v>2.5</v>
      </c>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12768.250000000011</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14298.869999999975</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27067.119999999988</v>
      </c>
      <c r="F16" s="2439"/>
      <c r="G16" s="2439"/>
      <c r="H16" s="1531" t="s">
        <v>1135</v>
      </c>
      <c r="I16" s="1532"/>
      <c r="J16" s="1071"/>
      <c r="K16" s="3273" t="s">
        <v>1135</v>
      </c>
      <c r="L16" s="3274"/>
      <c r="M16" s="3274"/>
      <c r="N16" s="3274"/>
      <c r="O16" s="3274"/>
      <c r="P16" s="3275"/>
    </row>
    <row r="17" spans="1:19" ht="15">
      <c r="A17" s="1533" t="s">
        <v>1136</v>
      </c>
      <c r="B17" s="1534" t="s">
        <v>1137</v>
      </c>
      <c r="C17" s="1535" t="s">
        <v>1138</v>
      </c>
      <c r="D17" s="1536" t="s">
        <v>1126</v>
      </c>
      <c r="E17" s="1537" t="s">
        <v>1127</v>
      </c>
      <c r="F17" s="1538"/>
      <c r="G17" s="1539"/>
      <c r="H17" s="1540" t="s">
        <v>1139</v>
      </c>
      <c r="I17" s="1541" t="s">
        <v>1124</v>
      </c>
      <c r="J17" s="1071"/>
      <c r="K17" s="3270" t="s">
        <v>1140</v>
      </c>
      <c r="L17" s="3271"/>
      <c r="M17" s="3272"/>
      <c r="N17" s="3270" t="s">
        <v>1141</v>
      </c>
      <c r="O17" s="3271"/>
      <c r="P17" s="3272"/>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3658</v>
      </c>
      <c r="D19" s="43">
        <f>ROUND($D$3*E19/$E$3,2)</f>
        <v>0</v>
      </c>
      <c r="E19" s="51">
        <f t="shared" ref="E19:E26" si="1">SUM(F19:G19)</f>
        <v>12768.250000000011</v>
      </c>
      <c r="F19" s="2558">
        <f>'数据-基础表'!I13</f>
        <v>12768.250000000011</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12768.250000000011</v>
      </c>
    </row>
    <row r="20" spans="1:19">
      <c r="A20" s="1549"/>
      <c r="B20" s="45" t="s">
        <v>1153</v>
      </c>
      <c r="C20" s="3116" t="s">
        <v>3659</v>
      </c>
      <c r="D20" s="43">
        <f t="shared" ref="D20:D26" si="6">ROUND($D$3*E20/$E$3,2)</f>
        <v>0</v>
      </c>
      <c r="E20" s="51">
        <f t="shared" si="1"/>
        <v>14298.869999999975</v>
      </c>
      <c r="F20" s="2558"/>
      <c r="G20" s="1243">
        <f>'数据-基础表'!K13</f>
        <v>14298.869999999975</v>
      </c>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14298.869999999975</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27067.119999999988</v>
      </c>
      <c r="F27" s="1072">
        <f>IF(SUM(F19:F26)=E8,SUM(F19:F26),"地上面积有误")</f>
        <v>12768.250000000011</v>
      </c>
      <c r="G27" s="1074">
        <f>SUM(G19:G26)</f>
        <v>14298.869999999975</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27067.119999999988</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27067.119999999988</v>
      </c>
      <c r="F31" s="644">
        <f>F27+F30</f>
        <v>12768.250000000011</v>
      </c>
      <c r="G31" s="645">
        <f>G27+G30</f>
        <v>14298.869999999975</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N17" sqref="N17"/>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8.62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45748</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3660</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超市</v>
      </c>
      <c r="B6" s="1587" t="str">
        <f>IF(A6=0,"","经营性")</f>
        <v>经营性</v>
      </c>
      <c r="C6" s="1588" t="s">
        <v>673</v>
      </c>
      <c r="D6" s="805">
        <f>SUMIF(项目基本情况!C$12:I$12,C6,项目基本情况!C$14:I$14)</f>
        <v>40</v>
      </c>
      <c r="E6" s="804">
        <f>IF(B6="","",SUMIF(项目基本情况!C$12:I$12,C6,项目基本情况!C$13:I$13))</f>
        <v>52823</v>
      </c>
      <c r="F6" s="61">
        <f>SUMIF(项目基本情况!C$12:I$12,C6,项目基本情况!C$15:I$15)</f>
        <v>19.38</v>
      </c>
      <c r="G6" s="62">
        <f>IF(ISERROR(ROUND(POWER(1+H6,D6-F6)*(POWER(1+H6,F6)-1)/(POWER(1+H6,D6)-1),3)),0,ROUND(POWER(1+H6,D6-F6)*(POWER(1+H6,F6)-1)/(POWER(1+H6,D6)-1),3))</f>
        <v>0.71299999999999997</v>
      </c>
      <c r="H6" s="691">
        <v>0.05</v>
      </c>
      <c r="I6" s="691">
        <v>5.5E-2</v>
      </c>
      <c r="J6" s="63">
        <v>7.0000000000000007E-2</v>
      </c>
      <c r="K6" s="970">
        <f>SUMIF('数据-汇总表'!C$19:C$33,A6,'数据-汇总表'!E$19:E$33)</f>
        <v>12768.250000000011</v>
      </c>
      <c r="L6" s="692">
        <v>4700</v>
      </c>
      <c r="M6" s="64">
        <f t="shared" ref="M6:M14" si="0">ROUND(K6*L6/10000,0)</f>
        <v>6001</v>
      </c>
      <c r="N6" s="690">
        <f>(N19+N20)/2</f>
        <v>0.75</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7">
        <f>U20</f>
        <v>6.5</v>
      </c>
      <c r="V6" s="67">
        <v>0.02</v>
      </c>
      <c r="W6" s="67">
        <v>0.1</v>
      </c>
      <c r="X6" s="979"/>
      <c r="Y6" s="68">
        <f>N6</f>
        <v>0.75</v>
      </c>
      <c r="Z6" s="69"/>
      <c r="AA6" s="63"/>
      <c r="AB6" s="63"/>
      <c r="AC6" s="979"/>
      <c r="AD6" s="70"/>
      <c r="AE6" s="980">
        <f ca="1">IF(AN6="",0,SUMIF(INDIRECT("'"&amp;AN6&amp;"'"&amp;"!E:E"),$AE$5,INDIRECT("'"&amp;AN6&amp;"'"&amp;"!F:F")))</f>
        <v>19.38</v>
      </c>
      <c r="AF6" s="74"/>
      <c r="AG6" s="130">
        <f>IF(AF6="",0,AE6-AF6)</f>
        <v>0</v>
      </c>
      <c r="AH6" s="71"/>
      <c r="AI6" s="73">
        <v>365</v>
      </c>
      <c r="AJ6" s="74"/>
      <c r="AK6" s="75">
        <v>3.0000000000000001E-3</v>
      </c>
      <c r="AL6" s="76">
        <v>1E-3</v>
      </c>
      <c r="AM6" s="77">
        <v>5.0000000000000001E-3</v>
      </c>
      <c r="AN6" s="1589" t="s">
        <v>3666</v>
      </c>
      <c r="AO6" s="50">
        <f ca="1">SUMIF(INDIRECT("'"&amp;AN6&amp;"'"&amp;"!A:A"),"总价",INDIRECT("'"&amp;AN6&amp;"'"&amp;"!B:B"))</f>
        <v>31383</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t="str">
        <f>'数据-汇总表'!C20</f>
        <v>车库</v>
      </c>
      <c r="B7" s="1587" t="str">
        <f t="shared" ref="B7:B13" si="1">IF(A7=0,"","经营性")</f>
        <v>经营性</v>
      </c>
      <c r="C7" s="1588" t="s">
        <v>3333</v>
      </c>
      <c r="D7" s="805">
        <f>SUMIF(项目基本情况!C$12:I$12,C7,项目基本情况!C$14:I$14)</f>
        <v>50</v>
      </c>
      <c r="E7" s="804">
        <f>IF(B7="","",SUMIF(项目基本情况!C$12:I$12,C7,项目基本情况!C$13:I$13))</f>
        <v>56475</v>
      </c>
      <c r="F7" s="61">
        <f>SUMIF(项目基本情况!C$12:I$12,C7,项目基本情况!C$15:I$15)</f>
        <v>29.38</v>
      </c>
      <c r="G7" s="62">
        <f t="shared" ref="G7:G11" si="2">IF(ISERROR(ROUND(POWER(1+H7,D7-F7)*(POWER(1+H7,F7)-1)/(POWER(1+H7,D7)-1),3)),0,ROUND(POWER(1+H7,D7-F7)*(POWER(1+H7,F7)-1)/(POWER(1+H7,D7)-1),3))</f>
        <v>0.81599999999999995</v>
      </c>
      <c r="H7" s="691">
        <v>4.4999999999999998E-2</v>
      </c>
      <c r="I7" s="691">
        <v>0.05</v>
      </c>
      <c r="J7" s="63">
        <v>7.0000000000000007E-2</v>
      </c>
      <c r="K7" s="970">
        <f>SUMIF('数据-汇总表'!C$19:C$33,A7,'数据-汇总表'!E$19:E$33)</f>
        <v>14298.869999999975</v>
      </c>
      <c r="L7" s="692">
        <v>4700</v>
      </c>
      <c r="M7" s="64">
        <f t="shared" si="0"/>
        <v>6720</v>
      </c>
      <c r="N7" s="690">
        <f>N6</f>
        <v>0.75</v>
      </c>
      <c r="O7" s="64" t="str">
        <f t="shared" ref="O7:O14" si="3">IF($N$5="成新度","——",ROUND(M7*N7,0))</f>
        <v>——</v>
      </c>
      <c r="P7" s="65" t="str">
        <f t="shared" ref="P7:P14" si="4">IF($N$5="成新度","——",M7-O7)</f>
        <v>——</v>
      </c>
      <c r="Q7" s="693">
        <v>0.05</v>
      </c>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v>1000</v>
      </c>
      <c r="V7" s="67">
        <v>1.4999999999999999E-2</v>
      </c>
      <c r="W7" s="67">
        <v>0.1</v>
      </c>
      <c r="X7" s="979"/>
      <c r="Y7" s="68">
        <f>N7</f>
        <v>0.75</v>
      </c>
      <c r="Z7" s="69"/>
      <c r="AA7" s="63"/>
      <c r="AB7" s="63"/>
      <c r="AC7" s="979"/>
      <c r="AD7" s="70"/>
      <c r="AE7" s="980">
        <f t="shared" ref="AE7:AE13" ca="1" si="6">IF(AN7="",0,SUMIF(INDIRECT("'"&amp;AN7&amp;"'"&amp;"!E:E"),$AE$5,INDIRECT("'"&amp;AN7&amp;"'"&amp;"!F:F")))</f>
        <v>29.38</v>
      </c>
      <c r="AF7" s="74"/>
      <c r="AG7" s="130">
        <f t="shared" ref="AG7:AG13" si="7">IF(AF7="",0,AE7-AF7)</f>
        <v>0</v>
      </c>
      <c r="AH7" s="71">
        <f>抵押物清单!A650</f>
        <v>434</v>
      </c>
      <c r="AI7" s="73">
        <v>12</v>
      </c>
      <c r="AJ7" s="74"/>
      <c r="AK7" s="75">
        <v>2E-3</v>
      </c>
      <c r="AL7" s="76">
        <v>1E-3</v>
      </c>
      <c r="AM7" s="77">
        <v>3.0000000000000001E-3</v>
      </c>
      <c r="AN7" s="1589" t="s">
        <v>3671</v>
      </c>
      <c r="AO7" s="50">
        <f t="shared" ref="AO7:AO13" ca="1" si="8">SUMIF(INDIRECT("'"&amp;AN7&amp;"'"&amp;"!A:A"),"总价",INDIRECT("'"&amp;AN7&amp;"'"&amp;"!B:B"))</f>
        <v>6985</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0.76700000000000002</v>
      </c>
      <c r="H16" s="84">
        <f>ROUND(SUMPRODUCT(H6:H13,K6:K13)/SUMPRODUCT((H6:H13&gt;0)*(K6:K13)),3)</f>
        <v>4.7E-2</v>
      </c>
      <c r="I16" s="85"/>
      <c r="J16" s="85"/>
      <c r="K16" s="86">
        <f>SUM(K6:K15)</f>
        <v>27067.119999999988</v>
      </c>
      <c r="L16" s="87">
        <f>ROUND(M16*10000/SUM(K6:K14),0)</f>
        <v>4700</v>
      </c>
      <c r="M16" s="87">
        <f>SUM(M6:M14)</f>
        <v>12721</v>
      </c>
      <c r="N16" s="88">
        <f>ROUND(SUMPRODUCT(M6:M14,N6:N14)/M16,3)</f>
        <v>0.75</v>
      </c>
      <c r="O16" s="87">
        <f>SUM(O6:O14)</f>
        <v>0</v>
      </c>
      <c r="P16" s="87">
        <f>SUM(P6:P14)</f>
        <v>0</v>
      </c>
      <c r="Q16" s="89">
        <f>ROUND(SUMPRODUCT(Q6:Q13,K6:K13)/SUMPRODUCT((Q6:Q13&gt;0)*(K6:K13)),2)</f>
        <v>0.1</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3196" t="s">
        <v>3661</v>
      </c>
      <c r="K18" s="2450">
        <f>K19+K20</f>
        <v>101343.15999999999</v>
      </c>
      <c r="L18" s="2450">
        <f>ROUND((K19*L19+K20*L20)/K18,0)</f>
        <v>3090</v>
      </c>
      <c r="M18" s="2449"/>
      <c r="N18" s="2449">
        <v>2007</v>
      </c>
      <c r="O18" s="2449"/>
      <c r="P18" s="2449"/>
      <c r="Q18" s="2449"/>
      <c r="R18" s="2449"/>
      <c r="S18" s="2449"/>
      <c r="T18" s="2449">
        <v>1</v>
      </c>
      <c r="U18" s="2449">
        <v>8</v>
      </c>
      <c r="V18" s="2449">
        <v>1</v>
      </c>
      <c r="W18" s="2449">
        <f>抵押物清单!H75</f>
        <v>4769.6500000000024</v>
      </c>
      <c r="X18" s="2449"/>
      <c r="Y18" s="2449">
        <v>45000</v>
      </c>
      <c r="Z18" s="2449">
        <f>Y18*W18</f>
        <v>214634250.00000012</v>
      </c>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2302</v>
      </c>
      <c r="D19" s="2452"/>
      <c r="E19" s="2439"/>
      <c r="F19" s="2439"/>
      <c r="G19" s="2439"/>
      <c r="H19" s="2439"/>
      <c r="I19" s="2439"/>
      <c r="J19" s="3197" t="s">
        <v>3662</v>
      </c>
      <c r="K19" s="2450">
        <v>71432.399999999994</v>
      </c>
      <c r="L19" s="2450">
        <v>2500</v>
      </c>
      <c r="M19" s="2449"/>
      <c r="N19" s="2449">
        <f>1-(2025-N18)/60</f>
        <v>0.7</v>
      </c>
      <c r="O19" s="2449"/>
      <c r="P19" s="2449"/>
      <c r="Q19" s="2449"/>
      <c r="R19" s="2449"/>
      <c r="S19" s="2449"/>
      <c r="T19" s="2449">
        <v>2</v>
      </c>
      <c r="U19" s="2449">
        <f>U18*V19</f>
        <v>5.6</v>
      </c>
      <c r="V19" s="2449">
        <v>0.7</v>
      </c>
      <c r="W19" s="2449">
        <f>抵押物清单!H76</f>
        <v>7998.6000000000095</v>
      </c>
      <c r="X19" s="2449"/>
      <c r="Y19" s="2449">
        <f>Y18*V19</f>
        <v>31499.999999999996</v>
      </c>
      <c r="Z19" s="2449">
        <f>Y19*W19</f>
        <v>251955900.00000027</v>
      </c>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v>
      </c>
      <c r="C20" s="2562" t="s">
        <v>2300</v>
      </c>
      <c r="D20" s="2452"/>
      <c r="E20" s="2439"/>
      <c r="F20" s="2439"/>
      <c r="G20" s="2439"/>
      <c r="H20" s="2439"/>
      <c r="I20" s="2439"/>
      <c r="J20" s="3197" t="s">
        <v>2638</v>
      </c>
      <c r="K20" s="2450">
        <v>29910.76</v>
      </c>
      <c r="L20" s="2450">
        <v>4500</v>
      </c>
      <c r="M20" s="2449"/>
      <c r="N20" s="2449">
        <v>0.8</v>
      </c>
      <c r="O20" s="2449"/>
      <c r="P20" s="2449"/>
      <c r="Q20" s="2449"/>
      <c r="R20" s="2449"/>
      <c r="S20" s="2449"/>
      <c r="T20" s="2449"/>
      <c r="U20" s="2449">
        <f>ROUND((U18*W18+U19*W19)/(W18+W19),1)</f>
        <v>6.5</v>
      </c>
      <c r="V20" s="2449"/>
      <c r="W20" s="2449">
        <f>W18+W19</f>
        <v>12768.250000000011</v>
      </c>
      <c r="X20" s="2449"/>
      <c r="Y20" s="2449">
        <f>Z20/W20</f>
        <v>36542.999236387128</v>
      </c>
      <c r="Z20" s="2449">
        <f>Z18+Z19</f>
        <v>466590150.00000036</v>
      </c>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2</v>
      </c>
      <c r="C21" s="2439"/>
      <c r="D21" s="2452"/>
      <c r="E21" s="2439"/>
      <c r="F21" s="2439"/>
      <c r="G21" s="2439"/>
      <c r="H21" s="2439"/>
      <c r="I21" s="2439"/>
      <c r="J21" s="3196" t="s">
        <v>3663</v>
      </c>
      <c r="K21" s="2450"/>
      <c r="L21" s="2450">
        <v>600</v>
      </c>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v>
      </c>
      <c r="C22" s="2439"/>
      <c r="D22" s="2452"/>
      <c r="E22" s="2439"/>
      <c r="F22" s="2439"/>
      <c r="G22" s="2439"/>
      <c r="H22" s="2439"/>
      <c r="I22" s="2439"/>
      <c r="J22" s="3196" t="s">
        <v>3664</v>
      </c>
      <c r="K22" s="2450"/>
      <c r="L22" s="2450">
        <v>800</v>
      </c>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v>
      </c>
      <c r="C23" s="2439"/>
      <c r="D23" s="2452"/>
      <c r="E23" s="2439"/>
      <c r="F23" s="2439"/>
      <c r="G23" s="2439"/>
      <c r="H23" s="2439"/>
      <c r="I23" s="2439"/>
      <c r="J23" s="3196" t="s">
        <v>3665</v>
      </c>
      <c r="K23" s="3198">
        <v>0.05</v>
      </c>
      <c r="L23" s="2450">
        <f>ROUND((L18+L21+L22)*K23,0)</f>
        <v>225</v>
      </c>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f>L18+L21+L22+L23</f>
        <v>4715</v>
      </c>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c r="C27" s="2563" t="s">
        <v>2304</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成本法!C10</f>
        <v>541</v>
      </c>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3382</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2295</v>
      </c>
      <c r="D34" s="2460" t="s">
        <v>2301</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3400</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3383</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3384</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2310</v>
      </c>
      <c r="B40" s="1015">
        <f ca="1">IF(A40="利息：取LPR",存贷款利率!G1,存贷款利率!G1+C40)</f>
        <v>3.1E-2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3385</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2297</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2298</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2305</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2297</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2299</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24</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184</v>
      </c>
      <c r="C53" s="2440" t="s">
        <v>1246</v>
      </c>
      <c r="D53" s="2566" t="s">
        <v>2303</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f>C55</f>
        <v>24</v>
      </c>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52"/>
  <sheetViews>
    <sheetView topLeftCell="A103" zoomScale="115" zoomScaleSheetLayoutView="100" workbookViewId="0">
      <selection activeCell="F3" sqref="F3:F13"/>
    </sheetView>
  </sheetViews>
  <sheetFormatPr defaultRowHeight="14.25"/>
  <cols>
    <col min="1" max="1" width="7.5" style="3182" customWidth="1"/>
    <col min="2" max="2" width="10.875" style="3182" customWidth="1"/>
    <col min="3" max="3" width="14.75" style="3182" customWidth="1"/>
    <col min="4" max="4" width="9.75" style="3182" customWidth="1"/>
    <col min="5" max="5" width="10.375" style="3182" customWidth="1"/>
    <col min="6" max="6" width="8.375" style="3182" customWidth="1"/>
    <col min="7" max="255" width="9" style="3182"/>
    <col min="256" max="256" width="6.875" style="3182" customWidth="1"/>
    <col min="257" max="257" width="12.125" style="3182" customWidth="1"/>
    <col min="258" max="258" width="10.875" style="3182" customWidth="1"/>
    <col min="259" max="259" width="14.75" style="3182" customWidth="1"/>
    <col min="260" max="260" width="14.875" style="3182" customWidth="1"/>
    <col min="261" max="261" width="12.5" style="3182" customWidth="1"/>
    <col min="262" max="262" width="14.25" style="3182" customWidth="1"/>
    <col min="263" max="511" width="9" style="3182"/>
    <col min="512" max="512" width="6.875" style="3182" customWidth="1"/>
    <col min="513" max="513" width="12.125" style="3182" customWidth="1"/>
    <col min="514" max="514" width="10.875" style="3182" customWidth="1"/>
    <col min="515" max="515" width="14.75" style="3182" customWidth="1"/>
    <col min="516" max="516" width="14.875" style="3182" customWidth="1"/>
    <col min="517" max="517" width="12.5" style="3182" customWidth="1"/>
    <col min="518" max="518" width="14.25" style="3182" customWidth="1"/>
    <col min="519" max="767" width="9" style="3182"/>
    <col min="768" max="768" width="6.875" style="3182" customWidth="1"/>
    <col min="769" max="769" width="12.125" style="3182" customWidth="1"/>
    <col min="770" max="770" width="10.875" style="3182" customWidth="1"/>
    <col min="771" max="771" width="14.75" style="3182" customWidth="1"/>
    <col min="772" max="772" width="14.875" style="3182" customWidth="1"/>
    <col min="773" max="773" width="12.5" style="3182" customWidth="1"/>
    <col min="774" max="774" width="14.25" style="3182" customWidth="1"/>
    <col min="775" max="1023" width="9" style="3182"/>
    <col min="1024" max="1024" width="6.875" style="3182" customWidth="1"/>
    <col min="1025" max="1025" width="12.125" style="3182" customWidth="1"/>
    <col min="1026" max="1026" width="10.875" style="3182" customWidth="1"/>
    <col min="1027" max="1027" width="14.75" style="3182" customWidth="1"/>
    <col min="1028" max="1028" width="14.875" style="3182" customWidth="1"/>
    <col min="1029" max="1029" width="12.5" style="3182" customWidth="1"/>
    <col min="1030" max="1030" width="14.25" style="3182" customWidth="1"/>
    <col min="1031" max="1279" width="9" style="3182"/>
    <col min="1280" max="1280" width="6.875" style="3182" customWidth="1"/>
    <col min="1281" max="1281" width="12.125" style="3182" customWidth="1"/>
    <col min="1282" max="1282" width="10.875" style="3182" customWidth="1"/>
    <col min="1283" max="1283" width="14.75" style="3182" customWidth="1"/>
    <col min="1284" max="1284" width="14.875" style="3182" customWidth="1"/>
    <col min="1285" max="1285" width="12.5" style="3182" customWidth="1"/>
    <col min="1286" max="1286" width="14.25" style="3182" customWidth="1"/>
    <col min="1287" max="1535" width="9" style="3182"/>
    <col min="1536" max="1536" width="6.875" style="3182" customWidth="1"/>
    <col min="1537" max="1537" width="12.125" style="3182" customWidth="1"/>
    <col min="1538" max="1538" width="10.875" style="3182" customWidth="1"/>
    <col min="1539" max="1539" width="14.75" style="3182" customWidth="1"/>
    <col min="1540" max="1540" width="14.875" style="3182" customWidth="1"/>
    <col min="1541" max="1541" width="12.5" style="3182" customWidth="1"/>
    <col min="1542" max="1542" width="14.25" style="3182" customWidth="1"/>
    <col min="1543" max="1791" width="9" style="3182"/>
    <col min="1792" max="1792" width="6.875" style="3182" customWidth="1"/>
    <col min="1793" max="1793" width="12.125" style="3182" customWidth="1"/>
    <col min="1794" max="1794" width="10.875" style="3182" customWidth="1"/>
    <col min="1795" max="1795" width="14.75" style="3182" customWidth="1"/>
    <col min="1796" max="1796" width="14.875" style="3182" customWidth="1"/>
    <col min="1797" max="1797" width="12.5" style="3182" customWidth="1"/>
    <col min="1798" max="1798" width="14.25" style="3182" customWidth="1"/>
    <col min="1799" max="2047" width="9" style="3182"/>
    <col min="2048" max="2048" width="6.875" style="3182" customWidth="1"/>
    <col min="2049" max="2049" width="12.125" style="3182" customWidth="1"/>
    <col min="2050" max="2050" width="10.875" style="3182" customWidth="1"/>
    <col min="2051" max="2051" width="14.75" style="3182" customWidth="1"/>
    <col min="2052" max="2052" width="14.875" style="3182" customWidth="1"/>
    <col min="2053" max="2053" width="12.5" style="3182" customWidth="1"/>
    <col min="2054" max="2054" width="14.25" style="3182" customWidth="1"/>
    <col min="2055" max="2303" width="9" style="3182"/>
    <col min="2304" max="2304" width="6.875" style="3182" customWidth="1"/>
    <col min="2305" max="2305" width="12.125" style="3182" customWidth="1"/>
    <col min="2306" max="2306" width="10.875" style="3182" customWidth="1"/>
    <col min="2307" max="2307" width="14.75" style="3182" customWidth="1"/>
    <col min="2308" max="2308" width="14.875" style="3182" customWidth="1"/>
    <col min="2309" max="2309" width="12.5" style="3182" customWidth="1"/>
    <col min="2310" max="2310" width="14.25" style="3182" customWidth="1"/>
    <col min="2311" max="2559" width="9" style="3182"/>
    <col min="2560" max="2560" width="6.875" style="3182" customWidth="1"/>
    <col min="2561" max="2561" width="12.125" style="3182" customWidth="1"/>
    <col min="2562" max="2562" width="10.875" style="3182" customWidth="1"/>
    <col min="2563" max="2563" width="14.75" style="3182" customWidth="1"/>
    <col min="2564" max="2564" width="14.875" style="3182" customWidth="1"/>
    <col min="2565" max="2565" width="12.5" style="3182" customWidth="1"/>
    <col min="2566" max="2566" width="14.25" style="3182" customWidth="1"/>
    <col min="2567" max="2815" width="9" style="3182"/>
    <col min="2816" max="2816" width="6.875" style="3182" customWidth="1"/>
    <col min="2817" max="2817" width="12.125" style="3182" customWidth="1"/>
    <col min="2818" max="2818" width="10.875" style="3182" customWidth="1"/>
    <col min="2819" max="2819" width="14.75" style="3182" customWidth="1"/>
    <col min="2820" max="2820" width="14.875" style="3182" customWidth="1"/>
    <col min="2821" max="2821" width="12.5" style="3182" customWidth="1"/>
    <col min="2822" max="2822" width="14.25" style="3182" customWidth="1"/>
    <col min="2823" max="3071" width="9" style="3182"/>
    <col min="3072" max="3072" width="6.875" style="3182" customWidth="1"/>
    <col min="3073" max="3073" width="12.125" style="3182" customWidth="1"/>
    <col min="3074" max="3074" width="10.875" style="3182" customWidth="1"/>
    <col min="3075" max="3075" width="14.75" style="3182" customWidth="1"/>
    <col min="3076" max="3076" width="14.875" style="3182" customWidth="1"/>
    <col min="3077" max="3077" width="12.5" style="3182" customWidth="1"/>
    <col min="3078" max="3078" width="14.25" style="3182" customWidth="1"/>
    <col min="3079" max="3327" width="9" style="3182"/>
    <col min="3328" max="3328" width="6.875" style="3182" customWidth="1"/>
    <col min="3329" max="3329" width="12.125" style="3182" customWidth="1"/>
    <col min="3330" max="3330" width="10.875" style="3182" customWidth="1"/>
    <col min="3331" max="3331" width="14.75" style="3182" customWidth="1"/>
    <col min="3332" max="3332" width="14.875" style="3182" customWidth="1"/>
    <col min="3333" max="3333" width="12.5" style="3182" customWidth="1"/>
    <col min="3334" max="3334" width="14.25" style="3182" customWidth="1"/>
    <col min="3335" max="3583" width="9" style="3182"/>
    <col min="3584" max="3584" width="6.875" style="3182" customWidth="1"/>
    <col min="3585" max="3585" width="12.125" style="3182" customWidth="1"/>
    <col min="3586" max="3586" width="10.875" style="3182" customWidth="1"/>
    <col min="3587" max="3587" width="14.75" style="3182" customWidth="1"/>
    <col min="3588" max="3588" width="14.875" style="3182" customWidth="1"/>
    <col min="3589" max="3589" width="12.5" style="3182" customWidth="1"/>
    <col min="3590" max="3590" width="14.25" style="3182" customWidth="1"/>
    <col min="3591" max="3839" width="9" style="3182"/>
    <col min="3840" max="3840" width="6.875" style="3182" customWidth="1"/>
    <col min="3841" max="3841" width="12.125" style="3182" customWidth="1"/>
    <col min="3842" max="3842" width="10.875" style="3182" customWidth="1"/>
    <col min="3843" max="3843" width="14.75" style="3182" customWidth="1"/>
    <col min="3844" max="3844" width="14.875" style="3182" customWidth="1"/>
    <col min="3845" max="3845" width="12.5" style="3182" customWidth="1"/>
    <col min="3846" max="3846" width="14.25" style="3182" customWidth="1"/>
    <col min="3847" max="4095" width="9" style="3182"/>
    <col min="4096" max="4096" width="6.875" style="3182" customWidth="1"/>
    <col min="4097" max="4097" width="12.125" style="3182" customWidth="1"/>
    <col min="4098" max="4098" width="10.875" style="3182" customWidth="1"/>
    <col min="4099" max="4099" width="14.75" style="3182" customWidth="1"/>
    <col min="4100" max="4100" width="14.875" style="3182" customWidth="1"/>
    <col min="4101" max="4101" width="12.5" style="3182" customWidth="1"/>
    <col min="4102" max="4102" width="14.25" style="3182" customWidth="1"/>
    <col min="4103" max="4351" width="9" style="3182"/>
    <col min="4352" max="4352" width="6.875" style="3182" customWidth="1"/>
    <col min="4353" max="4353" width="12.125" style="3182" customWidth="1"/>
    <col min="4354" max="4354" width="10.875" style="3182" customWidth="1"/>
    <col min="4355" max="4355" width="14.75" style="3182" customWidth="1"/>
    <col min="4356" max="4356" width="14.875" style="3182" customWidth="1"/>
    <col min="4357" max="4357" width="12.5" style="3182" customWidth="1"/>
    <col min="4358" max="4358" width="14.25" style="3182" customWidth="1"/>
    <col min="4359" max="4607" width="9" style="3182"/>
    <col min="4608" max="4608" width="6.875" style="3182" customWidth="1"/>
    <col min="4609" max="4609" width="12.125" style="3182" customWidth="1"/>
    <col min="4610" max="4610" width="10.875" style="3182" customWidth="1"/>
    <col min="4611" max="4611" width="14.75" style="3182" customWidth="1"/>
    <col min="4612" max="4612" width="14.875" style="3182" customWidth="1"/>
    <col min="4613" max="4613" width="12.5" style="3182" customWidth="1"/>
    <col min="4614" max="4614" width="14.25" style="3182" customWidth="1"/>
    <col min="4615" max="4863" width="9" style="3182"/>
    <col min="4864" max="4864" width="6.875" style="3182" customWidth="1"/>
    <col min="4865" max="4865" width="12.125" style="3182" customWidth="1"/>
    <col min="4866" max="4866" width="10.875" style="3182" customWidth="1"/>
    <col min="4867" max="4867" width="14.75" style="3182" customWidth="1"/>
    <col min="4868" max="4868" width="14.875" style="3182" customWidth="1"/>
    <col min="4869" max="4869" width="12.5" style="3182" customWidth="1"/>
    <col min="4870" max="4870" width="14.25" style="3182" customWidth="1"/>
    <col min="4871" max="5119" width="9" style="3182"/>
    <col min="5120" max="5120" width="6.875" style="3182" customWidth="1"/>
    <col min="5121" max="5121" width="12.125" style="3182" customWidth="1"/>
    <col min="5122" max="5122" width="10.875" style="3182" customWidth="1"/>
    <col min="5123" max="5123" width="14.75" style="3182" customWidth="1"/>
    <col min="5124" max="5124" width="14.875" style="3182" customWidth="1"/>
    <col min="5125" max="5125" width="12.5" style="3182" customWidth="1"/>
    <col min="5126" max="5126" width="14.25" style="3182" customWidth="1"/>
    <col min="5127" max="5375" width="9" style="3182"/>
    <col min="5376" max="5376" width="6.875" style="3182" customWidth="1"/>
    <col min="5377" max="5377" width="12.125" style="3182" customWidth="1"/>
    <col min="5378" max="5378" width="10.875" style="3182" customWidth="1"/>
    <col min="5379" max="5379" width="14.75" style="3182" customWidth="1"/>
    <col min="5380" max="5380" width="14.875" style="3182" customWidth="1"/>
    <col min="5381" max="5381" width="12.5" style="3182" customWidth="1"/>
    <col min="5382" max="5382" width="14.25" style="3182" customWidth="1"/>
    <col min="5383" max="5631" width="9" style="3182"/>
    <col min="5632" max="5632" width="6.875" style="3182" customWidth="1"/>
    <col min="5633" max="5633" width="12.125" style="3182" customWidth="1"/>
    <col min="5634" max="5634" width="10.875" style="3182" customWidth="1"/>
    <col min="5635" max="5635" width="14.75" style="3182" customWidth="1"/>
    <col min="5636" max="5636" width="14.875" style="3182" customWidth="1"/>
    <col min="5637" max="5637" width="12.5" style="3182" customWidth="1"/>
    <col min="5638" max="5638" width="14.25" style="3182" customWidth="1"/>
    <col min="5639" max="5887" width="9" style="3182"/>
    <col min="5888" max="5888" width="6.875" style="3182" customWidth="1"/>
    <col min="5889" max="5889" width="12.125" style="3182" customWidth="1"/>
    <col min="5890" max="5890" width="10.875" style="3182" customWidth="1"/>
    <col min="5891" max="5891" width="14.75" style="3182" customWidth="1"/>
    <col min="5892" max="5892" width="14.875" style="3182" customWidth="1"/>
    <col min="5893" max="5893" width="12.5" style="3182" customWidth="1"/>
    <col min="5894" max="5894" width="14.25" style="3182" customWidth="1"/>
    <col min="5895" max="6143" width="9" style="3182"/>
    <col min="6144" max="6144" width="6.875" style="3182" customWidth="1"/>
    <col min="6145" max="6145" width="12.125" style="3182" customWidth="1"/>
    <col min="6146" max="6146" width="10.875" style="3182" customWidth="1"/>
    <col min="6147" max="6147" width="14.75" style="3182" customWidth="1"/>
    <col min="6148" max="6148" width="14.875" style="3182" customWidth="1"/>
    <col min="6149" max="6149" width="12.5" style="3182" customWidth="1"/>
    <col min="6150" max="6150" width="14.25" style="3182" customWidth="1"/>
    <col min="6151" max="6399" width="9" style="3182"/>
    <col min="6400" max="6400" width="6.875" style="3182" customWidth="1"/>
    <col min="6401" max="6401" width="12.125" style="3182" customWidth="1"/>
    <col min="6402" max="6402" width="10.875" style="3182" customWidth="1"/>
    <col min="6403" max="6403" width="14.75" style="3182" customWidth="1"/>
    <col min="6404" max="6404" width="14.875" style="3182" customWidth="1"/>
    <col min="6405" max="6405" width="12.5" style="3182" customWidth="1"/>
    <col min="6406" max="6406" width="14.25" style="3182" customWidth="1"/>
    <col min="6407" max="6655" width="9" style="3182"/>
    <col min="6656" max="6656" width="6.875" style="3182" customWidth="1"/>
    <col min="6657" max="6657" width="12.125" style="3182" customWidth="1"/>
    <col min="6658" max="6658" width="10.875" style="3182" customWidth="1"/>
    <col min="6659" max="6659" width="14.75" style="3182" customWidth="1"/>
    <col min="6660" max="6660" width="14.875" style="3182" customWidth="1"/>
    <col min="6661" max="6661" width="12.5" style="3182" customWidth="1"/>
    <col min="6662" max="6662" width="14.25" style="3182" customWidth="1"/>
    <col min="6663" max="6911" width="9" style="3182"/>
    <col min="6912" max="6912" width="6.875" style="3182" customWidth="1"/>
    <col min="6913" max="6913" width="12.125" style="3182" customWidth="1"/>
    <col min="6914" max="6914" width="10.875" style="3182" customWidth="1"/>
    <col min="6915" max="6915" width="14.75" style="3182" customWidth="1"/>
    <col min="6916" max="6916" width="14.875" style="3182" customWidth="1"/>
    <col min="6917" max="6917" width="12.5" style="3182" customWidth="1"/>
    <col min="6918" max="6918" width="14.25" style="3182" customWidth="1"/>
    <col min="6919" max="7167" width="9" style="3182"/>
    <col min="7168" max="7168" width="6.875" style="3182" customWidth="1"/>
    <col min="7169" max="7169" width="12.125" style="3182" customWidth="1"/>
    <col min="7170" max="7170" width="10.875" style="3182" customWidth="1"/>
    <col min="7171" max="7171" width="14.75" style="3182" customWidth="1"/>
    <col min="7172" max="7172" width="14.875" style="3182" customWidth="1"/>
    <col min="7173" max="7173" width="12.5" style="3182" customWidth="1"/>
    <col min="7174" max="7174" width="14.25" style="3182" customWidth="1"/>
    <col min="7175" max="7423" width="9" style="3182"/>
    <col min="7424" max="7424" width="6.875" style="3182" customWidth="1"/>
    <col min="7425" max="7425" width="12.125" style="3182" customWidth="1"/>
    <col min="7426" max="7426" width="10.875" style="3182" customWidth="1"/>
    <col min="7427" max="7427" width="14.75" style="3182" customWidth="1"/>
    <col min="7428" max="7428" width="14.875" style="3182" customWidth="1"/>
    <col min="7429" max="7429" width="12.5" style="3182" customWidth="1"/>
    <col min="7430" max="7430" width="14.25" style="3182" customWidth="1"/>
    <col min="7431" max="7679" width="9" style="3182"/>
    <col min="7680" max="7680" width="6.875" style="3182" customWidth="1"/>
    <col min="7681" max="7681" width="12.125" style="3182" customWidth="1"/>
    <col min="7682" max="7682" width="10.875" style="3182" customWidth="1"/>
    <col min="7683" max="7683" width="14.75" style="3182" customWidth="1"/>
    <col min="7684" max="7684" width="14.875" style="3182" customWidth="1"/>
    <col min="7685" max="7685" width="12.5" style="3182" customWidth="1"/>
    <col min="7686" max="7686" width="14.25" style="3182" customWidth="1"/>
    <col min="7687" max="7935" width="9" style="3182"/>
    <col min="7936" max="7936" width="6.875" style="3182" customWidth="1"/>
    <col min="7937" max="7937" width="12.125" style="3182" customWidth="1"/>
    <col min="7938" max="7938" width="10.875" style="3182" customWidth="1"/>
    <col min="7939" max="7939" width="14.75" style="3182" customWidth="1"/>
    <col min="7940" max="7940" width="14.875" style="3182" customWidth="1"/>
    <col min="7941" max="7941" width="12.5" style="3182" customWidth="1"/>
    <col min="7942" max="7942" width="14.25" style="3182" customWidth="1"/>
    <col min="7943" max="8191" width="9" style="3182"/>
    <col min="8192" max="8192" width="6.875" style="3182" customWidth="1"/>
    <col min="8193" max="8193" width="12.125" style="3182" customWidth="1"/>
    <col min="8194" max="8194" width="10.875" style="3182" customWidth="1"/>
    <col min="8195" max="8195" width="14.75" style="3182" customWidth="1"/>
    <col min="8196" max="8196" width="14.875" style="3182" customWidth="1"/>
    <col min="8197" max="8197" width="12.5" style="3182" customWidth="1"/>
    <col min="8198" max="8198" width="14.25" style="3182" customWidth="1"/>
    <col min="8199" max="8447" width="9" style="3182"/>
    <col min="8448" max="8448" width="6.875" style="3182" customWidth="1"/>
    <col min="8449" max="8449" width="12.125" style="3182" customWidth="1"/>
    <col min="8450" max="8450" width="10.875" style="3182" customWidth="1"/>
    <col min="8451" max="8451" width="14.75" style="3182" customWidth="1"/>
    <col min="8452" max="8452" width="14.875" style="3182" customWidth="1"/>
    <col min="8453" max="8453" width="12.5" style="3182" customWidth="1"/>
    <col min="8454" max="8454" width="14.25" style="3182" customWidth="1"/>
    <col min="8455" max="8703" width="9" style="3182"/>
    <col min="8704" max="8704" width="6.875" style="3182" customWidth="1"/>
    <col min="8705" max="8705" width="12.125" style="3182" customWidth="1"/>
    <col min="8706" max="8706" width="10.875" style="3182" customWidth="1"/>
    <col min="8707" max="8707" width="14.75" style="3182" customWidth="1"/>
    <col min="8708" max="8708" width="14.875" style="3182" customWidth="1"/>
    <col min="8709" max="8709" width="12.5" style="3182" customWidth="1"/>
    <col min="8710" max="8710" width="14.25" style="3182" customWidth="1"/>
    <col min="8711" max="8959" width="9" style="3182"/>
    <col min="8960" max="8960" width="6.875" style="3182" customWidth="1"/>
    <col min="8961" max="8961" width="12.125" style="3182" customWidth="1"/>
    <col min="8962" max="8962" width="10.875" style="3182" customWidth="1"/>
    <col min="8963" max="8963" width="14.75" style="3182" customWidth="1"/>
    <col min="8964" max="8964" width="14.875" style="3182" customWidth="1"/>
    <col min="8965" max="8965" width="12.5" style="3182" customWidth="1"/>
    <col min="8966" max="8966" width="14.25" style="3182" customWidth="1"/>
    <col min="8967" max="9215" width="9" style="3182"/>
    <col min="9216" max="9216" width="6.875" style="3182" customWidth="1"/>
    <col min="9217" max="9217" width="12.125" style="3182" customWidth="1"/>
    <col min="9218" max="9218" width="10.875" style="3182" customWidth="1"/>
    <col min="9219" max="9219" width="14.75" style="3182" customWidth="1"/>
    <col min="9220" max="9220" width="14.875" style="3182" customWidth="1"/>
    <col min="9221" max="9221" width="12.5" style="3182" customWidth="1"/>
    <col min="9222" max="9222" width="14.25" style="3182" customWidth="1"/>
    <col min="9223" max="9471" width="9" style="3182"/>
    <col min="9472" max="9472" width="6.875" style="3182" customWidth="1"/>
    <col min="9473" max="9473" width="12.125" style="3182" customWidth="1"/>
    <col min="9474" max="9474" width="10.875" style="3182" customWidth="1"/>
    <col min="9475" max="9475" width="14.75" style="3182" customWidth="1"/>
    <col min="9476" max="9476" width="14.875" style="3182" customWidth="1"/>
    <col min="9477" max="9477" width="12.5" style="3182" customWidth="1"/>
    <col min="9478" max="9478" width="14.25" style="3182" customWidth="1"/>
    <col min="9479" max="9727" width="9" style="3182"/>
    <col min="9728" max="9728" width="6.875" style="3182" customWidth="1"/>
    <col min="9729" max="9729" width="12.125" style="3182" customWidth="1"/>
    <col min="9730" max="9730" width="10.875" style="3182" customWidth="1"/>
    <col min="9731" max="9731" width="14.75" style="3182" customWidth="1"/>
    <col min="9732" max="9732" width="14.875" style="3182" customWidth="1"/>
    <col min="9733" max="9733" width="12.5" style="3182" customWidth="1"/>
    <col min="9734" max="9734" width="14.25" style="3182" customWidth="1"/>
    <col min="9735" max="9983" width="9" style="3182"/>
    <col min="9984" max="9984" width="6.875" style="3182" customWidth="1"/>
    <col min="9985" max="9985" width="12.125" style="3182" customWidth="1"/>
    <col min="9986" max="9986" width="10.875" style="3182" customWidth="1"/>
    <col min="9987" max="9987" width="14.75" style="3182" customWidth="1"/>
    <col min="9988" max="9988" width="14.875" style="3182" customWidth="1"/>
    <col min="9989" max="9989" width="12.5" style="3182" customWidth="1"/>
    <col min="9990" max="9990" width="14.25" style="3182" customWidth="1"/>
    <col min="9991" max="10239" width="9" style="3182"/>
    <col min="10240" max="10240" width="6.875" style="3182" customWidth="1"/>
    <col min="10241" max="10241" width="12.125" style="3182" customWidth="1"/>
    <col min="10242" max="10242" width="10.875" style="3182" customWidth="1"/>
    <col min="10243" max="10243" width="14.75" style="3182" customWidth="1"/>
    <col min="10244" max="10244" width="14.875" style="3182" customWidth="1"/>
    <col min="10245" max="10245" width="12.5" style="3182" customWidth="1"/>
    <col min="10246" max="10246" width="14.25" style="3182" customWidth="1"/>
    <col min="10247" max="10495" width="9" style="3182"/>
    <col min="10496" max="10496" width="6.875" style="3182" customWidth="1"/>
    <col min="10497" max="10497" width="12.125" style="3182" customWidth="1"/>
    <col min="10498" max="10498" width="10.875" style="3182" customWidth="1"/>
    <col min="10499" max="10499" width="14.75" style="3182" customWidth="1"/>
    <col min="10500" max="10500" width="14.875" style="3182" customWidth="1"/>
    <col min="10501" max="10501" width="12.5" style="3182" customWidth="1"/>
    <col min="10502" max="10502" width="14.25" style="3182" customWidth="1"/>
    <col min="10503" max="10751" width="9" style="3182"/>
    <col min="10752" max="10752" width="6.875" style="3182" customWidth="1"/>
    <col min="10753" max="10753" width="12.125" style="3182" customWidth="1"/>
    <col min="10754" max="10754" width="10.875" style="3182" customWidth="1"/>
    <col min="10755" max="10755" width="14.75" style="3182" customWidth="1"/>
    <col min="10756" max="10756" width="14.875" style="3182" customWidth="1"/>
    <col min="10757" max="10757" width="12.5" style="3182" customWidth="1"/>
    <col min="10758" max="10758" width="14.25" style="3182" customWidth="1"/>
    <col min="10759" max="11007" width="9" style="3182"/>
    <col min="11008" max="11008" width="6.875" style="3182" customWidth="1"/>
    <col min="11009" max="11009" width="12.125" style="3182" customWidth="1"/>
    <col min="11010" max="11010" width="10.875" style="3182" customWidth="1"/>
    <col min="11011" max="11011" width="14.75" style="3182" customWidth="1"/>
    <col min="11012" max="11012" width="14.875" style="3182" customWidth="1"/>
    <col min="11013" max="11013" width="12.5" style="3182" customWidth="1"/>
    <col min="11014" max="11014" width="14.25" style="3182" customWidth="1"/>
    <col min="11015" max="11263" width="9" style="3182"/>
    <col min="11264" max="11264" width="6.875" style="3182" customWidth="1"/>
    <col min="11265" max="11265" width="12.125" style="3182" customWidth="1"/>
    <col min="11266" max="11266" width="10.875" style="3182" customWidth="1"/>
    <col min="11267" max="11267" width="14.75" style="3182" customWidth="1"/>
    <col min="11268" max="11268" width="14.875" style="3182" customWidth="1"/>
    <col min="11269" max="11269" width="12.5" style="3182" customWidth="1"/>
    <col min="11270" max="11270" width="14.25" style="3182" customWidth="1"/>
    <col min="11271" max="11519" width="9" style="3182"/>
    <col min="11520" max="11520" width="6.875" style="3182" customWidth="1"/>
    <col min="11521" max="11521" width="12.125" style="3182" customWidth="1"/>
    <col min="11522" max="11522" width="10.875" style="3182" customWidth="1"/>
    <col min="11523" max="11523" width="14.75" style="3182" customWidth="1"/>
    <col min="11524" max="11524" width="14.875" style="3182" customWidth="1"/>
    <col min="11525" max="11525" width="12.5" style="3182" customWidth="1"/>
    <col min="11526" max="11526" width="14.25" style="3182" customWidth="1"/>
    <col min="11527" max="11775" width="9" style="3182"/>
    <col min="11776" max="11776" width="6.875" style="3182" customWidth="1"/>
    <col min="11777" max="11777" width="12.125" style="3182" customWidth="1"/>
    <col min="11778" max="11778" width="10.875" style="3182" customWidth="1"/>
    <col min="11779" max="11779" width="14.75" style="3182" customWidth="1"/>
    <col min="11780" max="11780" width="14.875" style="3182" customWidth="1"/>
    <col min="11781" max="11781" width="12.5" style="3182" customWidth="1"/>
    <col min="11782" max="11782" width="14.25" style="3182" customWidth="1"/>
    <col min="11783" max="12031" width="9" style="3182"/>
    <col min="12032" max="12032" width="6.875" style="3182" customWidth="1"/>
    <col min="12033" max="12033" width="12.125" style="3182" customWidth="1"/>
    <col min="12034" max="12034" width="10.875" style="3182" customWidth="1"/>
    <col min="12035" max="12035" width="14.75" style="3182" customWidth="1"/>
    <col min="12036" max="12036" width="14.875" style="3182" customWidth="1"/>
    <col min="12037" max="12037" width="12.5" style="3182" customWidth="1"/>
    <col min="12038" max="12038" width="14.25" style="3182" customWidth="1"/>
    <col min="12039" max="12287" width="9" style="3182"/>
    <col min="12288" max="12288" width="6.875" style="3182" customWidth="1"/>
    <col min="12289" max="12289" width="12.125" style="3182" customWidth="1"/>
    <col min="12290" max="12290" width="10.875" style="3182" customWidth="1"/>
    <col min="12291" max="12291" width="14.75" style="3182" customWidth="1"/>
    <col min="12292" max="12292" width="14.875" style="3182" customWidth="1"/>
    <col min="12293" max="12293" width="12.5" style="3182" customWidth="1"/>
    <col min="12294" max="12294" width="14.25" style="3182" customWidth="1"/>
    <col min="12295" max="12543" width="9" style="3182"/>
    <col min="12544" max="12544" width="6.875" style="3182" customWidth="1"/>
    <col min="12545" max="12545" width="12.125" style="3182" customWidth="1"/>
    <col min="12546" max="12546" width="10.875" style="3182" customWidth="1"/>
    <col min="12547" max="12547" width="14.75" style="3182" customWidth="1"/>
    <col min="12548" max="12548" width="14.875" style="3182" customWidth="1"/>
    <col min="12549" max="12549" width="12.5" style="3182" customWidth="1"/>
    <col min="12550" max="12550" width="14.25" style="3182" customWidth="1"/>
    <col min="12551" max="12799" width="9" style="3182"/>
    <col min="12800" max="12800" width="6.875" style="3182" customWidth="1"/>
    <col min="12801" max="12801" width="12.125" style="3182" customWidth="1"/>
    <col min="12802" max="12802" width="10.875" style="3182" customWidth="1"/>
    <col min="12803" max="12803" width="14.75" style="3182" customWidth="1"/>
    <col min="12804" max="12804" width="14.875" style="3182" customWidth="1"/>
    <col min="12805" max="12805" width="12.5" style="3182" customWidth="1"/>
    <col min="12806" max="12806" width="14.25" style="3182" customWidth="1"/>
    <col min="12807" max="13055" width="9" style="3182"/>
    <col min="13056" max="13056" width="6.875" style="3182" customWidth="1"/>
    <col min="13057" max="13057" width="12.125" style="3182" customWidth="1"/>
    <col min="13058" max="13058" width="10.875" style="3182" customWidth="1"/>
    <col min="13059" max="13059" width="14.75" style="3182" customWidth="1"/>
    <col min="13060" max="13060" width="14.875" style="3182" customWidth="1"/>
    <col min="13061" max="13061" width="12.5" style="3182" customWidth="1"/>
    <col min="13062" max="13062" width="14.25" style="3182" customWidth="1"/>
    <col min="13063" max="13311" width="9" style="3182"/>
    <col min="13312" max="13312" width="6.875" style="3182" customWidth="1"/>
    <col min="13313" max="13313" width="12.125" style="3182" customWidth="1"/>
    <col min="13314" max="13314" width="10.875" style="3182" customWidth="1"/>
    <col min="13315" max="13315" width="14.75" style="3182" customWidth="1"/>
    <col min="13316" max="13316" width="14.875" style="3182" customWidth="1"/>
    <col min="13317" max="13317" width="12.5" style="3182" customWidth="1"/>
    <col min="13318" max="13318" width="14.25" style="3182" customWidth="1"/>
    <col min="13319" max="13567" width="9" style="3182"/>
    <col min="13568" max="13568" width="6.875" style="3182" customWidth="1"/>
    <col min="13569" max="13569" width="12.125" style="3182" customWidth="1"/>
    <col min="13570" max="13570" width="10.875" style="3182" customWidth="1"/>
    <col min="13571" max="13571" width="14.75" style="3182" customWidth="1"/>
    <col min="13572" max="13572" width="14.875" style="3182" customWidth="1"/>
    <col min="13573" max="13573" width="12.5" style="3182" customWidth="1"/>
    <col min="13574" max="13574" width="14.25" style="3182" customWidth="1"/>
    <col min="13575" max="13823" width="9" style="3182"/>
    <col min="13824" max="13824" width="6.875" style="3182" customWidth="1"/>
    <col min="13825" max="13825" width="12.125" style="3182" customWidth="1"/>
    <col min="13826" max="13826" width="10.875" style="3182" customWidth="1"/>
    <col min="13827" max="13827" width="14.75" style="3182" customWidth="1"/>
    <col min="13828" max="13828" width="14.875" style="3182" customWidth="1"/>
    <col min="13829" max="13829" width="12.5" style="3182" customWidth="1"/>
    <col min="13830" max="13830" width="14.25" style="3182" customWidth="1"/>
    <col min="13831" max="14079" width="9" style="3182"/>
    <col min="14080" max="14080" width="6.875" style="3182" customWidth="1"/>
    <col min="14081" max="14081" width="12.125" style="3182" customWidth="1"/>
    <col min="14082" max="14082" width="10.875" style="3182" customWidth="1"/>
    <col min="14083" max="14083" width="14.75" style="3182" customWidth="1"/>
    <col min="14084" max="14084" width="14.875" style="3182" customWidth="1"/>
    <col min="14085" max="14085" width="12.5" style="3182" customWidth="1"/>
    <col min="14086" max="14086" width="14.25" style="3182" customWidth="1"/>
    <col min="14087" max="14335" width="9" style="3182"/>
    <col min="14336" max="14336" width="6.875" style="3182" customWidth="1"/>
    <col min="14337" max="14337" width="12.125" style="3182" customWidth="1"/>
    <col min="14338" max="14338" width="10.875" style="3182" customWidth="1"/>
    <col min="14339" max="14339" width="14.75" style="3182" customWidth="1"/>
    <col min="14340" max="14340" width="14.875" style="3182" customWidth="1"/>
    <col min="14341" max="14341" width="12.5" style="3182" customWidth="1"/>
    <col min="14342" max="14342" width="14.25" style="3182" customWidth="1"/>
    <col min="14343" max="14591" width="9" style="3182"/>
    <col min="14592" max="14592" width="6.875" style="3182" customWidth="1"/>
    <col min="14593" max="14593" width="12.125" style="3182" customWidth="1"/>
    <col min="14594" max="14594" width="10.875" style="3182" customWidth="1"/>
    <col min="14595" max="14595" width="14.75" style="3182" customWidth="1"/>
    <col min="14596" max="14596" width="14.875" style="3182" customWidth="1"/>
    <col min="14597" max="14597" width="12.5" style="3182" customWidth="1"/>
    <col min="14598" max="14598" width="14.25" style="3182" customWidth="1"/>
    <col min="14599" max="14847" width="9" style="3182"/>
    <col min="14848" max="14848" width="6.875" style="3182" customWidth="1"/>
    <col min="14849" max="14849" width="12.125" style="3182" customWidth="1"/>
    <col min="14850" max="14850" width="10.875" style="3182" customWidth="1"/>
    <col min="14851" max="14851" width="14.75" style="3182" customWidth="1"/>
    <col min="14852" max="14852" width="14.875" style="3182" customWidth="1"/>
    <col min="14853" max="14853" width="12.5" style="3182" customWidth="1"/>
    <col min="14854" max="14854" width="14.25" style="3182" customWidth="1"/>
    <col min="14855" max="15103" width="9" style="3182"/>
    <col min="15104" max="15104" width="6.875" style="3182" customWidth="1"/>
    <col min="15105" max="15105" width="12.125" style="3182" customWidth="1"/>
    <col min="15106" max="15106" width="10.875" style="3182" customWidth="1"/>
    <col min="15107" max="15107" width="14.75" style="3182" customWidth="1"/>
    <col min="15108" max="15108" width="14.875" style="3182" customWidth="1"/>
    <col min="15109" max="15109" width="12.5" style="3182" customWidth="1"/>
    <col min="15110" max="15110" width="14.25" style="3182" customWidth="1"/>
    <col min="15111" max="15359" width="9" style="3182"/>
    <col min="15360" max="15360" width="6.875" style="3182" customWidth="1"/>
    <col min="15361" max="15361" width="12.125" style="3182" customWidth="1"/>
    <col min="15362" max="15362" width="10.875" style="3182" customWidth="1"/>
    <col min="15363" max="15363" width="14.75" style="3182" customWidth="1"/>
    <col min="15364" max="15364" width="14.875" style="3182" customWidth="1"/>
    <col min="15365" max="15365" width="12.5" style="3182" customWidth="1"/>
    <col min="15366" max="15366" width="14.25" style="3182" customWidth="1"/>
    <col min="15367" max="15615" width="9" style="3182"/>
    <col min="15616" max="15616" width="6.875" style="3182" customWidth="1"/>
    <col min="15617" max="15617" width="12.125" style="3182" customWidth="1"/>
    <col min="15618" max="15618" width="10.875" style="3182" customWidth="1"/>
    <col min="15619" max="15619" width="14.75" style="3182" customWidth="1"/>
    <col min="15620" max="15620" width="14.875" style="3182" customWidth="1"/>
    <col min="15621" max="15621" width="12.5" style="3182" customWidth="1"/>
    <col min="15622" max="15622" width="14.25" style="3182" customWidth="1"/>
    <col min="15623" max="15871" width="9" style="3182"/>
    <col min="15872" max="15872" width="6.875" style="3182" customWidth="1"/>
    <col min="15873" max="15873" width="12.125" style="3182" customWidth="1"/>
    <col min="15874" max="15874" width="10.875" style="3182" customWidth="1"/>
    <col min="15875" max="15875" width="14.75" style="3182" customWidth="1"/>
    <col min="15876" max="15876" width="14.875" style="3182" customWidth="1"/>
    <col min="15877" max="15877" width="12.5" style="3182" customWidth="1"/>
    <col min="15878" max="15878" width="14.25" style="3182" customWidth="1"/>
    <col min="15879" max="16127" width="9" style="3182"/>
    <col min="16128" max="16128" width="6.875" style="3182" customWidth="1"/>
    <col min="16129" max="16129" width="12.125" style="3182" customWidth="1"/>
    <col min="16130" max="16130" width="10.875" style="3182" customWidth="1"/>
    <col min="16131" max="16131" width="14.75" style="3182" customWidth="1"/>
    <col min="16132" max="16132" width="14.875" style="3182" customWidth="1"/>
    <col min="16133" max="16133" width="12.5" style="3182" customWidth="1"/>
    <col min="16134" max="16134" width="14.25" style="3182" customWidth="1"/>
    <col min="16135" max="16384" width="9" style="3182"/>
  </cols>
  <sheetData>
    <row r="1" spans="1:6" ht="15" customHeight="1">
      <c r="A1" s="3285" t="s">
        <v>3444</v>
      </c>
      <c r="B1" s="3286"/>
      <c r="C1" s="3286"/>
      <c r="D1" s="3286"/>
      <c r="E1" s="3286"/>
      <c r="F1" s="3287"/>
    </row>
    <row r="2" spans="1:6" ht="15" customHeight="1">
      <c r="A2" s="3183" t="s">
        <v>3445</v>
      </c>
      <c r="B2" s="3183" t="s">
        <v>3446</v>
      </c>
      <c r="C2" s="3184" t="s">
        <v>3651</v>
      </c>
      <c r="D2" s="3185" t="s">
        <v>3448</v>
      </c>
      <c r="E2" s="3185" t="s">
        <v>3652</v>
      </c>
      <c r="F2" s="3185" t="s">
        <v>3450</v>
      </c>
    </row>
    <row r="3" spans="1:6" ht="15" customHeight="1">
      <c r="A3" s="3186">
        <v>1</v>
      </c>
      <c r="B3" s="3186" t="s">
        <v>3451</v>
      </c>
      <c r="C3" s="3187">
        <v>62.59</v>
      </c>
      <c r="D3" s="3186" t="s">
        <v>3452</v>
      </c>
      <c r="E3" s="3186" t="s">
        <v>3453</v>
      </c>
      <c r="F3" s="3186">
        <v>1</v>
      </c>
    </row>
    <row r="4" spans="1:6" ht="15" customHeight="1">
      <c r="A4" s="3186">
        <v>2</v>
      </c>
      <c r="B4" s="3186" t="s">
        <v>3454</v>
      </c>
      <c r="C4" s="3187">
        <v>62.59</v>
      </c>
      <c r="D4" s="3186" t="s">
        <v>3452</v>
      </c>
      <c r="E4" s="3186" t="s">
        <v>3453</v>
      </c>
      <c r="F4" s="3186">
        <v>1</v>
      </c>
    </row>
    <row r="5" spans="1:6" ht="15" customHeight="1">
      <c r="A5" s="3186">
        <v>3</v>
      </c>
      <c r="B5" s="3186" t="s">
        <v>3455</v>
      </c>
      <c r="C5" s="3187">
        <v>62.59</v>
      </c>
      <c r="D5" s="3186" t="s">
        <v>3452</v>
      </c>
      <c r="E5" s="3186" t="s">
        <v>3453</v>
      </c>
      <c r="F5" s="3186">
        <v>1</v>
      </c>
    </row>
    <row r="6" spans="1:6" ht="15" customHeight="1">
      <c r="A6" s="3186">
        <v>4</v>
      </c>
      <c r="B6" s="3186" t="s">
        <v>3456</v>
      </c>
      <c r="C6" s="3187">
        <v>62.59</v>
      </c>
      <c r="D6" s="3186" t="s">
        <v>3452</v>
      </c>
      <c r="E6" s="3186" t="s">
        <v>3453</v>
      </c>
      <c r="F6" s="3186">
        <v>1</v>
      </c>
    </row>
    <row r="7" spans="1:6" ht="15" customHeight="1">
      <c r="A7" s="3186">
        <v>5</v>
      </c>
      <c r="B7" s="3186" t="s">
        <v>3457</v>
      </c>
      <c r="C7" s="3187">
        <v>62.59</v>
      </c>
      <c r="D7" s="3186" t="s">
        <v>3452</v>
      </c>
      <c r="E7" s="3186" t="s">
        <v>3453</v>
      </c>
      <c r="F7" s="3186">
        <v>1</v>
      </c>
    </row>
    <row r="8" spans="1:6" ht="15" customHeight="1">
      <c r="A8" s="3186">
        <v>6</v>
      </c>
      <c r="B8" s="3186" t="s">
        <v>3458</v>
      </c>
      <c r="C8" s="3187">
        <v>62.59</v>
      </c>
      <c r="D8" s="3186" t="s">
        <v>3452</v>
      </c>
      <c r="E8" s="3186" t="s">
        <v>3453</v>
      </c>
      <c r="F8" s="3186">
        <v>1</v>
      </c>
    </row>
    <row r="9" spans="1:6" ht="15" customHeight="1">
      <c r="A9" s="3186">
        <v>7</v>
      </c>
      <c r="B9" s="3185" t="s">
        <v>3459</v>
      </c>
      <c r="C9" s="3188">
        <v>68</v>
      </c>
      <c r="D9" s="3185" t="s">
        <v>3452</v>
      </c>
      <c r="E9" s="3185" t="s">
        <v>3453</v>
      </c>
      <c r="F9" s="3185">
        <v>1</v>
      </c>
    </row>
    <row r="10" spans="1:6" ht="15" customHeight="1">
      <c r="A10" s="3186">
        <v>8</v>
      </c>
      <c r="B10" s="3185" t="s">
        <v>3460</v>
      </c>
      <c r="C10" s="3188">
        <v>77.38</v>
      </c>
      <c r="D10" s="3185" t="s">
        <v>3452</v>
      </c>
      <c r="E10" s="3185" t="s">
        <v>3453</v>
      </c>
      <c r="F10" s="3185">
        <v>1</v>
      </c>
    </row>
    <row r="11" spans="1:6" ht="15" customHeight="1">
      <c r="A11" s="3186">
        <v>9</v>
      </c>
      <c r="B11" s="3185" t="s">
        <v>3461</v>
      </c>
      <c r="C11" s="3188">
        <v>71.22</v>
      </c>
      <c r="D11" s="3185" t="s">
        <v>3452</v>
      </c>
      <c r="E11" s="3185" t="s">
        <v>3453</v>
      </c>
      <c r="F11" s="3185">
        <v>1</v>
      </c>
    </row>
    <row r="12" spans="1:6" ht="15" customHeight="1">
      <c r="A12" s="3186">
        <v>10</v>
      </c>
      <c r="B12" s="3185" t="s">
        <v>3462</v>
      </c>
      <c r="C12" s="3188">
        <v>71.22</v>
      </c>
      <c r="D12" s="3185" t="s">
        <v>3452</v>
      </c>
      <c r="E12" s="3185" t="s">
        <v>3453</v>
      </c>
      <c r="F12" s="3185">
        <v>1</v>
      </c>
    </row>
    <row r="13" spans="1:6" ht="15" customHeight="1">
      <c r="A13" s="3186">
        <v>11</v>
      </c>
      <c r="B13" s="3185" t="s">
        <v>3463</v>
      </c>
      <c r="C13" s="3188">
        <v>71.22</v>
      </c>
      <c r="D13" s="3185" t="s">
        <v>3452</v>
      </c>
      <c r="E13" s="3185" t="s">
        <v>3453</v>
      </c>
      <c r="F13" s="3185">
        <v>1</v>
      </c>
    </row>
    <row r="14" spans="1:6" ht="15" customHeight="1">
      <c r="A14" s="3186">
        <v>12</v>
      </c>
      <c r="B14" s="3185" t="s">
        <v>3464</v>
      </c>
      <c r="C14" s="3188">
        <v>71.22</v>
      </c>
      <c r="D14" s="3185" t="s">
        <v>3465</v>
      </c>
      <c r="E14" s="3185" t="s">
        <v>3453</v>
      </c>
      <c r="F14" s="3185">
        <v>1</v>
      </c>
    </row>
    <row r="15" spans="1:6" ht="15" customHeight="1">
      <c r="A15" s="3186">
        <v>13</v>
      </c>
      <c r="B15" s="3185" t="s">
        <v>3466</v>
      </c>
      <c r="C15" s="3188">
        <v>71.22</v>
      </c>
      <c r="D15" s="3185" t="s">
        <v>3465</v>
      </c>
      <c r="E15" s="3185" t="s">
        <v>3453</v>
      </c>
      <c r="F15" s="3185">
        <v>1</v>
      </c>
    </row>
    <row r="16" spans="1:6" ht="15" customHeight="1">
      <c r="A16" s="3186">
        <v>14</v>
      </c>
      <c r="B16" s="3185" t="s">
        <v>3467</v>
      </c>
      <c r="C16" s="3188">
        <v>71.22</v>
      </c>
      <c r="D16" s="3185" t="s">
        <v>3465</v>
      </c>
      <c r="E16" s="3185" t="s">
        <v>3453</v>
      </c>
      <c r="F16" s="3185">
        <v>1</v>
      </c>
    </row>
    <row r="17" spans="1:6" ht="15" customHeight="1">
      <c r="A17" s="3186">
        <v>15</v>
      </c>
      <c r="B17" s="3185" t="s">
        <v>3468</v>
      </c>
      <c r="C17" s="3188">
        <v>77.38</v>
      </c>
      <c r="D17" s="3185" t="s">
        <v>3465</v>
      </c>
      <c r="E17" s="3185" t="s">
        <v>3453</v>
      </c>
      <c r="F17" s="3185">
        <v>1</v>
      </c>
    </row>
    <row r="18" spans="1:6" ht="15" customHeight="1">
      <c r="A18" s="3186">
        <v>16</v>
      </c>
      <c r="B18" s="3185" t="s">
        <v>3469</v>
      </c>
      <c r="C18" s="3188">
        <v>78.83</v>
      </c>
      <c r="D18" s="3185" t="s">
        <v>3465</v>
      </c>
      <c r="E18" s="3185" t="s">
        <v>3453</v>
      </c>
      <c r="F18" s="3185">
        <v>1</v>
      </c>
    </row>
    <row r="19" spans="1:6" ht="15" customHeight="1">
      <c r="A19" s="3186">
        <v>17</v>
      </c>
      <c r="B19" s="3185" t="s">
        <v>3470</v>
      </c>
      <c r="C19" s="3188">
        <v>74.25</v>
      </c>
      <c r="D19" s="3185" t="s">
        <v>3465</v>
      </c>
      <c r="E19" s="3185" t="s">
        <v>3453</v>
      </c>
      <c r="F19" s="3185">
        <v>1</v>
      </c>
    </row>
    <row r="20" spans="1:6" ht="15" customHeight="1">
      <c r="A20" s="3186">
        <v>18</v>
      </c>
      <c r="B20" s="3185" t="s">
        <v>3471</v>
      </c>
      <c r="C20" s="3188">
        <v>74.25</v>
      </c>
      <c r="D20" s="3185" t="s">
        <v>3465</v>
      </c>
      <c r="E20" s="3185" t="s">
        <v>3453</v>
      </c>
      <c r="F20" s="3185">
        <v>1</v>
      </c>
    </row>
    <row r="21" spans="1:6" ht="15" customHeight="1">
      <c r="A21" s="3186">
        <v>19</v>
      </c>
      <c r="B21" s="3189" t="s">
        <v>3472</v>
      </c>
      <c r="C21" s="3190">
        <v>74.25</v>
      </c>
      <c r="D21" s="3189" t="s">
        <v>3465</v>
      </c>
      <c r="E21" s="3189" t="s">
        <v>3453</v>
      </c>
      <c r="F21" s="3189">
        <v>1</v>
      </c>
    </row>
    <row r="22" spans="1:6" ht="15" customHeight="1">
      <c r="A22" s="3186">
        <v>20</v>
      </c>
      <c r="B22" s="3189" t="s">
        <v>3473</v>
      </c>
      <c r="C22" s="3190">
        <v>74.25</v>
      </c>
      <c r="D22" s="3189" t="s">
        <v>3465</v>
      </c>
      <c r="E22" s="3189" t="s">
        <v>3453</v>
      </c>
      <c r="F22" s="3189">
        <v>1</v>
      </c>
    </row>
    <row r="23" spans="1:6" s="3191" customFormat="1" ht="15" customHeight="1">
      <c r="A23" s="3186">
        <v>21</v>
      </c>
      <c r="B23" s="3189" t="s">
        <v>3474</v>
      </c>
      <c r="C23" s="3190">
        <v>78.83</v>
      </c>
      <c r="D23" s="3189" t="s">
        <v>3465</v>
      </c>
      <c r="E23" s="3189" t="s">
        <v>3453</v>
      </c>
      <c r="F23" s="3189">
        <v>1</v>
      </c>
    </row>
    <row r="24" spans="1:6" ht="15" customHeight="1">
      <c r="A24" s="3186">
        <v>22</v>
      </c>
      <c r="B24" s="3189" t="s">
        <v>3475</v>
      </c>
      <c r="C24" s="3190">
        <v>74.25</v>
      </c>
      <c r="D24" s="3189" t="s">
        <v>3465</v>
      </c>
      <c r="E24" s="3189" t="s">
        <v>3453</v>
      </c>
      <c r="F24" s="3189">
        <v>1</v>
      </c>
    </row>
    <row r="25" spans="1:6" ht="15" customHeight="1">
      <c r="A25" s="3186">
        <v>23</v>
      </c>
      <c r="B25" s="3189" t="s">
        <v>3476</v>
      </c>
      <c r="C25" s="3190">
        <v>74.25</v>
      </c>
      <c r="D25" s="3189" t="s">
        <v>3465</v>
      </c>
      <c r="E25" s="3189" t="s">
        <v>3453</v>
      </c>
      <c r="F25" s="3189">
        <v>1</v>
      </c>
    </row>
    <row r="26" spans="1:6" ht="15" customHeight="1">
      <c r="A26" s="3186">
        <v>24</v>
      </c>
      <c r="B26" s="3189" t="s">
        <v>3477</v>
      </c>
      <c r="C26" s="3190">
        <v>74.25</v>
      </c>
      <c r="D26" s="3189" t="s">
        <v>3465</v>
      </c>
      <c r="E26" s="3189" t="s">
        <v>3453</v>
      </c>
      <c r="F26" s="3189">
        <v>1</v>
      </c>
    </row>
    <row r="27" spans="1:6" ht="15" customHeight="1">
      <c r="A27" s="3186">
        <v>25</v>
      </c>
      <c r="B27" s="3185" t="s">
        <v>3478</v>
      </c>
      <c r="C27" s="3188">
        <v>74.25</v>
      </c>
      <c r="D27" s="3185" t="s">
        <v>3465</v>
      </c>
      <c r="E27" s="3185" t="s">
        <v>3453</v>
      </c>
      <c r="F27" s="3185">
        <v>1</v>
      </c>
    </row>
    <row r="28" spans="1:6" ht="15" customHeight="1">
      <c r="A28" s="3186">
        <v>26</v>
      </c>
      <c r="B28" s="3185" t="s">
        <v>3479</v>
      </c>
      <c r="C28" s="3188">
        <v>45.06</v>
      </c>
      <c r="D28" s="3185" t="s">
        <v>3465</v>
      </c>
      <c r="E28" s="3185" t="s">
        <v>3453</v>
      </c>
      <c r="F28" s="3185">
        <v>1</v>
      </c>
    </row>
    <row r="29" spans="1:6" ht="15" customHeight="1">
      <c r="A29" s="3186">
        <v>27</v>
      </c>
      <c r="B29" s="3185" t="s">
        <v>3480</v>
      </c>
      <c r="C29" s="3188">
        <v>41.01</v>
      </c>
      <c r="D29" s="3185" t="s">
        <v>3465</v>
      </c>
      <c r="E29" s="3185" t="s">
        <v>3453</v>
      </c>
      <c r="F29" s="3185">
        <v>1</v>
      </c>
    </row>
    <row r="30" spans="1:6" ht="15" customHeight="1">
      <c r="A30" s="3186">
        <v>28</v>
      </c>
      <c r="B30" s="3185" t="s">
        <v>3481</v>
      </c>
      <c r="C30" s="3188">
        <v>41.01</v>
      </c>
      <c r="D30" s="3185" t="s">
        <v>3465</v>
      </c>
      <c r="E30" s="3185" t="s">
        <v>3453</v>
      </c>
      <c r="F30" s="3185">
        <v>1</v>
      </c>
    </row>
    <row r="31" spans="1:6" ht="15" customHeight="1">
      <c r="A31" s="3186">
        <v>29</v>
      </c>
      <c r="B31" s="3185" t="s">
        <v>3482</v>
      </c>
      <c r="C31" s="3188">
        <v>41.01</v>
      </c>
      <c r="D31" s="3185" t="s">
        <v>3465</v>
      </c>
      <c r="E31" s="3185" t="s">
        <v>3453</v>
      </c>
      <c r="F31" s="3185">
        <v>1</v>
      </c>
    </row>
    <row r="32" spans="1:6" ht="15" customHeight="1">
      <c r="A32" s="3186">
        <v>30</v>
      </c>
      <c r="B32" s="3185" t="s">
        <v>3483</v>
      </c>
      <c r="C32" s="3188">
        <v>70.39</v>
      </c>
      <c r="D32" s="3185" t="s">
        <v>3465</v>
      </c>
      <c r="E32" s="3185" t="s">
        <v>3453</v>
      </c>
      <c r="F32" s="3185">
        <v>1</v>
      </c>
    </row>
    <row r="33" spans="1:6" ht="15" customHeight="1">
      <c r="A33" s="3186">
        <v>31</v>
      </c>
      <c r="B33" s="3185" t="s">
        <v>3484</v>
      </c>
      <c r="C33" s="3188">
        <v>41.01</v>
      </c>
      <c r="D33" s="3185" t="s">
        <v>3465</v>
      </c>
      <c r="E33" s="3185" t="s">
        <v>3453</v>
      </c>
      <c r="F33" s="3185">
        <v>1</v>
      </c>
    </row>
    <row r="34" spans="1:6" ht="15" customHeight="1">
      <c r="A34" s="3186">
        <v>32</v>
      </c>
      <c r="B34" s="3185" t="s">
        <v>3485</v>
      </c>
      <c r="C34" s="3188">
        <v>41.01</v>
      </c>
      <c r="D34" s="3185" t="s">
        <v>3465</v>
      </c>
      <c r="E34" s="3185" t="s">
        <v>3453</v>
      </c>
      <c r="F34" s="3185">
        <v>1</v>
      </c>
    </row>
    <row r="35" spans="1:6" ht="15" customHeight="1">
      <c r="A35" s="3186">
        <v>33</v>
      </c>
      <c r="B35" s="3185" t="s">
        <v>3486</v>
      </c>
      <c r="C35" s="3188">
        <v>41.01</v>
      </c>
      <c r="D35" s="3185" t="s">
        <v>3465</v>
      </c>
      <c r="E35" s="3185" t="s">
        <v>3453</v>
      </c>
      <c r="F35" s="3185">
        <v>1</v>
      </c>
    </row>
    <row r="36" spans="1:6" ht="15" customHeight="1">
      <c r="A36" s="3186">
        <v>34</v>
      </c>
      <c r="B36" s="3185" t="s">
        <v>3487</v>
      </c>
      <c r="C36" s="3188">
        <v>41.01</v>
      </c>
      <c r="D36" s="3185" t="s">
        <v>3465</v>
      </c>
      <c r="E36" s="3185" t="s">
        <v>3453</v>
      </c>
      <c r="F36" s="3185">
        <v>1</v>
      </c>
    </row>
    <row r="37" spans="1:6" ht="15" customHeight="1">
      <c r="A37" s="3186">
        <v>35</v>
      </c>
      <c r="B37" s="3185" t="s">
        <v>3488</v>
      </c>
      <c r="C37" s="3188">
        <v>45.06</v>
      </c>
      <c r="D37" s="3185" t="s">
        <v>3465</v>
      </c>
      <c r="E37" s="3185" t="s">
        <v>3453</v>
      </c>
      <c r="F37" s="3185">
        <v>1</v>
      </c>
    </row>
    <row r="38" spans="1:6" ht="15" customHeight="1">
      <c r="A38" s="3186">
        <v>36</v>
      </c>
      <c r="B38" s="3185" t="s">
        <v>3489</v>
      </c>
      <c r="C38" s="3188">
        <v>74.67</v>
      </c>
      <c r="D38" s="3185" t="s">
        <v>3465</v>
      </c>
      <c r="E38" s="3185" t="s">
        <v>3453</v>
      </c>
      <c r="F38" s="3185">
        <v>1</v>
      </c>
    </row>
    <row r="39" spans="1:6" ht="15" customHeight="1">
      <c r="A39" s="3186">
        <v>37</v>
      </c>
      <c r="B39" s="3185" t="s">
        <v>3490</v>
      </c>
      <c r="C39" s="3188">
        <v>79.75</v>
      </c>
      <c r="D39" s="3185" t="s">
        <v>3465</v>
      </c>
      <c r="E39" s="3185" t="s">
        <v>3453</v>
      </c>
      <c r="F39" s="3185">
        <v>1</v>
      </c>
    </row>
    <row r="40" spans="1:6" ht="15" customHeight="1">
      <c r="A40" s="3186">
        <v>38</v>
      </c>
      <c r="B40" s="3185" t="s">
        <v>3491</v>
      </c>
      <c r="C40" s="3188">
        <v>84.76</v>
      </c>
      <c r="D40" s="3185" t="s">
        <v>3465</v>
      </c>
      <c r="E40" s="3185" t="s">
        <v>3453</v>
      </c>
      <c r="F40" s="3185">
        <v>1</v>
      </c>
    </row>
    <row r="41" spans="1:6" ht="15" customHeight="1">
      <c r="A41" s="3186">
        <v>39</v>
      </c>
      <c r="B41" s="3185" t="s">
        <v>3492</v>
      </c>
      <c r="C41" s="3188">
        <v>73.819999999999993</v>
      </c>
      <c r="D41" s="3185" t="s">
        <v>3465</v>
      </c>
      <c r="E41" s="3185" t="s">
        <v>3453</v>
      </c>
      <c r="F41" s="3185">
        <v>1</v>
      </c>
    </row>
    <row r="42" spans="1:6" ht="15" customHeight="1">
      <c r="A42" s="3186">
        <v>40</v>
      </c>
      <c r="B42" s="3185" t="s">
        <v>3493</v>
      </c>
      <c r="C42" s="3188">
        <v>73.819999999999993</v>
      </c>
      <c r="D42" s="3185" t="s">
        <v>3465</v>
      </c>
      <c r="E42" s="3185" t="s">
        <v>3453</v>
      </c>
      <c r="F42" s="3185">
        <v>1</v>
      </c>
    </row>
    <row r="43" spans="1:6" ht="15" customHeight="1">
      <c r="A43" s="3186">
        <v>41</v>
      </c>
      <c r="B43" s="3185" t="s">
        <v>3494</v>
      </c>
      <c r="C43" s="3188">
        <v>73.819999999999993</v>
      </c>
      <c r="D43" s="3185" t="s">
        <v>3465</v>
      </c>
      <c r="E43" s="3185" t="s">
        <v>3453</v>
      </c>
      <c r="F43" s="3185">
        <v>1</v>
      </c>
    </row>
    <row r="44" spans="1:6" ht="15" customHeight="1">
      <c r="A44" s="3186">
        <v>42</v>
      </c>
      <c r="B44" s="3185" t="s">
        <v>3495</v>
      </c>
      <c r="C44" s="3188">
        <v>73.819999999999993</v>
      </c>
      <c r="D44" s="3185" t="s">
        <v>3465</v>
      </c>
      <c r="E44" s="3185" t="s">
        <v>3453</v>
      </c>
      <c r="F44" s="3185">
        <v>1</v>
      </c>
    </row>
    <row r="45" spans="1:6" ht="15" customHeight="1">
      <c r="A45" s="3186">
        <v>43</v>
      </c>
      <c r="B45" s="3185" t="s">
        <v>3496</v>
      </c>
      <c r="C45" s="3188">
        <v>84.76</v>
      </c>
      <c r="D45" s="3185" t="s">
        <v>3465</v>
      </c>
      <c r="E45" s="3185" t="s">
        <v>3453</v>
      </c>
      <c r="F45" s="3185">
        <v>1</v>
      </c>
    </row>
    <row r="46" spans="1:6" ht="15" customHeight="1">
      <c r="A46" s="3186">
        <v>44</v>
      </c>
      <c r="B46" s="3185" t="s">
        <v>3497</v>
      </c>
      <c r="C46" s="3188">
        <v>80.2</v>
      </c>
      <c r="D46" s="3185" t="s">
        <v>3465</v>
      </c>
      <c r="E46" s="3185" t="s">
        <v>3453</v>
      </c>
      <c r="F46" s="3185">
        <v>1</v>
      </c>
    </row>
    <row r="47" spans="1:6" ht="15" customHeight="1">
      <c r="A47" s="3186">
        <v>45</v>
      </c>
      <c r="B47" s="3185" t="s">
        <v>3498</v>
      </c>
      <c r="C47" s="3188">
        <v>78.680000000000007</v>
      </c>
      <c r="D47" s="3185" t="s">
        <v>3465</v>
      </c>
      <c r="E47" s="3185" t="s">
        <v>3453</v>
      </c>
      <c r="F47" s="3185">
        <v>1</v>
      </c>
    </row>
    <row r="48" spans="1:6" ht="15" customHeight="1">
      <c r="A48" s="3186">
        <v>46</v>
      </c>
      <c r="B48" s="3185" t="s">
        <v>3499</v>
      </c>
      <c r="C48" s="3188">
        <v>70.819999999999993</v>
      </c>
      <c r="D48" s="3185" t="s">
        <v>3465</v>
      </c>
      <c r="E48" s="3185" t="s">
        <v>3453</v>
      </c>
      <c r="F48" s="3185">
        <v>1</v>
      </c>
    </row>
    <row r="49" spans="1:6" ht="15" customHeight="1">
      <c r="A49" s="3186">
        <v>47</v>
      </c>
      <c r="B49" s="3185" t="s">
        <v>3500</v>
      </c>
      <c r="C49" s="3188">
        <v>70.819999999999993</v>
      </c>
      <c r="D49" s="3185" t="s">
        <v>3465</v>
      </c>
      <c r="E49" s="3185" t="s">
        <v>3453</v>
      </c>
      <c r="F49" s="3185">
        <v>1</v>
      </c>
    </row>
    <row r="50" spans="1:6" ht="15" customHeight="1">
      <c r="A50" s="3186">
        <v>48</v>
      </c>
      <c r="B50" s="3185" t="s">
        <v>3501</v>
      </c>
      <c r="C50" s="3188">
        <v>74.849999999999994</v>
      </c>
      <c r="D50" s="3185" t="s">
        <v>3465</v>
      </c>
      <c r="E50" s="3185" t="s">
        <v>3453</v>
      </c>
      <c r="F50" s="3185">
        <v>1</v>
      </c>
    </row>
    <row r="51" spans="1:6" ht="15" customHeight="1">
      <c r="A51" s="3186">
        <v>49</v>
      </c>
      <c r="B51" s="3185" t="s">
        <v>3502</v>
      </c>
      <c r="C51" s="3188">
        <v>65.19</v>
      </c>
      <c r="D51" s="3185" t="s">
        <v>3465</v>
      </c>
      <c r="E51" s="3185" t="s">
        <v>3453</v>
      </c>
      <c r="F51" s="3185">
        <v>1</v>
      </c>
    </row>
    <row r="52" spans="1:6" ht="15" customHeight="1">
      <c r="A52" s="3186">
        <v>50</v>
      </c>
      <c r="B52" s="3185" t="s">
        <v>3503</v>
      </c>
      <c r="C52" s="3188">
        <v>65.19</v>
      </c>
      <c r="D52" s="3185" t="s">
        <v>3465</v>
      </c>
      <c r="E52" s="3185" t="s">
        <v>3453</v>
      </c>
      <c r="F52" s="3185">
        <v>1</v>
      </c>
    </row>
    <row r="53" spans="1:6" ht="15" customHeight="1">
      <c r="A53" s="3186">
        <v>51</v>
      </c>
      <c r="B53" s="3185" t="s">
        <v>3504</v>
      </c>
      <c r="C53" s="3188">
        <v>65.19</v>
      </c>
      <c r="D53" s="3185" t="s">
        <v>3465</v>
      </c>
      <c r="E53" s="3185" t="s">
        <v>3453</v>
      </c>
      <c r="F53" s="3185">
        <v>1</v>
      </c>
    </row>
    <row r="54" spans="1:6" ht="15" customHeight="1">
      <c r="A54" s="3186">
        <v>52</v>
      </c>
      <c r="B54" s="3185" t="s">
        <v>3505</v>
      </c>
      <c r="C54" s="3188">
        <v>65.19</v>
      </c>
      <c r="D54" s="3185" t="s">
        <v>3465</v>
      </c>
      <c r="E54" s="3185" t="s">
        <v>3453</v>
      </c>
      <c r="F54" s="3185">
        <v>1</v>
      </c>
    </row>
    <row r="55" spans="1:6" ht="15" customHeight="1">
      <c r="A55" s="3186">
        <v>53</v>
      </c>
      <c r="B55" s="3185" t="s">
        <v>3506</v>
      </c>
      <c r="C55" s="3188">
        <v>74.849999999999994</v>
      </c>
      <c r="D55" s="3185" t="s">
        <v>3465</v>
      </c>
      <c r="E55" s="3185" t="s">
        <v>3453</v>
      </c>
      <c r="F55" s="3185">
        <v>1</v>
      </c>
    </row>
    <row r="56" spans="1:6" ht="15" customHeight="1">
      <c r="A56" s="3186">
        <v>54</v>
      </c>
      <c r="B56" s="3185" t="s">
        <v>3507</v>
      </c>
      <c r="C56" s="3188">
        <v>52.38</v>
      </c>
      <c r="D56" s="3185" t="s">
        <v>3465</v>
      </c>
      <c r="E56" s="3185" t="s">
        <v>3453</v>
      </c>
      <c r="F56" s="3185">
        <v>1</v>
      </c>
    </row>
    <row r="57" spans="1:6" ht="15" customHeight="1">
      <c r="A57" s="3186">
        <v>55</v>
      </c>
      <c r="B57" s="3189" t="s">
        <v>3508</v>
      </c>
      <c r="C57" s="3188">
        <v>54.4</v>
      </c>
      <c r="D57" s="3185" t="s">
        <v>3465</v>
      </c>
      <c r="E57" s="3185" t="s">
        <v>3453</v>
      </c>
      <c r="F57" s="3185">
        <v>1</v>
      </c>
    </row>
    <row r="58" spans="1:6" ht="15" customHeight="1">
      <c r="A58" s="3186">
        <v>56</v>
      </c>
      <c r="B58" s="3189" t="s">
        <v>3509</v>
      </c>
      <c r="C58" s="3188">
        <v>54.4</v>
      </c>
      <c r="D58" s="3185" t="s">
        <v>3465</v>
      </c>
      <c r="E58" s="3185" t="s">
        <v>3453</v>
      </c>
      <c r="F58" s="3185">
        <v>1</v>
      </c>
    </row>
    <row r="59" spans="1:6" ht="15" customHeight="1">
      <c r="A59" s="3186">
        <v>57</v>
      </c>
      <c r="B59" s="3189" t="s">
        <v>3510</v>
      </c>
      <c r="C59" s="3188">
        <v>54.4</v>
      </c>
      <c r="D59" s="3185" t="s">
        <v>3465</v>
      </c>
      <c r="E59" s="3185" t="s">
        <v>3453</v>
      </c>
      <c r="F59" s="3185">
        <v>1</v>
      </c>
    </row>
    <row r="60" spans="1:6" ht="15" customHeight="1">
      <c r="A60" s="3186">
        <v>58</v>
      </c>
      <c r="B60" s="3189" t="s">
        <v>3511</v>
      </c>
      <c r="C60" s="3188">
        <v>54.4</v>
      </c>
      <c r="D60" s="3185" t="s">
        <v>3465</v>
      </c>
      <c r="E60" s="3185" t="s">
        <v>3453</v>
      </c>
      <c r="F60" s="3185">
        <v>1</v>
      </c>
    </row>
    <row r="61" spans="1:6" ht="15" customHeight="1">
      <c r="A61" s="3186">
        <v>59</v>
      </c>
      <c r="B61" s="3185" t="s">
        <v>3512</v>
      </c>
      <c r="C61" s="3188">
        <v>54.4</v>
      </c>
      <c r="D61" s="3185" t="s">
        <v>3452</v>
      </c>
      <c r="E61" s="3185" t="s">
        <v>3453</v>
      </c>
      <c r="F61" s="3185">
        <v>1</v>
      </c>
    </row>
    <row r="62" spans="1:6" ht="15" customHeight="1">
      <c r="A62" s="3186">
        <v>60</v>
      </c>
      <c r="B62" s="3185" t="s">
        <v>3513</v>
      </c>
      <c r="C62" s="3188">
        <v>57.75</v>
      </c>
      <c r="D62" s="3185" t="s">
        <v>3465</v>
      </c>
      <c r="E62" s="3185" t="s">
        <v>3453</v>
      </c>
      <c r="F62" s="3185">
        <v>1</v>
      </c>
    </row>
    <row r="63" spans="1:6" ht="15" customHeight="1">
      <c r="A63" s="3186">
        <v>61</v>
      </c>
      <c r="B63" s="3185" t="s">
        <v>3514</v>
      </c>
      <c r="C63" s="3188">
        <v>58.2</v>
      </c>
      <c r="D63" s="3185" t="s">
        <v>3465</v>
      </c>
      <c r="E63" s="3185" t="s">
        <v>3453</v>
      </c>
      <c r="F63" s="3185">
        <v>1</v>
      </c>
    </row>
    <row r="64" spans="1:6" ht="15" customHeight="1">
      <c r="A64" s="3186">
        <v>62</v>
      </c>
      <c r="B64" s="3185" t="s">
        <v>3515</v>
      </c>
      <c r="C64" s="3188">
        <v>54.83</v>
      </c>
      <c r="D64" s="3185" t="s">
        <v>3465</v>
      </c>
      <c r="E64" s="3185" t="s">
        <v>3453</v>
      </c>
      <c r="F64" s="3185">
        <v>1</v>
      </c>
    </row>
    <row r="65" spans="1:8" ht="15" customHeight="1">
      <c r="A65" s="3186">
        <v>63</v>
      </c>
      <c r="B65" s="3185" t="s">
        <v>3516</v>
      </c>
      <c r="C65" s="3188">
        <v>54.83</v>
      </c>
      <c r="D65" s="3185" t="s">
        <v>3465</v>
      </c>
      <c r="E65" s="3185" t="s">
        <v>3453</v>
      </c>
      <c r="F65" s="3185">
        <v>1</v>
      </c>
    </row>
    <row r="66" spans="1:8" ht="15" customHeight="1">
      <c r="A66" s="3186">
        <v>64</v>
      </c>
      <c r="B66" s="3185" t="s">
        <v>3517</v>
      </c>
      <c r="C66" s="3188">
        <v>54.83</v>
      </c>
      <c r="D66" s="3185" t="s">
        <v>3465</v>
      </c>
      <c r="E66" s="3185" t="s">
        <v>3453</v>
      </c>
      <c r="F66" s="3185">
        <v>1</v>
      </c>
    </row>
    <row r="67" spans="1:8" ht="15" customHeight="1">
      <c r="A67" s="3186">
        <v>65</v>
      </c>
      <c r="B67" s="3185" t="s">
        <v>3518</v>
      </c>
      <c r="C67" s="3188">
        <v>54.83</v>
      </c>
      <c r="D67" s="3185" t="s">
        <v>3465</v>
      </c>
      <c r="E67" s="3185" t="s">
        <v>3453</v>
      </c>
      <c r="F67" s="3185">
        <v>1</v>
      </c>
    </row>
    <row r="68" spans="1:8" ht="15" customHeight="1">
      <c r="A68" s="3186">
        <v>66</v>
      </c>
      <c r="B68" s="3185" t="s">
        <v>3519</v>
      </c>
      <c r="C68" s="3188">
        <v>54.83</v>
      </c>
      <c r="D68" s="3185" t="s">
        <v>3465</v>
      </c>
      <c r="E68" s="3185" t="s">
        <v>3453</v>
      </c>
      <c r="F68" s="3185">
        <v>1</v>
      </c>
    </row>
    <row r="69" spans="1:8" ht="15" customHeight="1">
      <c r="A69" s="3186">
        <v>67</v>
      </c>
      <c r="B69" s="3185" t="s">
        <v>3520</v>
      </c>
      <c r="C69" s="3188">
        <v>52.78</v>
      </c>
      <c r="D69" s="3185" t="s">
        <v>3465</v>
      </c>
      <c r="E69" s="3185" t="s">
        <v>3453</v>
      </c>
      <c r="F69" s="3185">
        <v>1</v>
      </c>
    </row>
    <row r="70" spans="1:8" ht="15" customHeight="1">
      <c r="A70" s="3186">
        <v>68</v>
      </c>
      <c r="B70" s="3185" t="s">
        <v>3521</v>
      </c>
      <c r="C70" s="3188">
        <v>78.83</v>
      </c>
      <c r="D70" s="3185" t="s">
        <v>3465</v>
      </c>
      <c r="E70" s="3185" t="s">
        <v>3453</v>
      </c>
      <c r="F70" s="3185">
        <v>1</v>
      </c>
    </row>
    <row r="71" spans="1:8" ht="15" customHeight="1">
      <c r="A71" s="3186">
        <v>69</v>
      </c>
      <c r="B71" s="3185" t="s">
        <v>3522</v>
      </c>
      <c r="C71" s="3188">
        <v>74.25</v>
      </c>
      <c r="D71" s="3185" t="s">
        <v>3465</v>
      </c>
      <c r="E71" s="3185" t="s">
        <v>3453</v>
      </c>
      <c r="F71" s="3185">
        <v>1</v>
      </c>
    </row>
    <row r="72" spans="1:8" ht="15" customHeight="1">
      <c r="A72" s="3186">
        <v>70</v>
      </c>
      <c r="B72" s="3185" t="s">
        <v>3523</v>
      </c>
      <c r="C72" s="3188">
        <v>74.25</v>
      </c>
      <c r="D72" s="3185" t="s">
        <v>3465</v>
      </c>
      <c r="E72" s="3185" t="s">
        <v>3453</v>
      </c>
      <c r="F72" s="3185">
        <v>1</v>
      </c>
    </row>
    <row r="73" spans="1:8" ht="15" customHeight="1">
      <c r="A73" s="3186">
        <v>71</v>
      </c>
      <c r="B73" s="3185" t="s">
        <v>3524</v>
      </c>
      <c r="C73" s="3188">
        <v>74.25</v>
      </c>
      <c r="D73" s="3185" t="s">
        <v>3465</v>
      </c>
      <c r="E73" s="3185" t="s">
        <v>3453</v>
      </c>
      <c r="F73" s="3185">
        <v>1</v>
      </c>
    </row>
    <row r="74" spans="1:8" ht="15" customHeight="1">
      <c r="A74" s="3186">
        <v>72</v>
      </c>
      <c r="B74" s="3185" t="s">
        <v>3525</v>
      </c>
      <c r="C74" s="3188">
        <v>74.25</v>
      </c>
      <c r="D74" s="3185" t="s">
        <v>3465</v>
      </c>
      <c r="E74" s="3185" t="s">
        <v>3453</v>
      </c>
      <c r="F74" s="3185">
        <v>1</v>
      </c>
    </row>
    <row r="75" spans="1:8" ht="15" customHeight="1">
      <c r="A75" s="3186">
        <v>73</v>
      </c>
      <c r="B75" s="3185" t="s">
        <v>3526</v>
      </c>
      <c r="C75" s="3188">
        <v>71.5</v>
      </c>
      <c r="D75" s="3185" t="s">
        <v>3465</v>
      </c>
      <c r="E75" s="3185" t="s">
        <v>3453</v>
      </c>
      <c r="F75" s="3185">
        <v>1</v>
      </c>
      <c r="G75" s="3182" t="s">
        <v>3653</v>
      </c>
      <c r="H75" s="3192">
        <f>SUM(C3:C75)</f>
        <v>4769.6500000000024</v>
      </c>
    </row>
    <row r="76" spans="1:8" ht="15" customHeight="1">
      <c r="A76" s="3186">
        <v>74</v>
      </c>
      <c r="B76" s="3185">
        <v>201</v>
      </c>
      <c r="C76" s="3188">
        <v>188.83</v>
      </c>
      <c r="D76" s="3185" t="s">
        <v>3465</v>
      </c>
      <c r="E76" s="3185" t="s">
        <v>3453</v>
      </c>
      <c r="F76" s="3185">
        <v>2</v>
      </c>
      <c r="G76" s="3182" t="s">
        <v>3654</v>
      </c>
      <c r="H76" s="3192">
        <f>SUM(C76:C215)</f>
        <v>7998.6000000000095</v>
      </c>
    </row>
    <row r="77" spans="1:8" ht="15" customHeight="1">
      <c r="A77" s="3186">
        <v>75</v>
      </c>
      <c r="B77" s="3185">
        <v>202</v>
      </c>
      <c r="C77" s="3188">
        <v>93.97</v>
      </c>
      <c r="D77" s="3185" t="s">
        <v>3465</v>
      </c>
      <c r="E77" s="3185" t="s">
        <v>3453</v>
      </c>
      <c r="F77" s="3185">
        <v>2</v>
      </c>
    </row>
    <row r="78" spans="1:8" ht="15" customHeight="1">
      <c r="A78" s="3186">
        <v>76</v>
      </c>
      <c r="B78" s="3185">
        <v>203</v>
      </c>
      <c r="C78" s="3188">
        <v>91.66</v>
      </c>
      <c r="D78" s="3185" t="s">
        <v>3465</v>
      </c>
      <c r="E78" s="3185" t="s">
        <v>3453</v>
      </c>
      <c r="F78" s="3185">
        <v>2</v>
      </c>
    </row>
    <row r="79" spans="1:8" ht="15" customHeight="1">
      <c r="A79" s="3186">
        <v>77</v>
      </c>
      <c r="B79" s="3185">
        <v>205</v>
      </c>
      <c r="C79" s="3188">
        <v>186.48</v>
      </c>
      <c r="D79" s="3185" t="s">
        <v>3465</v>
      </c>
      <c r="E79" s="3185" t="s">
        <v>3453</v>
      </c>
      <c r="F79" s="3185">
        <v>2</v>
      </c>
    </row>
    <row r="80" spans="1:8" ht="15" customHeight="1">
      <c r="A80" s="3186">
        <v>78</v>
      </c>
      <c r="B80" s="3185">
        <v>206</v>
      </c>
      <c r="C80" s="3188">
        <v>93.97</v>
      </c>
      <c r="D80" s="3185" t="s">
        <v>3465</v>
      </c>
      <c r="E80" s="3185" t="s">
        <v>3453</v>
      </c>
      <c r="F80" s="3185">
        <v>2</v>
      </c>
    </row>
    <row r="81" spans="1:6" ht="15" customHeight="1">
      <c r="A81" s="3186">
        <v>79</v>
      </c>
      <c r="B81" s="3185">
        <v>207</v>
      </c>
      <c r="C81" s="3188">
        <v>91.66</v>
      </c>
      <c r="D81" s="3185" t="s">
        <v>3465</v>
      </c>
      <c r="E81" s="3185" t="s">
        <v>3453</v>
      </c>
      <c r="F81" s="3185">
        <v>2</v>
      </c>
    </row>
    <row r="82" spans="1:6" ht="15" customHeight="1">
      <c r="A82" s="3186">
        <v>80</v>
      </c>
      <c r="B82" s="3185">
        <v>208</v>
      </c>
      <c r="C82" s="3188">
        <v>93.97</v>
      </c>
      <c r="D82" s="3185" t="s">
        <v>3465</v>
      </c>
      <c r="E82" s="3185" t="s">
        <v>3453</v>
      </c>
      <c r="F82" s="3185">
        <v>2</v>
      </c>
    </row>
    <row r="83" spans="1:6" ht="15" customHeight="1">
      <c r="A83" s="3186">
        <v>81</v>
      </c>
      <c r="B83" s="3185">
        <v>209</v>
      </c>
      <c r="C83" s="3188">
        <v>91.66</v>
      </c>
      <c r="D83" s="3185" t="s">
        <v>3465</v>
      </c>
      <c r="E83" s="3185" t="s">
        <v>3453</v>
      </c>
      <c r="F83" s="3185">
        <v>2</v>
      </c>
    </row>
    <row r="84" spans="1:6" ht="15" customHeight="1">
      <c r="A84" s="3186">
        <v>82</v>
      </c>
      <c r="B84" s="3185">
        <v>210</v>
      </c>
      <c r="C84" s="3188">
        <v>77.45</v>
      </c>
      <c r="D84" s="3185" t="s">
        <v>3465</v>
      </c>
      <c r="E84" s="3185" t="s">
        <v>3453</v>
      </c>
      <c r="F84" s="3185">
        <v>2</v>
      </c>
    </row>
    <row r="85" spans="1:6" ht="15" customHeight="1">
      <c r="A85" s="3186">
        <v>83</v>
      </c>
      <c r="B85" s="3185">
        <v>211</v>
      </c>
      <c r="C85" s="3188">
        <v>80.22</v>
      </c>
      <c r="D85" s="3185" t="s">
        <v>3465</v>
      </c>
      <c r="E85" s="3185" t="s">
        <v>3453</v>
      </c>
      <c r="F85" s="3185">
        <v>2</v>
      </c>
    </row>
    <row r="86" spans="1:6" ht="15" customHeight="1">
      <c r="A86" s="3186">
        <v>84</v>
      </c>
      <c r="B86" s="3185">
        <v>212</v>
      </c>
      <c r="C86" s="3188">
        <v>94.65</v>
      </c>
      <c r="D86" s="3185" t="s">
        <v>3465</v>
      </c>
      <c r="E86" s="3185" t="s">
        <v>3453</v>
      </c>
      <c r="F86" s="3185">
        <v>2</v>
      </c>
    </row>
    <row r="87" spans="1:6" ht="15" customHeight="1">
      <c r="A87" s="3186">
        <v>85</v>
      </c>
      <c r="B87" s="3185">
        <v>215</v>
      </c>
      <c r="C87" s="3188">
        <v>122.47</v>
      </c>
      <c r="D87" s="3185" t="s">
        <v>3465</v>
      </c>
      <c r="E87" s="3185" t="s">
        <v>3453</v>
      </c>
      <c r="F87" s="3185">
        <v>2</v>
      </c>
    </row>
    <row r="88" spans="1:6" ht="15" customHeight="1">
      <c r="A88" s="3186">
        <v>86</v>
      </c>
      <c r="B88" s="3185">
        <v>216</v>
      </c>
      <c r="C88" s="3188">
        <v>115.69</v>
      </c>
      <c r="D88" s="3185" t="s">
        <v>3465</v>
      </c>
      <c r="E88" s="3185" t="s">
        <v>3453</v>
      </c>
      <c r="F88" s="3185">
        <v>2</v>
      </c>
    </row>
    <row r="89" spans="1:6" ht="15" customHeight="1">
      <c r="A89" s="3186">
        <v>87</v>
      </c>
      <c r="B89" s="3185">
        <v>217</v>
      </c>
      <c r="C89" s="3188">
        <v>115.69</v>
      </c>
      <c r="D89" s="3185" t="s">
        <v>3465</v>
      </c>
      <c r="E89" s="3185" t="s">
        <v>3453</v>
      </c>
      <c r="F89" s="3185">
        <v>2</v>
      </c>
    </row>
    <row r="90" spans="1:6" ht="15" customHeight="1">
      <c r="A90" s="3186">
        <v>88</v>
      </c>
      <c r="B90" s="3185">
        <v>218</v>
      </c>
      <c r="C90" s="3190">
        <v>232.91</v>
      </c>
      <c r="D90" s="3185" t="s">
        <v>3465</v>
      </c>
      <c r="E90" s="3185" t="s">
        <v>3453</v>
      </c>
      <c r="F90" s="3185">
        <v>2</v>
      </c>
    </row>
    <row r="91" spans="1:6" ht="15" customHeight="1">
      <c r="A91" s="3186">
        <v>89</v>
      </c>
      <c r="B91" s="3185">
        <v>219</v>
      </c>
      <c r="C91" s="3188">
        <v>115.69</v>
      </c>
      <c r="D91" s="3185" t="s">
        <v>3465</v>
      </c>
      <c r="E91" s="3185" t="s">
        <v>3453</v>
      </c>
      <c r="F91" s="3185">
        <v>2</v>
      </c>
    </row>
    <row r="92" spans="1:6" ht="15" customHeight="1">
      <c r="A92" s="3186">
        <v>90</v>
      </c>
      <c r="B92" s="3185">
        <v>220</v>
      </c>
      <c r="C92" s="3188">
        <v>165.27</v>
      </c>
      <c r="D92" s="3185" t="s">
        <v>3465</v>
      </c>
      <c r="E92" s="3185" t="s">
        <v>3453</v>
      </c>
      <c r="F92" s="3185">
        <v>2</v>
      </c>
    </row>
    <row r="93" spans="1:6" ht="15" customHeight="1">
      <c r="A93" s="3186">
        <v>91</v>
      </c>
      <c r="B93" s="3185">
        <v>221</v>
      </c>
      <c r="C93" s="3188">
        <v>88.25</v>
      </c>
      <c r="D93" s="3185" t="s">
        <v>3465</v>
      </c>
      <c r="E93" s="3185" t="s">
        <v>3453</v>
      </c>
      <c r="F93" s="3185">
        <v>2</v>
      </c>
    </row>
    <row r="94" spans="1:6" ht="15" customHeight="1">
      <c r="A94" s="3186">
        <v>92</v>
      </c>
      <c r="B94" s="3185">
        <v>222</v>
      </c>
      <c r="C94" s="3188">
        <v>87.42</v>
      </c>
      <c r="D94" s="3185" t="s">
        <v>3465</v>
      </c>
      <c r="E94" s="3185" t="s">
        <v>3453</v>
      </c>
      <c r="F94" s="3185">
        <v>2</v>
      </c>
    </row>
    <row r="95" spans="1:6" ht="15" customHeight="1">
      <c r="A95" s="3186">
        <v>93</v>
      </c>
      <c r="B95" s="3185">
        <v>223</v>
      </c>
      <c r="C95" s="3188">
        <v>86.59</v>
      </c>
      <c r="D95" s="3185" t="s">
        <v>3465</v>
      </c>
      <c r="E95" s="3185" t="s">
        <v>3453</v>
      </c>
      <c r="F95" s="3185">
        <v>2</v>
      </c>
    </row>
    <row r="96" spans="1:6" ht="15" customHeight="1">
      <c r="A96" s="3186">
        <v>94</v>
      </c>
      <c r="B96" s="3185">
        <v>225</v>
      </c>
      <c r="C96" s="3188">
        <v>85.74</v>
      </c>
      <c r="D96" s="3185" t="s">
        <v>3465</v>
      </c>
      <c r="E96" s="3185" t="s">
        <v>3453</v>
      </c>
      <c r="F96" s="3185">
        <v>2</v>
      </c>
    </row>
    <row r="97" spans="1:6" ht="15" customHeight="1">
      <c r="A97" s="3186">
        <v>95</v>
      </c>
      <c r="B97" s="3185">
        <v>226</v>
      </c>
      <c r="C97" s="3188">
        <v>84.91</v>
      </c>
      <c r="D97" s="3185" t="s">
        <v>3465</v>
      </c>
      <c r="E97" s="3185" t="s">
        <v>3453</v>
      </c>
      <c r="F97" s="3185">
        <v>2</v>
      </c>
    </row>
    <row r="98" spans="1:6" ht="15" customHeight="1">
      <c r="A98" s="3186">
        <v>96</v>
      </c>
      <c r="B98" s="3185">
        <v>227</v>
      </c>
      <c r="C98" s="3188">
        <v>84.08</v>
      </c>
      <c r="D98" s="3185" t="s">
        <v>3465</v>
      </c>
      <c r="E98" s="3185" t="s">
        <v>3453</v>
      </c>
      <c r="F98" s="3185">
        <v>2</v>
      </c>
    </row>
    <row r="99" spans="1:6" ht="15" customHeight="1">
      <c r="A99" s="3186">
        <v>97</v>
      </c>
      <c r="B99" s="3185">
        <v>228</v>
      </c>
      <c r="C99" s="3188">
        <v>83.24</v>
      </c>
      <c r="D99" s="3185" t="s">
        <v>3465</v>
      </c>
      <c r="E99" s="3185" t="s">
        <v>3453</v>
      </c>
      <c r="F99" s="3185">
        <v>2</v>
      </c>
    </row>
    <row r="100" spans="1:6" ht="15" customHeight="1">
      <c r="A100" s="3186">
        <v>98</v>
      </c>
      <c r="B100" s="3185">
        <v>229</v>
      </c>
      <c r="C100" s="3188">
        <v>82.39</v>
      </c>
      <c r="D100" s="3185" t="s">
        <v>3465</v>
      </c>
      <c r="E100" s="3185" t="s">
        <v>3453</v>
      </c>
      <c r="F100" s="3185">
        <v>2</v>
      </c>
    </row>
    <row r="101" spans="1:6" ht="15" customHeight="1">
      <c r="A101" s="3186">
        <v>99</v>
      </c>
      <c r="B101" s="3185">
        <v>230</v>
      </c>
      <c r="C101" s="3188">
        <v>79.56</v>
      </c>
      <c r="D101" s="3185" t="s">
        <v>3465</v>
      </c>
      <c r="E101" s="3185" t="s">
        <v>3453</v>
      </c>
      <c r="F101" s="3185">
        <v>2</v>
      </c>
    </row>
    <row r="102" spans="1:6" ht="15" customHeight="1">
      <c r="A102" s="3186">
        <v>100</v>
      </c>
      <c r="B102" s="3185">
        <v>231</v>
      </c>
      <c r="C102" s="3188">
        <v>163.82</v>
      </c>
      <c r="D102" s="3185" t="s">
        <v>3465</v>
      </c>
      <c r="E102" s="3185" t="s">
        <v>3453</v>
      </c>
      <c r="F102" s="3185">
        <v>2</v>
      </c>
    </row>
    <row r="103" spans="1:6" ht="15" customHeight="1">
      <c r="A103" s="3186">
        <v>101</v>
      </c>
      <c r="B103" s="3185" t="s">
        <v>3527</v>
      </c>
      <c r="C103" s="3188">
        <v>57.56</v>
      </c>
      <c r="D103" s="3185" t="s">
        <v>3465</v>
      </c>
      <c r="E103" s="3185" t="s">
        <v>3453</v>
      </c>
      <c r="F103" s="3185">
        <v>2</v>
      </c>
    </row>
    <row r="104" spans="1:6" ht="15" customHeight="1">
      <c r="A104" s="3186">
        <v>102</v>
      </c>
      <c r="B104" s="3185" t="s">
        <v>3528</v>
      </c>
      <c r="C104" s="3188">
        <v>62.16</v>
      </c>
      <c r="D104" s="3185" t="s">
        <v>3465</v>
      </c>
      <c r="E104" s="3185" t="s">
        <v>3453</v>
      </c>
      <c r="F104" s="3185">
        <v>2</v>
      </c>
    </row>
    <row r="105" spans="1:6" ht="15" customHeight="1">
      <c r="A105" s="3186">
        <v>103</v>
      </c>
      <c r="B105" s="3185" t="s">
        <v>3529</v>
      </c>
      <c r="C105" s="3188">
        <v>55.28</v>
      </c>
      <c r="D105" s="3185" t="s">
        <v>3465</v>
      </c>
      <c r="E105" s="3185" t="s">
        <v>3453</v>
      </c>
      <c r="F105" s="3185">
        <v>2</v>
      </c>
    </row>
    <row r="106" spans="1:6" ht="15" customHeight="1">
      <c r="A106" s="3186">
        <v>104</v>
      </c>
      <c r="B106" s="3185" t="s">
        <v>3530</v>
      </c>
      <c r="C106" s="3188">
        <v>68.47</v>
      </c>
      <c r="D106" s="3185" t="s">
        <v>3465</v>
      </c>
      <c r="E106" s="3185" t="s">
        <v>3453</v>
      </c>
      <c r="F106" s="3185">
        <v>2</v>
      </c>
    </row>
    <row r="107" spans="1:6" ht="15" customHeight="1">
      <c r="A107" s="3186">
        <v>105</v>
      </c>
      <c r="B107" s="3185" t="s">
        <v>3531</v>
      </c>
      <c r="C107" s="3188">
        <v>63.01</v>
      </c>
      <c r="D107" s="3185" t="s">
        <v>3465</v>
      </c>
      <c r="E107" s="3185" t="s">
        <v>3453</v>
      </c>
      <c r="F107" s="3185">
        <v>2</v>
      </c>
    </row>
    <row r="108" spans="1:6" ht="15" customHeight="1">
      <c r="A108" s="3186">
        <v>106</v>
      </c>
      <c r="B108" s="3185" t="s">
        <v>3532</v>
      </c>
      <c r="C108" s="3188">
        <v>63.01</v>
      </c>
      <c r="D108" s="3185" t="s">
        <v>3465</v>
      </c>
      <c r="E108" s="3185" t="s">
        <v>3453</v>
      </c>
      <c r="F108" s="3185">
        <v>2</v>
      </c>
    </row>
    <row r="109" spans="1:6" ht="15" customHeight="1">
      <c r="A109" s="3186">
        <v>107</v>
      </c>
      <c r="B109" s="3185" t="s">
        <v>3533</v>
      </c>
      <c r="C109" s="3188">
        <v>63.01</v>
      </c>
      <c r="D109" s="3185" t="s">
        <v>3465</v>
      </c>
      <c r="E109" s="3185" t="s">
        <v>3453</v>
      </c>
      <c r="F109" s="3185">
        <v>2</v>
      </c>
    </row>
    <row r="110" spans="1:6" ht="15" customHeight="1">
      <c r="A110" s="3186">
        <v>108</v>
      </c>
      <c r="B110" s="3185" t="s">
        <v>3534</v>
      </c>
      <c r="C110" s="3188">
        <v>63.01</v>
      </c>
      <c r="D110" s="3185" t="s">
        <v>3465</v>
      </c>
      <c r="E110" s="3185" t="s">
        <v>3453</v>
      </c>
      <c r="F110" s="3185">
        <v>2</v>
      </c>
    </row>
    <row r="111" spans="1:6" ht="15" customHeight="1">
      <c r="A111" s="3186">
        <v>109</v>
      </c>
      <c r="B111" s="3185" t="s">
        <v>3535</v>
      </c>
      <c r="C111" s="3188">
        <v>63.01</v>
      </c>
      <c r="D111" s="3185" t="s">
        <v>3465</v>
      </c>
      <c r="E111" s="3185" t="s">
        <v>3453</v>
      </c>
      <c r="F111" s="3185">
        <v>2</v>
      </c>
    </row>
    <row r="112" spans="1:6" ht="15" customHeight="1">
      <c r="A112" s="3186">
        <v>110</v>
      </c>
      <c r="B112" s="3185" t="s">
        <v>3536</v>
      </c>
      <c r="C112" s="3188">
        <v>63.01</v>
      </c>
      <c r="D112" s="3185" t="s">
        <v>3465</v>
      </c>
      <c r="E112" s="3185" t="s">
        <v>3453</v>
      </c>
      <c r="F112" s="3185">
        <v>2</v>
      </c>
    </row>
    <row r="113" spans="1:6" ht="15" customHeight="1">
      <c r="A113" s="3186">
        <v>111</v>
      </c>
      <c r="B113" s="3185" t="s">
        <v>3537</v>
      </c>
      <c r="C113" s="3188">
        <v>68.47</v>
      </c>
      <c r="D113" s="3185" t="s">
        <v>3465</v>
      </c>
      <c r="E113" s="3185" t="s">
        <v>3453</v>
      </c>
      <c r="F113" s="3185">
        <v>2</v>
      </c>
    </row>
    <row r="114" spans="1:6" ht="15" customHeight="1">
      <c r="A114" s="3186">
        <v>112</v>
      </c>
      <c r="B114" s="3185" t="s">
        <v>3538</v>
      </c>
      <c r="C114" s="3188">
        <v>45.02</v>
      </c>
      <c r="D114" s="3185" t="s">
        <v>3465</v>
      </c>
      <c r="E114" s="3185" t="s">
        <v>3453</v>
      </c>
      <c r="F114" s="3185">
        <v>2</v>
      </c>
    </row>
    <row r="115" spans="1:6" ht="15" customHeight="1">
      <c r="A115" s="3186">
        <v>113</v>
      </c>
      <c r="B115" s="3185" t="s">
        <v>3539</v>
      </c>
      <c r="C115" s="3188">
        <v>41.44</v>
      </c>
      <c r="D115" s="3185" t="s">
        <v>3465</v>
      </c>
      <c r="E115" s="3185" t="s">
        <v>3453</v>
      </c>
      <c r="F115" s="3185">
        <v>2</v>
      </c>
    </row>
    <row r="116" spans="1:6" ht="15" customHeight="1">
      <c r="A116" s="3186">
        <v>114</v>
      </c>
      <c r="B116" s="3185" t="s">
        <v>3540</v>
      </c>
      <c r="C116" s="3188">
        <v>41.44</v>
      </c>
      <c r="D116" s="3185" t="s">
        <v>3465</v>
      </c>
      <c r="E116" s="3185" t="s">
        <v>3453</v>
      </c>
      <c r="F116" s="3185">
        <v>2</v>
      </c>
    </row>
    <row r="117" spans="1:6" ht="15" customHeight="1">
      <c r="A117" s="3186">
        <v>115</v>
      </c>
      <c r="B117" s="3185" t="s">
        <v>3541</v>
      </c>
      <c r="C117" s="3188">
        <v>40.82</v>
      </c>
      <c r="D117" s="3185" t="s">
        <v>3465</v>
      </c>
      <c r="E117" s="3185" t="s">
        <v>3453</v>
      </c>
      <c r="F117" s="3185">
        <v>2</v>
      </c>
    </row>
    <row r="118" spans="1:6" ht="15" customHeight="1">
      <c r="A118" s="3186">
        <v>116</v>
      </c>
      <c r="B118" s="3185" t="s">
        <v>3542</v>
      </c>
      <c r="C118" s="3188">
        <v>42.06</v>
      </c>
      <c r="D118" s="3185" t="s">
        <v>3465</v>
      </c>
      <c r="E118" s="3185" t="s">
        <v>3453</v>
      </c>
      <c r="F118" s="3185">
        <v>2</v>
      </c>
    </row>
    <row r="119" spans="1:6" ht="15" customHeight="1">
      <c r="A119" s="3186">
        <v>117</v>
      </c>
      <c r="B119" s="3185" t="s">
        <v>3543</v>
      </c>
      <c r="C119" s="3188">
        <v>41.44</v>
      </c>
      <c r="D119" s="3185" t="s">
        <v>3465</v>
      </c>
      <c r="E119" s="3185" t="s">
        <v>3453</v>
      </c>
      <c r="F119" s="3185">
        <v>2</v>
      </c>
    </row>
    <row r="120" spans="1:6" ht="15" customHeight="1">
      <c r="A120" s="3186">
        <v>118</v>
      </c>
      <c r="B120" s="3185" t="s">
        <v>3544</v>
      </c>
      <c r="C120" s="3188">
        <v>41.44</v>
      </c>
      <c r="D120" s="3185" t="s">
        <v>3465</v>
      </c>
      <c r="E120" s="3185" t="s">
        <v>3453</v>
      </c>
      <c r="F120" s="3185">
        <v>2</v>
      </c>
    </row>
    <row r="121" spans="1:6" ht="15" customHeight="1">
      <c r="A121" s="3186">
        <v>119</v>
      </c>
      <c r="B121" s="3185" t="s">
        <v>3545</v>
      </c>
      <c r="C121" s="3188">
        <v>45.02</v>
      </c>
      <c r="D121" s="3185" t="s">
        <v>3465</v>
      </c>
      <c r="E121" s="3185" t="s">
        <v>3453</v>
      </c>
      <c r="F121" s="3185">
        <v>2</v>
      </c>
    </row>
    <row r="122" spans="1:6" ht="15" customHeight="1">
      <c r="A122" s="3186">
        <v>120</v>
      </c>
      <c r="B122" s="3185" t="s">
        <v>3546</v>
      </c>
      <c r="C122" s="3188">
        <v>44.55</v>
      </c>
      <c r="D122" s="3185" t="s">
        <v>3465</v>
      </c>
      <c r="E122" s="3185" t="s">
        <v>3453</v>
      </c>
      <c r="F122" s="3185">
        <v>2</v>
      </c>
    </row>
    <row r="123" spans="1:6" ht="15" customHeight="1">
      <c r="A123" s="3186">
        <v>121</v>
      </c>
      <c r="B123" s="3185" t="s">
        <v>3547</v>
      </c>
      <c r="C123" s="3188">
        <v>41.01</v>
      </c>
      <c r="D123" s="3185" t="s">
        <v>3465</v>
      </c>
      <c r="E123" s="3185" t="s">
        <v>3453</v>
      </c>
      <c r="F123" s="3185">
        <v>2</v>
      </c>
    </row>
    <row r="124" spans="1:6" ht="15" customHeight="1">
      <c r="A124" s="3186">
        <v>122</v>
      </c>
      <c r="B124" s="3185" t="s">
        <v>3548</v>
      </c>
      <c r="C124" s="3188">
        <v>41.01</v>
      </c>
      <c r="D124" s="3185" t="s">
        <v>3465</v>
      </c>
      <c r="E124" s="3185" t="s">
        <v>3453</v>
      </c>
      <c r="F124" s="3185">
        <v>2</v>
      </c>
    </row>
    <row r="125" spans="1:6" ht="15" customHeight="1">
      <c r="A125" s="3186">
        <v>123</v>
      </c>
      <c r="B125" s="3185" t="s">
        <v>3549</v>
      </c>
      <c r="C125" s="3188">
        <v>41.01</v>
      </c>
      <c r="D125" s="3185" t="s">
        <v>3465</v>
      </c>
      <c r="E125" s="3185" t="s">
        <v>3453</v>
      </c>
      <c r="F125" s="3185">
        <v>2</v>
      </c>
    </row>
    <row r="126" spans="1:6" ht="15" customHeight="1">
      <c r="A126" s="3186">
        <v>124</v>
      </c>
      <c r="B126" s="3185" t="s">
        <v>3550</v>
      </c>
      <c r="C126" s="3188">
        <v>41.01</v>
      </c>
      <c r="D126" s="3185" t="s">
        <v>3465</v>
      </c>
      <c r="E126" s="3185" t="s">
        <v>3453</v>
      </c>
      <c r="F126" s="3185">
        <v>2</v>
      </c>
    </row>
    <row r="127" spans="1:6" ht="15" customHeight="1">
      <c r="A127" s="3186">
        <v>125</v>
      </c>
      <c r="B127" s="3185" t="s">
        <v>3551</v>
      </c>
      <c r="C127" s="3188">
        <v>41.01</v>
      </c>
      <c r="D127" s="3185" t="s">
        <v>3465</v>
      </c>
      <c r="E127" s="3185" t="s">
        <v>3453</v>
      </c>
      <c r="F127" s="3185">
        <v>2</v>
      </c>
    </row>
    <row r="128" spans="1:6" ht="15" customHeight="1">
      <c r="A128" s="3186">
        <v>126</v>
      </c>
      <c r="B128" s="3185" t="s">
        <v>3552</v>
      </c>
      <c r="C128" s="3188">
        <v>41.01</v>
      </c>
      <c r="D128" s="3185" t="s">
        <v>3465</v>
      </c>
      <c r="E128" s="3185" t="s">
        <v>3453</v>
      </c>
      <c r="F128" s="3185">
        <v>2</v>
      </c>
    </row>
    <row r="129" spans="1:6" ht="15" customHeight="1">
      <c r="A129" s="3186">
        <v>127</v>
      </c>
      <c r="B129" s="3185" t="s">
        <v>3553</v>
      </c>
      <c r="C129" s="3188">
        <v>44.55</v>
      </c>
      <c r="D129" s="3185" t="s">
        <v>3465</v>
      </c>
      <c r="E129" s="3185" t="s">
        <v>3453</v>
      </c>
      <c r="F129" s="3185">
        <v>2</v>
      </c>
    </row>
    <row r="130" spans="1:6" ht="15" customHeight="1">
      <c r="A130" s="3186">
        <v>128</v>
      </c>
      <c r="B130" s="3185" t="s">
        <v>3554</v>
      </c>
      <c r="C130" s="3188">
        <v>44.55</v>
      </c>
      <c r="D130" s="3185" t="s">
        <v>3465</v>
      </c>
      <c r="E130" s="3185" t="s">
        <v>3453</v>
      </c>
      <c r="F130" s="3185">
        <v>2</v>
      </c>
    </row>
    <row r="131" spans="1:6" ht="15" customHeight="1">
      <c r="A131" s="3186">
        <v>129</v>
      </c>
      <c r="B131" s="3185" t="s">
        <v>3555</v>
      </c>
      <c r="C131" s="3188">
        <v>41.01</v>
      </c>
      <c r="D131" s="3185" t="s">
        <v>3465</v>
      </c>
      <c r="E131" s="3185" t="s">
        <v>3453</v>
      </c>
      <c r="F131" s="3185">
        <v>2</v>
      </c>
    </row>
    <row r="132" spans="1:6" ht="15" customHeight="1">
      <c r="A132" s="3186">
        <v>130</v>
      </c>
      <c r="B132" s="3185" t="s">
        <v>3556</v>
      </c>
      <c r="C132" s="3188">
        <v>41.01</v>
      </c>
      <c r="D132" s="3185" t="s">
        <v>3465</v>
      </c>
      <c r="E132" s="3185" t="s">
        <v>3453</v>
      </c>
      <c r="F132" s="3185">
        <v>2</v>
      </c>
    </row>
    <row r="133" spans="1:6" ht="15" customHeight="1">
      <c r="A133" s="3186">
        <v>131</v>
      </c>
      <c r="B133" s="3185" t="s">
        <v>3557</v>
      </c>
      <c r="C133" s="3188">
        <v>41.01</v>
      </c>
      <c r="D133" s="3185" t="s">
        <v>3465</v>
      </c>
      <c r="E133" s="3185" t="s">
        <v>3453</v>
      </c>
      <c r="F133" s="3185">
        <v>2</v>
      </c>
    </row>
    <row r="134" spans="1:6" ht="15" customHeight="1">
      <c r="A134" s="3186">
        <v>132</v>
      </c>
      <c r="B134" s="3185" t="s">
        <v>3558</v>
      </c>
      <c r="C134" s="3188">
        <v>41.01</v>
      </c>
      <c r="D134" s="3185" t="s">
        <v>3465</v>
      </c>
      <c r="E134" s="3185" t="s">
        <v>3453</v>
      </c>
      <c r="F134" s="3185">
        <v>2</v>
      </c>
    </row>
    <row r="135" spans="1:6" ht="15" customHeight="1">
      <c r="A135" s="3186">
        <v>133</v>
      </c>
      <c r="B135" s="3185" t="s">
        <v>3559</v>
      </c>
      <c r="C135" s="3188">
        <v>41.01</v>
      </c>
      <c r="D135" s="3185" t="s">
        <v>3465</v>
      </c>
      <c r="E135" s="3185" t="s">
        <v>3453</v>
      </c>
      <c r="F135" s="3185">
        <v>2</v>
      </c>
    </row>
    <row r="136" spans="1:6" ht="15" customHeight="1">
      <c r="A136" s="3186">
        <v>134</v>
      </c>
      <c r="B136" s="3185" t="s">
        <v>3560</v>
      </c>
      <c r="C136" s="3188">
        <v>41.01</v>
      </c>
      <c r="D136" s="3185" t="s">
        <v>3465</v>
      </c>
      <c r="E136" s="3185" t="s">
        <v>3453</v>
      </c>
      <c r="F136" s="3185">
        <v>2</v>
      </c>
    </row>
    <row r="137" spans="1:6" ht="15" customHeight="1">
      <c r="A137" s="3186">
        <v>135</v>
      </c>
      <c r="B137" s="3185" t="s">
        <v>3561</v>
      </c>
      <c r="C137" s="3188">
        <v>37.520000000000003</v>
      </c>
      <c r="D137" s="3185" t="s">
        <v>3465</v>
      </c>
      <c r="E137" s="3185" t="s">
        <v>3453</v>
      </c>
      <c r="F137" s="3185">
        <v>2</v>
      </c>
    </row>
    <row r="138" spans="1:6" ht="15" customHeight="1">
      <c r="A138" s="3186">
        <v>136</v>
      </c>
      <c r="B138" s="3185" t="s">
        <v>3562</v>
      </c>
      <c r="C138" s="3188">
        <v>44.04</v>
      </c>
      <c r="D138" s="3185" t="s">
        <v>3465</v>
      </c>
      <c r="E138" s="3185" t="s">
        <v>3453</v>
      </c>
      <c r="F138" s="3185">
        <v>2</v>
      </c>
    </row>
    <row r="139" spans="1:6" ht="15" customHeight="1">
      <c r="A139" s="3186">
        <v>137</v>
      </c>
      <c r="B139" s="3185" t="s">
        <v>3563</v>
      </c>
      <c r="C139" s="3188">
        <v>44.04</v>
      </c>
      <c r="D139" s="3185" t="s">
        <v>3465</v>
      </c>
      <c r="E139" s="3185" t="s">
        <v>3453</v>
      </c>
      <c r="F139" s="3185">
        <v>2</v>
      </c>
    </row>
    <row r="140" spans="1:6" ht="15" customHeight="1">
      <c r="A140" s="3186">
        <v>138</v>
      </c>
      <c r="B140" s="3185" t="s">
        <v>3564</v>
      </c>
      <c r="C140" s="3188">
        <v>44.04</v>
      </c>
      <c r="D140" s="3185" t="s">
        <v>3465</v>
      </c>
      <c r="E140" s="3185" t="s">
        <v>3453</v>
      </c>
      <c r="F140" s="3185">
        <v>2</v>
      </c>
    </row>
    <row r="141" spans="1:6" ht="15" customHeight="1">
      <c r="A141" s="3186">
        <v>139</v>
      </c>
      <c r="B141" s="3185" t="s">
        <v>3565</v>
      </c>
      <c r="C141" s="3188">
        <v>44.04</v>
      </c>
      <c r="D141" s="3185" t="s">
        <v>3465</v>
      </c>
      <c r="E141" s="3185" t="s">
        <v>3453</v>
      </c>
      <c r="F141" s="3185">
        <v>2</v>
      </c>
    </row>
    <row r="142" spans="1:6" ht="15" customHeight="1">
      <c r="A142" s="3186">
        <v>140</v>
      </c>
      <c r="B142" s="3185" t="s">
        <v>3566</v>
      </c>
      <c r="C142" s="3188">
        <v>44.04</v>
      </c>
      <c r="D142" s="3185" t="s">
        <v>3465</v>
      </c>
      <c r="E142" s="3185" t="s">
        <v>3453</v>
      </c>
      <c r="F142" s="3185">
        <v>2</v>
      </c>
    </row>
    <row r="143" spans="1:6" ht="15" customHeight="1">
      <c r="A143" s="3186">
        <v>141</v>
      </c>
      <c r="B143" s="3185" t="s">
        <v>3567</v>
      </c>
      <c r="C143" s="3188">
        <v>44.04</v>
      </c>
      <c r="D143" s="3185" t="s">
        <v>3465</v>
      </c>
      <c r="E143" s="3185" t="s">
        <v>3453</v>
      </c>
      <c r="F143" s="3185">
        <v>2</v>
      </c>
    </row>
    <row r="144" spans="1:6" ht="15" customHeight="1">
      <c r="A144" s="3186">
        <v>142</v>
      </c>
      <c r="B144" s="3185" t="s">
        <v>3568</v>
      </c>
      <c r="C144" s="3188">
        <v>29.35</v>
      </c>
      <c r="D144" s="3185" t="s">
        <v>3465</v>
      </c>
      <c r="E144" s="3185" t="s">
        <v>3453</v>
      </c>
      <c r="F144" s="3185">
        <v>2</v>
      </c>
    </row>
    <row r="145" spans="1:6" ht="15" customHeight="1">
      <c r="A145" s="3186">
        <v>143</v>
      </c>
      <c r="B145" s="3185" t="s">
        <v>3569</v>
      </c>
      <c r="C145" s="3188">
        <v>29.35</v>
      </c>
      <c r="D145" s="3185" t="s">
        <v>3465</v>
      </c>
      <c r="E145" s="3185" t="s">
        <v>3453</v>
      </c>
      <c r="F145" s="3185">
        <v>2</v>
      </c>
    </row>
    <row r="146" spans="1:6" ht="15" customHeight="1">
      <c r="A146" s="3186">
        <v>144</v>
      </c>
      <c r="B146" s="3185" t="s">
        <v>3570</v>
      </c>
      <c r="C146" s="3188">
        <v>29.65</v>
      </c>
      <c r="D146" s="3185" t="s">
        <v>3465</v>
      </c>
      <c r="E146" s="3185" t="s">
        <v>3453</v>
      </c>
      <c r="F146" s="3185">
        <v>2</v>
      </c>
    </row>
    <row r="147" spans="1:6" ht="15" customHeight="1">
      <c r="A147" s="3186">
        <v>145</v>
      </c>
      <c r="B147" s="3185" t="s">
        <v>3571</v>
      </c>
      <c r="C147" s="3188">
        <v>29.06</v>
      </c>
      <c r="D147" s="3185" t="s">
        <v>3465</v>
      </c>
      <c r="E147" s="3185" t="s">
        <v>3453</v>
      </c>
      <c r="F147" s="3185">
        <v>2</v>
      </c>
    </row>
    <row r="148" spans="1:6" ht="15" customHeight="1">
      <c r="A148" s="3186">
        <v>146</v>
      </c>
      <c r="B148" s="3185" t="s">
        <v>3572</v>
      </c>
      <c r="C148" s="3188">
        <v>29.35</v>
      </c>
      <c r="D148" s="3185" t="s">
        <v>3465</v>
      </c>
      <c r="E148" s="3185" t="s">
        <v>3453</v>
      </c>
      <c r="F148" s="3185">
        <v>2</v>
      </c>
    </row>
    <row r="149" spans="1:6" ht="15" customHeight="1">
      <c r="A149" s="3186">
        <v>147</v>
      </c>
      <c r="B149" s="3185" t="s">
        <v>3573</v>
      </c>
      <c r="C149" s="3188">
        <v>29.35</v>
      </c>
      <c r="D149" s="3185" t="s">
        <v>3465</v>
      </c>
      <c r="E149" s="3185" t="s">
        <v>3453</v>
      </c>
      <c r="F149" s="3185">
        <v>2</v>
      </c>
    </row>
    <row r="150" spans="1:6" ht="15" customHeight="1">
      <c r="A150" s="3186">
        <v>148</v>
      </c>
      <c r="B150" s="3185" t="s">
        <v>3574</v>
      </c>
      <c r="C150" s="3188">
        <v>43.17</v>
      </c>
      <c r="D150" s="3185" t="s">
        <v>3465</v>
      </c>
      <c r="E150" s="3185" t="s">
        <v>3453</v>
      </c>
      <c r="F150" s="3185">
        <v>2</v>
      </c>
    </row>
    <row r="151" spans="1:6" ht="15" customHeight="1">
      <c r="A151" s="3186">
        <v>149</v>
      </c>
      <c r="B151" s="3185" t="s">
        <v>3575</v>
      </c>
      <c r="C151" s="3188">
        <v>43.17</v>
      </c>
      <c r="D151" s="3185" t="s">
        <v>3465</v>
      </c>
      <c r="E151" s="3185" t="s">
        <v>3453</v>
      </c>
      <c r="F151" s="3185">
        <v>2</v>
      </c>
    </row>
    <row r="152" spans="1:6" ht="15" customHeight="1">
      <c r="A152" s="3186">
        <v>150</v>
      </c>
      <c r="B152" s="3185" t="s">
        <v>3576</v>
      </c>
      <c r="C152" s="3188">
        <v>43.17</v>
      </c>
      <c r="D152" s="3185" t="s">
        <v>3465</v>
      </c>
      <c r="E152" s="3185" t="s">
        <v>3453</v>
      </c>
      <c r="F152" s="3185">
        <v>2</v>
      </c>
    </row>
    <row r="153" spans="1:6" ht="15" customHeight="1">
      <c r="A153" s="3186">
        <v>151</v>
      </c>
      <c r="B153" s="3185" t="s">
        <v>3577</v>
      </c>
      <c r="C153" s="3188">
        <v>43.17</v>
      </c>
      <c r="D153" s="3185" t="s">
        <v>3465</v>
      </c>
      <c r="E153" s="3185" t="s">
        <v>3453</v>
      </c>
      <c r="F153" s="3185">
        <v>2</v>
      </c>
    </row>
    <row r="154" spans="1:6" ht="15" customHeight="1">
      <c r="A154" s="3186">
        <v>152</v>
      </c>
      <c r="B154" s="3185" t="s">
        <v>3578</v>
      </c>
      <c r="C154" s="3188">
        <v>43.17</v>
      </c>
      <c r="D154" s="3185" t="s">
        <v>3465</v>
      </c>
      <c r="E154" s="3185" t="s">
        <v>3453</v>
      </c>
      <c r="F154" s="3185">
        <v>2</v>
      </c>
    </row>
    <row r="155" spans="1:6" ht="15" customHeight="1">
      <c r="A155" s="3186">
        <v>153</v>
      </c>
      <c r="B155" s="3185" t="s">
        <v>3579</v>
      </c>
      <c r="C155" s="3188">
        <v>43.17</v>
      </c>
      <c r="D155" s="3185" t="s">
        <v>3465</v>
      </c>
      <c r="E155" s="3185" t="s">
        <v>3453</v>
      </c>
      <c r="F155" s="3185">
        <v>2</v>
      </c>
    </row>
    <row r="156" spans="1:6" ht="15" customHeight="1">
      <c r="A156" s="3186">
        <v>154</v>
      </c>
      <c r="B156" s="3185" t="s">
        <v>3580</v>
      </c>
      <c r="C156" s="3188">
        <v>43.17</v>
      </c>
      <c r="D156" s="3185" t="s">
        <v>3465</v>
      </c>
      <c r="E156" s="3185" t="s">
        <v>3453</v>
      </c>
      <c r="F156" s="3185">
        <v>2</v>
      </c>
    </row>
    <row r="157" spans="1:6" ht="15" customHeight="1">
      <c r="A157" s="3186">
        <v>155</v>
      </c>
      <c r="B157" s="3185" t="s">
        <v>3581</v>
      </c>
      <c r="C157" s="3188">
        <v>43.17</v>
      </c>
      <c r="D157" s="3185" t="s">
        <v>3465</v>
      </c>
      <c r="E157" s="3185" t="s">
        <v>3453</v>
      </c>
      <c r="F157" s="3185">
        <v>2</v>
      </c>
    </row>
    <row r="158" spans="1:6" ht="15" customHeight="1">
      <c r="A158" s="3186">
        <v>156</v>
      </c>
      <c r="B158" s="3185" t="s">
        <v>3582</v>
      </c>
      <c r="C158" s="3188">
        <v>72.099999999999994</v>
      </c>
      <c r="D158" s="3185" t="s">
        <v>3465</v>
      </c>
      <c r="E158" s="3185" t="s">
        <v>3453</v>
      </c>
      <c r="F158" s="3185">
        <v>2</v>
      </c>
    </row>
    <row r="159" spans="1:6" ht="15" customHeight="1">
      <c r="A159" s="3186">
        <v>157</v>
      </c>
      <c r="B159" s="3185" t="s">
        <v>3583</v>
      </c>
      <c r="C159" s="3188">
        <v>72.099999999999994</v>
      </c>
      <c r="D159" s="3185" t="s">
        <v>3465</v>
      </c>
      <c r="E159" s="3185" t="s">
        <v>3453</v>
      </c>
      <c r="F159" s="3185">
        <v>2</v>
      </c>
    </row>
    <row r="160" spans="1:6" ht="15" customHeight="1">
      <c r="A160" s="3186">
        <v>158</v>
      </c>
      <c r="B160" s="3185" t="s">
        <v>3584</v>
      </c>
      <c r="C160" s="3188">
        <v>72.099999999999994</v>
      </c>
      <c r="D160" s="3185" t="s">
        <v>3465</v>
      </c>
      <c r="E160" s="3185" t="s">
        <v>3453</v>
      </c>
      <c r="F160" s="3185">
        <v>2</v>
      </c>
    </row>
    <row r="161" spans="1:6" ht="15" customHeight="1">
      <c r="A161" s="3186">
        <v>159</v>
      </c>
      <c r="B161" s="3185" t="s">
        <v>3585</v>
      </c>
      <c r="C161" s="3188">
        <v>76.53</v>
      </c>
      <c r="D161" s="3185" t="s">
        <v>3465</v>
      </c>
      <c r="E161" s="3185" t="s">
        <v>3453</v>
      </c>
      <c r="F161" s="3185">
        <v>2</v>
      </c>
    </row>
    <row r="162" spans="1:6" ht="15" customHeight="1">
      <c r="A162" s="3186">
        <v>160</v>
      </c>
      <c r="B162" s="3185" t="s">
        <v>3586</v>
      </c>
      <c r="C162" s="3188">
        <v>44.04</v>
      </c>
      <c r="D162" s="3185" t="s">
        <v>3465</v>
      </c>
      <c r="E162" s="3185" t="s">
        <v>3453</v>
      </c>
      <c r="F162" s="3185">
        <v>2</v>
      </c>
    </row>
    <row r="163" spans="1:6" ht="15" customHeight="1">
      <c r="A163" s="3186">
        <v>161</v>
      </c>
      <c r="B163" s="3185" t="s">
        <v>3587</v>
      </c>
      <c r="C163" s="3188">
        <v>44.04</v>
      </c>
      <c r="D163" s="3185" t="s">
        <v>3465</v>
      </c>
      <c r="E163" s="3185" t="s">
        <v>3453</v>
      </c>
      <c r="F163" s="3185">
        <v>2</v>
      </c>
    </row>
    <row r="164" spans="1:6" ht="15" customHeight="1">
      <c r="A164" s="3186">
        <v>162</v>
      </c>
      <c r="B164" s="3185" t="s">
        <v>3588</v>
      </c>
      <c r="C164" s="3188">
        <v>44.04</v>
      </c>
      <c r="D164" s="3185" t="s">
        <v>3452</v>
      </c>
      <c r="E164" s="3185" t="s">
        <v>3453</v>
      </c>
      <c r="F164" s="3185">
        <v>2</v>
      </c>
    </row>
    <row r="165" spans="1:6" ht="15" customHeight="1">
      <c r="A165" s="3186">
        <v>163</v>
      </c>
      <c r="B165" s="3185" t="s">
        <v>3589</v>
      </c>
      <c r="C165" s="3188">
        <v>44.04</v>
      </c>
      <c r="D165" s="3185" t="s">
        <v>3452</v>
      </c>
      <c r="E165" s="3185" t="s">
        <v>3453</v>
      </c>
      <c r="F165" s="3185">
        <v>2</v>
      </c>
    </row>
    <row r="166" spans="1:6" ht="15" customHeight="1">
      <c r="A166" s="3186">
        <v>164</v>
      </c>
      <c r="B166" s="3185" t="s">
        <v>3590</v>
      </c>
      <c r="C166" s="3188">
        <v>44.04</v>
      </c>
      <c r="D166" s="3185" t="s">
        <v>3452</v>
      </c>
      <c r="E166" s="3185" t="s">
        <v>3453</v>
      </c>
      <c r="F166" s="3185">
        <v>2</v>
      </c>
    </row>
    <row r="167" spans="1:6" ht="15" customHeight="1">
      <c r="A167" s="3186">
        <v>165</v>
      </c>
      <c r="B167" s="3185" t="s">
        <v>3591</v>
      </c>
      <c r="C167" s="3188">
        <v>50.56</v>
      </c>
      <c r="D167" s="3185" t="s">
        <v>3452</v>
      </c>
      <c r="E167" s="3185" t="s">
        <v>3453</v>
      </c>
      <c r="F167" s="3185">
        <v>2</v>
      </c>
    </row>
    <row r="168" spans="1:6" ht="15" customHeight="1">
      <c r="A168" s="3186">
        <v>166</v>
      </c>
      <c r="B168" s="3185" t="s">
        <v>3592</v>
      </c>
      <c r="C168" s="3188">
        <v>37.28</v>
      </c>
      <c r="D168" s="3185" t="s">
        <v>3452</v>
      </c>
      <c r="E168" s="3185" t="s">
        <v>3453</v>
      </c>
      <c r="F168" s="3185">
        <v>2</v>
      </c>
    </row>
    <row r="169" spans="1:6" ht="15" customHeight="1">
      <c r="A169" s="3186">
        <v>167</v>
      </c>
      <c r="B169" s="3185" t="s">
        <v>3593</v>
      </c>
      <c r="C169" s="3188">
        <v>37.28</v>
      </c>
      <c r="D169" s="3185" t="s">
        <v>3452</v>
      </c>
      <c r="E169" s="3185" t="s">
        <v>3453</v>
      </c>
      <c r="F169" s="3185">
        <v>2</v>
      </c>
    </row>
    <row r="170" spans="1:6" ht="15" customHeight="1">
      <c r="A170" s="3186">
        <v>168</v>
      </c>
      <c r="B170" s="3185" t="s">
        <v>3594</v>
      </c>
      <c r="C170" s="3188">
        <v>35.880000000000003</v>
      </c>
      <c r="D170" s="3185" t="s">
        <v>3452</v>
      </c>
      <c r="E170" s="3185" t="s">
        <v>3453</v>
      </c>
      <c r="F170" s="3185">
        <v>2</v>
      </c>
    </row>
    <row r="171" spans="1:6" ht="15" customHeight="1">
      <c r="A171" s="3186">
        <v>169</v>
      </c>
      <c r="B171" s="3185" t="s">
        <v>3595</v>
      </c>
      <c r="C171" s="3188">
        <v>35.880000000000003</v>
      </c>
      <c r="D171" s="3185" t="s">
        <v>3452</v>
      </c>
      <c r="E171" s="3185" t="s">
        <v>3453</v>
      </c>
      <c r="F171" s="3185">
        <v>2</v>
      </c>
    </row>
    <row r="172" spans="1:6" ht="15" customHeight="1">
      <c r="A172" s="3186">
        <v>170</v>
      </c>
      <c r="B172" s="3185" t="s">
        <v>3596</v>
      </c>
      <c r="C172" s="3188">
        <v>33.700000000000003</v>
      </c>
      <c r="D172" s="3185" t="s">
        <v>3452</v>
      </c>
      <c r="E172" s="3185" t="s">
        <v>3453</v>
      </c>
      <c r="F172" s="3185">
        <v>2</v>
      </c>
    </row>
    <row r="173" spans="1:6" ht="15" customHeight="1">
      <c r="A173" s="3186">
        <v>171</v>
      </c>
      <c r="B173" s="3185" t="s">
        <v>3597</v>
      </c>
      <c r="C173" s="3188">
        <v>29.35</v>
      </c>
      <c r="D173" s="3185" t="s">
        <v>3465</v>
      </c>
      <c r="E173" s="3185" t="s">
        <v>3598</v>
      </c>
      <c r="F173" s="3185">
        <v>2</v>
      </c>
    </row>
    <row r="174" spans="1:6" ht="15" customHeight="1">
      <c r="A174" s="3186">
        <v>172</v>
      </c>
      <c r="B174" s="3185" t="s">
        <v>3599</v>
      </c>
      <c r="C174" s="3188">
        <v>29.35</v>
      </c>
      <c r="D174" s="3185" t="s">
        <v>3465</v>
      </c>
      <c r="E174" s="3185" t="s">
        <v>3598</v>
      </c>
      <c r="F174" s="3185">
        <v>2</v>
      </c>
    </row>
    <row r="175" spans="1:6" ht="15" customHeight="1">
      <c r="A175" s="3186">
        <v>173</v>
      </c>
      <c r="B175" s="3185" t="s">
        <v>3600</v>
      </c>
      <c r="C175" s="3188">
        <v>29.35</v>
      </c>
      <c r="D175" s="3185" t="s">
        <v>3465</v>
      </c>
      <c r="E175" s="3185" t="s">
        <v>3598</v>
      </c>
      <c r="F175" s="3185">
        <v>2</v>
      </c>
    </row>
    <row r="176" spans="1:6" ht="15" customHeight="1">
      <c r="A176" s="3186">
        <v>174</v>
      </c>
      <c r="B176" s="3185" t="s">
        <v>3601</v>
      </c>
      <c r="C176" s="3188">
        <v>29.35</v>
      </c>
      <c r="D176" s="3185" t="s">
        <v>3465</v>
      </c>
      <c r="E176" s="3185" t="s">
        <v>3598</v>
      </c>
      <c r="F176" s="3185">
        <v>2</v>
      </c>
    </row>
    <row r="177" spans="1:6" ht="15" customHeight="1">
      <c r="A177" s="3186">
        <v>175</v>
      </c>
      <c r="B177" s="3185" t="s">
        <v>3602</v>
      </c>
      <c r="C177" s="3188">
        <v>29.35</v>
      </c>
      <c r="D177" s="3185" t="s">
        <v>3465</v>
      </c>
      <c r="E177" s="3185" t="s">
        <v>3598</v>
      </c>
      <c r="F177" s="3185">
        <v>2</v>
      </c>
    </row>
    <row r="178" spans="1:6" ht="15" customHeight="1">
      <c r="A178" s="3186">
        <v>176</v>
      </c>
      <c r="B178" s="3185" t="s">
        <v>3603</v>
      </c>
      <c r="C178" s="3188">
        <v>48.35</v>
      </c>
      <c r="D178" s="3185" t="s">
        <v>3465</v>
      </c>
      <c r="E178" s="3185" t="s">
        <v>3598</v>
      </c>
      <c r="F178" s="3185">
        <v>2</v>
      </c>
    </row>
    <row r="179" spans="1:6" ht="15" customHeight="1">
      <c r="A179" s="3186">
        <v>177</v>
      </c>
      <c r="B179" s="3185" t="s">
        <v>3604</v>
      </c>
      <c r="C179" s="3188">
        <v>48.35</v>
      </c>
      <c r="D179" s="3185" t="s">
        <v>3465</v>
      </c>
      <c r="E179" s="3185" t="s">
        <v>3598</v>
      </c>
      <c r="F179" s="3185">
        <v>2</v>
      </c>
    </row>
    <row r="180" spans="1:6" ht="15" customHeight="1">
      <c r="A180" s="3186">
        <v>178</v>
      </c>
      <c r="B180" s="3185" t="s">
        <v>3605</v>
      </c>
      <c r="C180" s="3188">
        <v>48.35</v>
      </c>
      <c r="D180" s="3185" t="s">
        <v>3465</v>
      </c>
      <c r="E180" s="3185" t="s">
        <v>3598</v>
      </c>
      <c r="F180" s="3185">
        <v>2</v>
      </c>
    </row>
    <row r="181" spans="1:6" ht="15" customHeight="1">
      <c r="A181" s="3186">
        <v>179</v>
      </c>
      <c r="B181" s="3185" t="s">
        <v>3606</v>
      </c>
      <c r="C181" s="3188">
        <v>48.35</v>
      </c>
      <c r="D181" s="3185" t="s">
        <v>3465</v>
      </c>
      <c r="E181" s="3185" t="s">
        <v>3598</v>
      </c>
      <c r="F181" s="3185">
        <v>2</v>
      </c>
    </row>
    <row r="182" spans="1:6" ht="15" customHeight="1">
      <c r="A182" s="3186">
        <v>180</v>
      </c>
      <c r="B182" s="3185" t="s">
        <v>3607</v>
      </c>
      <c r="C182" s="3188">
        <v>48.35</v>
      </c>
      <c r="D182" s="3185" t="s">
        <v>3465</v>
      </c>
      <c r="E182" s="3185" t="s">
        <v>3598</v>
      </c>
      <c r="F182" s="3185">
        <v>2</v>
      </c>
    </row>
    <row r="183" spans="1:6" ht="15" customHeight="1">
      <c r="A183" s="3186">
        <v>181</v>
      </c>
      <c r="B183" s="3185" t="s">
        <v>3608</v>
      </c>
      <c r="C183" s="3188">
        <v>55.51</v>
      </c>
      <c r="D183" s="3185" t="s">
        <v>3465</v>
      </c>
      <c r="E183" s="3185" t="s">
        <v>3598</v>
      </c>
      <c r="F183" s="3185">
        <v>2</v>
      </c>
    </row>
    <row r="184" spans="1:6" ht="15" customHeight="1">
      <c r="A184" s="3186">
        <v>182</v>
      </c>
      <c r="B184" s="3185" t="s">
        <v>3609</v>
      </c>
      <c r="C184" s="3188">
        <v>40.1</v>
      </c>
      <c r="D184" s="3185" t="s">
        <v>3465</v>
      </c>
      <c r="E184" s="3185" t="s">
        <v>3598</v>
      </c>
      <c r="F184" s="3185">
        <v>2</v>
      </c>
    </row>
    <row r="185" spans="1:6" ht="15" customHeight="1">
      <c r="A185" s="3186">
        <v>183</v>
      </c>
      <c r="B185" s="3185" t="s">
        <v>3610</v>
      </c>
      <c r="C185" s="3188">
        <v>40.1</v>
      </c>
      <c r="D185" s="3185" t="s">
        <v>3465</v>
      </c>
      <c r="E185" s="3185" t="s">
        <v>3598</v>
      </c>
      <c r="F185" s="3185">
        <v>2</v>
      </c>
    </row>
    <row r="186" spans="1:6" ht="15" customHeight="1">
      <c r="A186" s="3186">
        <v>184</v>
      </c>
      <c r="B186" s="3185" t="s">
        <v>3611</v>
      </c>
      <c r="C186" s="3188">
        <v>48.07</v>
      </c>
      <c r="D186" s="3185" t="s">
        <v>3465</v>
      </c>
      <c r="E186" s="3185" t="s">
        <v>3598</v>
      </c>
      <c r="F186" s="3185">
        <v>2</v>
      </c>
    </row>
    <row r="187" spans="1:6" ht="15" customHeight="1">
      <c r="A187" s="3186">
        <v>185</v>
      </c>
      <c r="B187" s="3185" t="s">
        <v>3612</v>
      </c>
      <c r="C187" s="3188">
        <v>48.07</v>
      </c>
      <c r="D187" s="3185" t="s">
        <v>3465</v>
      </c>
      <c r="E187" s="3185" t="s">
        <v>3598</v>
      </c>
      <c r="F187" s="3185">
        <v>2</v>
      </c>
    </row>
    <row r="188" spans="1:6" ht="15" customHeight="1">
      <c r="A188" s="3186">
        <v>186</v>
      </c>
      <c r="B188" s="3185" t="s">
        <v>3613</v>
      </c>
      <c r="C188" s="3188">
        <v>54.72</v>
      </c>
      <c r="D188" s="3185" t="s">
        <v>3465</v>
      </c>
      <c r="E188" s="3185" t="s">
        <v>3598</v>
      </c>
      <c r="F188" s="3185">
        <v>2</v>
      </c>
    </row>
    <row r="189" spans="1:6" ht="15" customHeight="1">
      <c r="A189" s="3186">
        <v>187</v>
      </c>
      <c r="B189" s="3185" t="s">
        <v>3614</v>
      </c>
      <c r="C189" s="3188">
        <v>64.23</v>
      </c>
      <c r="D189" s="3185" t="s">
        <v>3465</v>
      </c>
      <c r="E189" s="3185" t="s">
        <v>3598</v>
      </c>
      <c r="F189" s="3185">
        <v>2</v>
      </c>
    </row>
    <row r="190" spans="1:6" ht="15" customHeight="1">
      <c r="A190" s="3186">
        <v>188</v>
      </c>
      <c r="B190" s="3185" t="s">
        <v>3615</v>
      </c>
      <c r="C190" s="3188">
        <v>64.23</v>
      </c>
      <c r="D190" s="3185" t="s">
        <v>3465</v>
      </c>
      <c r="E190" s="3185" t="s">
        <v>3598</v>
      </c>
      <c r="F190" s="3185">
        <v>2</v>
      </c>
    </row>
    <row r="191" spans="1:6" ht="15" customHeight="1">
      <c r="A191" s="3186">
        <v>189</v>
      </c>
      <c r="B191" s="3185" t="s">
        <v>3616</v>
      </c>
      <c r="C191" s="3188">
        <v>64.23</v>
      </c>
      <c r="D191" s="3185" t="s">
        <v>3465</v>
      </c>
      <c r="E191" s="3185" t="s">
        <v>3453</v>
      </c>
      <c r="F191" s="3185">
        <v>2</v>
      </c>
    </row>
    <row r="192" spans="1:6" ht="15" customHeight="1">
      <c r="A192" s="3186">
        <v>190</v>
      </c>
      <c r="B192" s="3185" t="s">
        <v>3617</v>
      </c>
      <c r="C192" s="3188">
        <v>64.23</v>
      </c>
      <c r="D192" s="3185" t="s">
        <v>3465</v>
      </c>
      <c r="E192" s="3185" t="s">
        <v>3453</v>
      </c>
      <c r="F192" s="3185">
        <v>2</v>
      </c>
    </row>
    <row r="193" spans="1:6" ht="15" customHeight="1">
      <c r="A193" s="3186">
        <v>191</v>
      </c>
      <c r="B193" s="3185" t="s">
        <v>3618</v>
      </c>
      <c r="C193" s="3188">
        <v>64.23</v>
      </c>
      <c r="D193" s="3185" t="s">
        <v>3465</v>
      </c>
      <c r="E193" s="3185" t="s">
        <v>3453</v>
      </c>
      <c r="F193" s="3185">
        <v>2</v>
      </c>
    </row>
    <row r="194" spans="1:6" ht="15" customHeight="1">
      <c r="A194" s="3186">
        <v>192</v>
      </c>
      <c r="B194" s="3185" t="s">
        <v>3619</v>
      </c>
      <c r="C194" s="3188">
        <v>68.19</v>
      </c>
      <c r="D194" s="3185" t="s">
        <v>3465</v>
      </c>
      <c r="E194" s="3185" t="s">
        <v>3453</v>
      </c>
      <c r="F194" s="3185">
        <v>2</v>
      </c>
    </row>
    <row r="195" spans="1:6" ht="15" customHeight="1">
      <c r="A195" s="3186">
        <v>193</v>
      </c>
      <c r="B195" s="3185" t="s">
        <v>3620</v>
      </c>
      <c r="C195" s="3188">
        <v>44.55</v>
      </c>
      <c r="D195" s="3185" t="s">
        <v>3465</v>
      </c>
      <c r="E195" s="3185" t="s">
        <v>3453</v>
      </c>
      <c r="F195" s="3185">
        <v>2</v>
      </c>
    </row>
    <row r="196" spans="1:6" ht="15" customHeight="1">
      <c r="A196" s="3186">
        <v>194</v>
      </c>
      <c r="B196" s="3185" t="s">
        <v>3621</v>
      </c>
      <c r="C196" s="3188">
        <v>41.95</v>
      </c>
      <c r="D196" s="3185" t="s">
        <v>3465</v>
      </c>
      <c r="E196" s="3185" t="s">
        <v>3453</v>
      </c>
      <c r="F196" s="3185">
        <v>2</v>
      </c>
    </row>
    <row r="197" spans="1:6" ht="15" customHeight="1">
      <c r="A197" s="3186">
        <v>195</v>
      </c>
      <c r="B197" s="3185" t="s">
        <v>3622</v>
      </c>
      <c r="C197" s="3188">
        <v>41.95</v>
      </c>
      <c r="D197" s="3185" t="s">
        <v>3465</v>
      </c>
      <c r="E197" s="3185" t="s">
        <v>3453</v>
      </c>
      <c r="F197" s="3185">
        <v>2</v>
      </c>
    </row>
    <row r="198" spans="1:6" ht="15" customHeight="1">
      <c r="A198" s="3186">
        <v>196</v>
      </c>
      <c r="B198" s="3185" t="s">
        <v>3623</v>
      </c>
      <c r="C198" s="3188">
        <v>41.95</v>
      </c>
      <c r="D198" s="3185" t="s">
        <v>3465</v>
      </c>
      <c r="E198" s="3185" t="s">
        <v>3453</v>
      </c>
      <c r="F198" s="3185">
        <v>2</v>
      </c>
    </row>
    <row r="199" spans="1:6" ht="15" customHeight="1">
      <c r="A199" s="3186">
        <v>197</v>
      </c>
      <c r="B199" s="3185" t="s">
        <v>3624</v>
      </c>
      <c r="C199" s="3188">
        <v>41.95</v>
      </c>
      <c r="D199" s="3185" t="s">
        <v>3465</v>
      </c>
      <c r="E199" s="3185" t="s">
        <v>3453</v>
      </c>
      <c r="F199" s="3185">
        <v>2</v>
      </c>
    </row>
    <row r="200" spans="1:6" ht="15" customHeight="1">
      <c r="A200" s="3186">
        <v>198</v>
      </c>
      <c r="B200" s="3185" t="s">
        <v>3625</v>
      </c>
      <c r="C200" s="3188">
        <v>41.95</v>
      </c>
      <c r="D200" s="3185" t="s">
        <v>3465</v>
      </c>
      <c r="E200" s="3185" t="s">
        <v>3453</v>
      </c>
      <c r="F200" s="3185">
        <v>2</v>
      </c>
    </row>
    <row r="201" spans="1:6" ht="15" customHeight="1">
      <c r="A201" s="3186">
        <v>199</v>
      </c>
      <c r="B201" s="3185" t="s">
        <v>3626</v>
      </c>
      <c r="C201" s="3188">
        <v>35.75</v>
      </c>
      <c r="D201" s="3185" t="s">
        <v>3465</v>
      </c>
      <c r="E201" s="3185" t="s">
        <v>3453</v>
      </c>
      <c r="F201" s="3185">
        <v>2</v>
      </c>
    </row>
    <row r="202" spans="1:6" ht="15" customHeight="1">
      <c r="A202" s="3186">
        <v>200</v>
      </c>
      <c r="B202" s="3185" t="s">
        <v>3627</v>
      </c>
      <c r="C202" s="3188">
        <v>27.58</v>
      </c>
      <c r="D202" s="3185" t="s">
        <v>3465</v>
      </c>
      <c r="E202" s="3185" t="s">
        <v>3453</v>
      </c>
      <c r="F202" s="3185">
        <v>2</v>
      </c>
    </row>
    <row r="203" spans="1:6" ht="15" customHeight="1">
      <c r="A203" s="3186">
        <v>201</v>
      </c>
      <c r="B203" s="3185" t="s">
        <v>3628</v>
      </c>
      <c r="C203" s="3188">
        <v>32.380000000000003</v>
      </c>
      <c r="D203" s="3185" t="s">
        <v>3465</v>
      </c>
      <c r="E203" s="3185" t="s">
        <v>3453</v>
      </c>
      <c r="F203" s="3185">
        <v>2</v>
      </c>
    </row>
    <row r="204" spans="1:6" ht="15" customHeight="1">
      <c r="A204" s="3186">
        <v>202</v>
      </c>
      <c r="B204" s="3185" t="s">
        <v>3629</v>
      </c>
      <c r="C204" s="3188">
        <v>32.380000000000003</v>
      </c>
      <c r="D204" s="3185" t="s">
        <v>3465</v>
      </c>
      <c r="E204" s="3185" t="s">
        <v>3453</v>
      </c>
      <c r="F204" s="3185">
        <v>2</v>
      </c>
    </row>
    <row r="205" spans="1:6" ht="15" customHeight="1">
      <c r="A205" s="3186">
        <v>203</v>
      </c>
      <c r="B205" s="3185" t="s">
        <v>3630</v>
      </c>
      <c r="C205" s="3188">
        <v>32.380000000000003</v>
      </c>
      <c r="D205" s="3185" t="s">
        <v>3465</v>
      </c>
      <c r="E205" s="3185" t="s">
        <v>3453</v>
      </c>
      <c r="F205" s="3185">
        <v>2</v>
      </c>
    </row>
    <row r="206" spans="1:6" ht="15" customHeight="1">
      <c r="A206" s="3186">
        <v>204</v>
      </c>
      <c r="B206" s="3185" t="s">
        <v>3631</v>
      </c>
      <c r="C206" s="3188">
        <v>32.380000000000003</v>
      </c>
      <c r="D206" s="3185" t="s">
        <v>3465</v>
      </c>
      <c r="E206" s="3185" t="s">
        <v>3453</v>
      </c>
      <c r="F206" s="3185">
        <v>2</v>
      </c>
    </row>
    <row r="207" spans="1:6" ht="15" customHeight="1">
      <c r="A207" s="3186">
        <v>205</v>
      </c>
      <c r="B207" s="3185" t="s">
        <v>3632</v>
      </c>
      <c r="C207" s="3188">
        <v>32.380000000000003</v>
      </c>
      <c r="D207" s="3185" t="s">
        <v>3465</v>
      </c>
      <c r="E207" s="3185" t="s">
        <v>3453</v>
      </c>
      <c r="F207" s="3185">
        <v>2</v>
      </c>
    </row>
    <row r="208" spans="1:6" ht="15" customHeight="1">
      <c r="A208" s="3186">
        <v>206</v>
      </c>
      <c r="B208" s="3185" t="s">
        <v>3633</v>
      </c>
      <c r="C208" s="3188">
        <v>34.36</v>
      </c>
      <c r="D208" s="3185" t="s">
        <v>3465</v>
      </c>
      <c r="E208" s="3185" t="s">
        <v>3453</v>
      </c>
      <c r="F208" s="3185">
        <v>2</v>
      </c>
    </row>
    <row r="209" spans="1:6" ht="15" customHeight="1">
      <c r="A209" s="3186">
        <v>207</v>
      </c>
      <c r="B209" s="3185" t="s">
        <v>3634</v>
      </c>
      <c r="C209" s="3188">
        <v>33.92</v>
      </c>
      <c r="D209" s="3185" t="s">
        <v>3465</v>
      </c>
      <c r="E209" s="3185" t="s">
        <v>3453</v>
      </c>
      <c r="F209" s="3185">
        <v>2</v>
      </c>
    </row>
    <row r="210" spans="1:6" ht="15" customHeight="1">
      <c r="A210" s="3186">
        <v>208</v>
      </c>
      <c r="B210" s="3185" t="s">
        <v>3635</v>
      </c>
      <c r="C210" s="3188">
        <v>31.93</v>
      </c>
      <c r="D210" s="3185" t="s">
        <v>3465</v>
      </c>
      <c r="E210" s="3185" t="s">
        <v>3453</v>
      </c>
      <c r="F210" s="3185">
        <v>2</v>
      </c>
    </row>
    <row r="211" spans="1:6" ht="15" customHeight="1">
      <c r="A211" s="3186">
        <v>209</v>
      </c>
      <c r="B211" s="3185" t="s">
        <v>3636</v>
      </c>
      <c r="C211" s="3188">
        <v>31.93</v>
      </c>
      <c r="D211" s="3185" t="s">
        <v>3465</v>
      </c>
      <c r="E211" s="3185" t="s">
        <v>3453</v>
      </c>
      <c r="F211" s="3185">
        <v>2</v>
      </c>
    </row>
    <row r="212" spans="1:6" ht="15" customHeight="1">
      <c r="A212" s="3186">
        <v>210</v>
      </c>
      <c r="B212" s="3185" t="s">
        <v>3637</v>
      </c>
      <c r="C212" s="3188">
        <v>31.93</v>
      </c>
      <c r="D212" s="3185" t="s">
        <v>3465</v>
      </c>
      <c r="E212" s="3185" t="s">
        <v>3453</v>
      </c>
      <c r="F212" s="3185">
        <v>2</v>
      </c>
    </row>
    <row r="213" spans="1:6" ht="15" customHeight="1">
      <c r="A213" s="3186">
        <v>211</v>
      </c>
      <c r="B213" s="3185" t="s">
        <v>3638</v>
      </c>
      <c r="C213" s="3188">
        <v>31.93</v>
      </c>
      <c r="D213" s="3185" t="s">
        <v>3465</v>
      </c>
      <c r="E213" s="3185" t="s">
        <v>3453</v>
      </c>
      <c r="F213" s="3185">
        <v>2</v>
      </c>
    </row>
    <row r="214" spans="1:6" ht="15" customHeight="1">
      <c r="A214" s="3186">
        <v>212</v>
      </c>
      <c r="B214" s="3185" t="s">
        <v>3639</v>
      </c>
      <c r="C214" s="3188">
        <v>31.93</v>
      </c>
      <c r="D214" s="3185" t="s">
        <v>3465</v>
      </c>
      <c r="E214" s="3185" t="s">
        <v>3453</v>
      </c>
      <c r="F214" s="3185">
        <v>2</v>
      </c>
    </row>
    <row r="215" spans="1:6" ht="15" customHeight="1">
      <c r="A215" s="3186">
        <v>213</v>
      </c>
      <c r="B215" s="3185" t="s">
        <v>3640</v>
      </c>
      <c r="C215" s="3188">
        <v>27.2</v>
      </c>
      <c r="D215" s="3185" t="s">
        <v>3465</v>
      </c>
      <c r="E215" s="3185" t="s">
        <v>3453</v>
      </c>
      <c r="F215" s="3185">
        <v>2</v>
      </c>
    </row>
    <row r="216" spans="1:6" ht="15" customHeight="1">
      <c r="A216" s="3288" t="s">
        <v>3641</v>
      </c>
      <c r="B216" s="3288"/>
      <c r="C216" s="3188">
        <f>SUM(C3:C215)</f>
        <v>12768.25000000002</v>
      </c>
      <c r="D216" s="3193" t="s">
        <v>3642</v>
      </c>
      <c r="E216" s="3193" t="s">
        <v>3642</v>
      </c>
      <c r="F216" s="3193" t="s">
        <v>3642</v>
      </c>
    </row>
    <row r="217" spans="1:6" ht="15" customHeight="1">
      <c r="A217" s="3185">
        <v>1</v>
      </c>
      <c r="B217" s="3194">
        <v>1</v>
      </c>
      <c r="C217" s="3188">
        <v>31.83</v>
      </c>
      <c r="D217" s="3185" t="s">
        <v>3643</v>
      </c>
      <c r="E217" s="3185" t="s">
        <v>3453</v>
      </c>
      <c r="F217" s="3185">
        <v>-2</v>
      </c>
    </row>
    <row r="218" spans="1:6" ht="15" customHeight="1">
      <c r="A218" s="3185">
        <v>2</v>
      </c>
      <c r="B218" s="3195">
        <v>2</v>
      </c>
      <c r="C218" s="3188">
        <v>31.83</v>
      </c>
      <c r="D218" s="3185" t="s">
        <v>3643</v>
      </c>
      <c r="E218" s="3185" t="s">
        <v>3453</v>
      </c>
      <c r="F218" s="3185">
        <v>-2</v>
      </c>
    </row>
    <row r="219" spans="1:6" ht="15" customHeight="1">
      <c r="A219" s="3185">
        <v>3</v>
      </c>
      <c r="B219" s="3195">
        <v>3</v>
      </c>
      <c r="C219" s="3188">
        <v>31.83</v>
      </c>
      <c r="D219" s="3185" t="s">
        <v>3643</v>
      </c>
      <c r="E219" s="3185" t="s">
        <v>3453</v>
      </c>
      <c r="F219" s="3185">
        <v>-2</v>
      </c>
    </row>
    <row r="220" spans="1:6" ht="15" customHeight="1">
      <c r="A220" s="3185">
        <v>4</v>
      </c>
      <c r="B220" s="3195">
        <v>5</v>
      </c>
      <c r="C220" s="3188">
        <v>31.83</v>
      </c>
      <c r="D220" s="3185" t="s">
        <v>3643</v>
      </c>
      <c r="E220" s="3185" t="s">
        <v>3453</v>
      </c>
      <c r="F220" s="3185">
        <v>-2</v>
      </c>
    </row>
    <row r="221" spans="1:6" ht="15" customHeight="1">
      <c r="A221" s="3185">
        <v>5</v>
      </c>
      <c r="B221" s="3195">
        <v>6</v>
      </c>
      <c r="C221" s="3188">
        <v>31.83</v>
      </c>
      <c r="D221" s="3185" t="s">
        <v>3643</v>
      </c>
      <c r="E221" s="3185" t="s">
        <v>3453</v>
      </c>
      <c r="F221" s="3185">
        <v>-2</v>
      </c>
    </row>
    <row r="222" spans="1:6" ht="15" customHeight="1">
      <c r="A222" s="3185">
        <v>6</v>
      </c>
      <c r="B222" s="3194">
        <v>7</v>
      </c>
      <c r="C222" s="3188">
        <v>31.83</v>
      </c>
      <c r="D222" s="3185" t="s">
        <v>3643</v>
      </c>
      <c r="E222" s="3185" t="s">
        <v>3453</v>
      </c>
      <c r="F222" s="3185">
        <v>-2</v>
      </c>
    </row>
    <row r="223" spans="1:6" ht="15" customHeight="1">
      <c r="A223" s="3185">
        <v>7</v>
      </c>
      <c r="B223" s="3194">
        <v>8</v>
      </c>
      <c r="C223" s="3188">
        <v>31.83</v>
      </c>
      <c r="D223" s="3185" t="s">
        <v>3643</v>
      </c>
      <c r="E223" s="3185" t="s">
        <v>3453</v>
      </c>
      <c r="F223" s="3185">
        <v>-2</v>
      </c>
    </row>
    <row r="224" spans="1:6" ht="15" customHeight="1">
      <c r="A224" s="3185">
        <v>8</v>
      </c>
      <c r="B224" s="3194">
        <v>9</v>
      </c>
      <c r="C224" s="3188">
        <v>31.83</v>
      </c>
      <c r="D224" s="3185" t="s">
        <v>3643</v>
      </c>
      <c r="E224" s="3185" t="s">
        <v>3453</v>
      </c>
      <c r="F224" s="3185">
        <v>-2</v>
      </c>
    </row>
    <row r="225" spans="1:6" ht="15" customHeight="1">
      <c r="A225" s="3185">
        <v>9</v>
      </c>
      <c r="B225" s="3195">
        <v>10</v>
      </c>
      <c r="C225" s="3188">
        <v>31.83</v>
      </c>
      <c r="D225" s="3185" t="s">
        <v>3643</v>
      </c>
      <c r="E225" s="3185" t="s">
        <v>3453</v>
      </c>
      <c r="F225" s="3185">
        <v>-2</v>
      </c>
    </row>
    <row r="226" spans="1:6" ht="15" customHeight="1">
      <c r="A226" s="3185">
        <v>10</v>
      </c>
      <c r="B226" s="3195">
        <v>11</v>
      </c>
      <c r="C226" s="3188">
        <v>31.83</v>
      </c>
      <c r="D226" s="3185" t="s">
        <v>3643</v>
      </c>
      <c r="E226" s="3185" t="s">
        <v>3453</v>
      </c>
      <c r="F226" s="3185">
        <v>-2</v>
      </c>
    </row>
    <row r="227" spans="1:6" ht="15" customHeight="1">
      <c r="A227" s="3185">
        <v>11</v>
      </c>
      <c r="B227" s="3195">
        <v>12</v>
      </c>
      <c r="C227" s="3188">
        <v>31.83</v>
      </c>
      <c r="D227" s="3185" t="s">
        <v>3643</v>
      </c>
      <c r="E227" s="3185" t="s">
        <v>3453</v>
      </c>
      <c r="F227" s="3185">
        <v>-2</v>
      </c>
    </row>
    <row r="228" spans="1:6" ht="15" customHeight="1">
      <c r="A228" s="3185">
        <v>12</v>
      </c>
      <c r="B228" s="3195">
        <v>15</v>
      </c>
      <c r="C228" s="3188">
        <v>31.83</v>
      </c>
      <c r="D228" s="3185" t="s">
        <v>3643</v>
      </c>
      <c r="E228" s="3185" t="s">
        <v>3453</v>
      </c>
      <c r="F228" s="3185">
        <v>-2</v>
      </c>
    </row>
    <row r="229" spans="1:6" ht="15" customHeight="1">
      <c r="A229" s="3185">
        <v>13</v>
      </c>
      <c r="B229" s="3195">
        <v>16</v>
      </c>
      <c r="C229" s="3188">
        <v>31.83</v>
      </c>
      <c r="D229" s="3185" t="s">
        <v>3643</v>
      </c>
      <c r="E229" s="3185" t="s">
        <v>3453</v>
      </c>
      <c r="F229" s="3185">
        <v>-2</v>
      </c>
    </row>
    <row r="230" spans="1:6" ht="15" customHeight="1">
      <c r="A230" s="3185">
        <v>14</v>
      </c>
      <c r="B230" s="3195">
        <v>17</v>
      </c>
      <c r="C230" s="3188">
        <v>31.83</v>
      </c>
      <c r="D230" s="3185" t="s">
        <v>3643</v>
      </c>
      <c r="E230" s="3185" t="s">
        <v>3453</v>
      </c>
      <c r="F230" s="3185">
        <v>-2</v>
      </c>
    </row>
    <row r="231" spans="1:6" ht="15" customHeight="1">
      <c r="A231" s="3185">
        <v>15</v>
      </c>
      <c r="B231" s="3195">
        <v>18</v>
      </c>
      <c r="C231" s="3188">
        <v>31.83</v>
      </c>
      <c r="D231" s="3185" t="s">
        <v>3643</v>
      </c>
      <c r="E231" s="3185" t="s">
        <v>3453</v>
      </c>
      <c r="F231" s="3185">
        <v>-2</v>
      </c>
    </row>
    <row r="232" spans="1:6" ht="15" customHeight="1">
      <c r="A232" s="3185">
        <v>16</v>
      </c>
      <c r="B232" s="3195">
        <v>31</v>
      </c>
      <c r="C232" s="3188">
        <v>31.83</v>
      </c>
      <c r="D232" s="3185" t="s">
        <v>3643</v>
      </c>
      <c r="E232" s="3185" t="s">
        <v>3453</v>
      </c>
      <c r="F232" s="3185">
        <v>-2</v>
      </c>
    </row>
    <row r="233" spans="1:6" ht="15" customHeight="1">
      <c r="A233" s="3185">
        <v>17</v>
      </c>
      <c r="B233" s="3195">
        <v>32</v>
      </c>
      <c r="C233" s="3188">
        <v>31.83</v>
      </c>
      <c r="D233" s="3185" t="s">
        <v>3643</v>
      </c>
      <c r="E233" s="3185" t="s">
        <v>3453</v>
      </c>
      <c r="F233" s="3185">
        <v>-2</v>
      </c>
    </row>
    <row r="234" spans="1:6" ht="15" customHeight="1">
      <c r="A234" s="3185">
        <v>18</v>
      </c>
      <c r="B234" s="3195">
        <v>33</v>
      </c>
      <c r="C234" s="3188">
        <v>31.83</v>
      </c>
      <c r="D234" s="3185" t="s">
        <v>3643</v>
      </c>
      <c r="E234" s="3185" t="s">
        <v>3453</v>
      </c>
      <c r="F234" s="3185">
        <v>-2</v>
      </c>
    </row>
    <row r="235" spans="1:6" ht="15" customHeight="1">
      <c r="A235" s="3185">
        <v>19</v>
      </c>
      <c r="B235" s="3195">
        <v>35</v>
      </c>
      <c r="C235" s="3188">
        <v>31.83</v>
      </c>
      <c r="D235" s="3185" t="s">
        <v>3643</v>
      </c>
      <c r="E235" s="3185" t="s">
        <v>3453</v>
      </c>
      <c r="F235" s="3185">
        <v>-2</v>
      </c>
    </row>
    <row r="236" spans="1:6" ht="15" customHeight="1">
      <c r="A236" s="3185">
        <v>20</v>
      </c>
      <c r="B236" s="3194">
        <v>37</v>
      </c>
      <c r="C236" s="3188">
        <v>31.83</v>
      </c>
      <c r="D236" s="3185" t="s">
        <v>3643</v>
      </c>
      <c r="E236" s="3185" t="s">
        <v>3453</v>
      </c>
      <c r="F236" s="3185">
        <v>-2</v>
      </c>
    </row>
    <row r="237" spans="1:6" ht="15" customHeight="1">
      <c r="A237" s="3185">
        <v>21</v>
      </c>
      <c r="B237" s="3194">
        <v>38</v>
      </c>
      <c r="C237" s="3188">
        <v>31.83</v>
      </c>
      <c r="D237" s="3185" t="s">
        <v>3643</v>
      </c>
      <c r="E237" s="3185" t="s">
        <v>3453</v>
      </c>
      <c r="F237" s="3185">
        <v>-2</v>
      </c>
    </row>
    <row r="238" spans="1:6" ht="15" customHeight="1">
      <c r="A238" s="3185">
        <v>22</v>
      </c>
      <c r="B238" s="3194">
        <v>39</v>
      </c>
      <c r="C238" s="3188">
        <v>31.83</v>
      </c>
      <c r="D238" s="3185" t="s">
        <v>3643</v>
      </c>
      <c r="E238" s="3185" t="s">
        <v>3453</v>
      </c>
      <c r="F238" s="3185">
        <v>-2</v>
      </c>
    </row>
    <row r="239" spans="1:6" ht="15" customHeight="1">
      <c r="A239" s="3185">
        <v>23</v>
      </c>
      <c r="B239" s="3194">
        <v>40</v>
      </c>
      <c r="C239" s="3188">
        <v>31.83</v>
      </c>
      <c r="D239" s="3185" t="s">
        <v>3643</v>
      </c>
      <c r="E239" s="3185" t="s">
        <v>3453</v>
      </c>
      <c r="F239" s="3185">
        <v>-2</v>
      </c>
    </row>
    <row r="240" spans="1:6" ht="15" customHeight="1">
      <c r="A240" s="3185">
        <v>24</v>
      </c>
      <c r="B240" s="3194">
        <v>42</v>
      </c>
      <c r="C240" s="3188">
        <v>37.14</v>
      </c>
      <c r="D240" s="3185" t="s">
        <v>3643</v>
      </c>
      <c r="E240" s="3185" t="s">
        <v>3453</v>
      </c>
      <c r="F240" s="3185">
        <v>-2</v>
      </c>
    </row>
    <row r="241" spans="1:6" ht="15" customHeight="1">
      <c r="A241" s="3185">
        <v>25</v>
      </c>
      <c r="B241" s="3194">
        <v>46</v>
      </c>
      <c r="C241" s="3188">
        <v>31.83</v>
      </c>
      <c r="D241" s="3185" t="s">
        <v>3643</v>
      </c>
      <c r="E241" s="3185" t="s">
        <v>3453</v>
      </c>
      <c r="F241" s="3185">
        <v>-2</v>
      </c>
    </row>
    <row r="242" spans="1:6" ht="15" customHeight="1">
      <c r="A242" s="3185">
        <v>26</v>
      </c>
      <c r="B242" s="3194">
        <v>47</v>
      </c>
      <c r="C242" s="3188">
        <v>31.83</v>
      </c>
      <c r="D242" s="3185" t="s">
        <v>3643</v>
      </c>
      <c r="E242" s="3185" t="s">
        <v>3453</v>
      </c>
      <c r="F242" s="3185">
        <v>-2</v>
      </c>
    </row>
    <row r="243" spans="1:6" ht="15" customHeight="1">
      <c r="A243" s="3185">
        <v>27</v>
      </c>
      <c r="B243" s="3194">
        <v>48</v>
      </c>
      <c r="C243" s="3188">
        <v>31.83</v>
      </c>
      <c r="D243" s="3185" t="s">
        <v>3643</v>
      </c>
      <c r="E243" s="3185" t="s">
        <v>3453</v>
      </c>
      <c r="F243" s="3185">
        <v>-2</v>
      </c>
    </row>
    <row r="244" spans="1:6" ht="15" customHeight="1">
      <c r="A244" s="3185">
        <v>28</v>
      </c>
      <c r="B244" s="3194">
        <v>49</v>
      </c>
      <c r="C244" s="3188">
        <v>31.83</v>
      </c>
      <c r="D244" s="3185" t="s">
        <v>3643</v>
      </c>
      <c r="E244" s="3185" t="s">
        <v>3453</v>
      </c>
      <c r="F244" s="3185">
        <v>-2</v>
      </c>
    </row>
    <row r="245" spans="1:6" ht="15" customHeight="1">
      <c r="A245" s="3185">
        <v>29</v>
      </c>
      <c r="B245" s="3194">
        <v>50</v>
      </c>
      <c r="C245" s="3188">
        <v>31.83</v>
      </c>
      <c r="D245" s="3185" t="s">
        <v>3643</v>
      </c>
      <c r="E245" s="3185" t="s">
        <v>3453</v>
      </c>
      <c r="F245" s="3185">
        <v>-2</v>
      </c>
    </row>
    <row r="246" spans="1:6" ht="15" customHeight="1">
      <c r="A246" s="3185">
        <v>30</v>
      </c>
      <c r="B246" s="3195">
        <v>51</v>
      </c>
      <c r="C246" s="3188">
        <v>31.83</v>
      </c>
      <c r="D246" s="3185" t="s">
        <v>3643</v>
      </c>
      <c r="E246" s="3185" t="s">
        <v>3453</v>
      </c>
      <c r="F246" s="3185">
        <v>-2</v>
      </c>
    </row>
    <row r="247" spans="1:6" ht="15" customHeight="1">
      <c r="A247" s="3185">
        <v>31</v>
      </c>
      <c r="B247" s="3195">
        <v>52</v>
      </c>
      <c r="C247" s="3188">
        <v>31.83</v>
      </c>
      <c r="D247" s="3185" t="s">
        <v>3643</v>
      </c>
      <c r="E247" s="3185" t="s">
        <v>3453</v>
      </c>
      <c r="F247" s="3185">
        <v>-2</v>
      </c>
    </row>
    <row r="248" spans="1:6" ht="15" customHeight="1">
      <c r="A248" s="3185">
        <v>32</v>
      </c>
      <c r="B248" s="3195">
        <v>53</v>
      </c>
      <c r="C248" s="3188">
        <v>31.83</v>
      </c>
      <c r="D248" s="3185" t="s">
        <v>3643</v>
      </c>
      <c r="E248" s="3185" t="s">
        <v>3453</v>
      </c>
      <c r="F248" s="3185">
        <v>-2</v>
      </c>
    </row>
    <row r="249" spans="1:6" ht="15" customHeight="1">
      <c r="A249" s="3185">
        <v>33</v>
      </c>
      <c r="B249" s="3195">
        <v>55</v>
      </c>
      <c r="C249" s="3188">
        <v>31.83</v>
      </c>
      <c r="D249" s="3185" t="s">
        <v>3643</v>
      </c>
      <c r="E249" s="3185" t="s">
        <v>3453</v>
      </c>
      <c r="F249" s="3185">
        <v>-2</v>
      </c>
    </row>
    <row r="250" spans="1:6" ht="15" customHeight="1">
      <c r="A250" s="3185">
        <v>34</v>
      </c>
      <c r="B250" s="3195">
        <v>56</v>
      </c>
      <c r="C250" s="3188">
        <v>31.83</v>
      </c>
      <c r="D250" s="3185" t="s">
        <v>3643</v>
      </c>
      <c r="E250" s="3185" t="s">
        <v>3453</v>
      </c>
      <c r="F250" s="3185">
        <v>-2</v>
      </c>
    </row>
    <row r="251" spans="1:6" ht="15" customHeight="1">
      <c r="A251" s="3185">
        <v>35</v>
      </c>
      <c r="B251" s="3195">
        <v>57</v>
      </c>
      <c r="C251" s="3188">
        <v>31.83</v>
      </c>
      <c r="D251" s="3185" t="s">
        <v>3643</v>
      </c>
      <c r="E251" s="3185" t="s">
        <v>3453</v>
      </c>
      <c r="F251" s="3185">
        <v>-2</v>
      </c>
    </row>
    <row r="252" spans="1:6" ht="15" customHeight="1">
      <c r="A252" s="3185">
        <v>36</v>
      </c>
      <c r="B252" s="3195">
        <v>58</v>
      </c>
      <c r="C252" s="3188">
        <v>31.83</v>
      </c>
      <c r="D252" s="3185" t="s">
        <v>3643</v>
      </c>
      <c r="E252" s="3185" t="s">
        <v>3453</v>
      </c>
      <c r="F252" s="3185">
        <v>-2</v>
      </c>
    </row>
    <row r="253" spans="1:6" ht="15" customHeight="1">
      <c r="A253" s="3185">
        <v>37</v>
      </c>
      <c r="B253" s="3195">
        <v>59</v>
      </c>
      <c r="C253" s="3188">
        <v>33.83</v>
      </c>
      <c r="D253" s="3185" t="s">
        <v>3643</v>
      </c>
      <c r="E253" s="3185" t="s">
        <v>3453</v>
      </c>
      <c r="F253" s="3185">
        <v>-2</v>
      </c>
    </row>
    <row r="254" spans="1:6" ht="15" customHeight="1">
      <c r="A254" s="3185">
        <v>38</v>
      </c>
      <c r="B254" s="3195">
        <v>65</v>
      </c>
      <c r="C254" s="3188">
        <v>54.68</v>
      </c>
      <c r="D254" s="3185" t="s">
        <v>3643</v>
      </c>
      <c r="E254" s="3185" t="s">
        <v>3453</v>
      </c>
      <c r="F254" s="3185">
        <v>-2</v>
      </c>
    </row>
    <row r="255" spans="1:6" ht="15" customHeight="1">
      <c r="A255" s="3185">
        <v>39</v>
      </c>
      <c r="B255" s="3195">
        <v>66</v>
      </c>
      <c r="C255" s="3188">
        <v>31.83</v>
      </c>
      <c r="D255" s="3185" t="s">
        <v>3643</v>
      </c>
      <c r="E255" s="3185" t="s">
        <v>3453</v>
      </c>
      <c r="F255" s="3185">
        <v>-2</v>
      </c>
    </row>
    <row r="256" spans="1:6" ht="15" customHeight="1">
      <c r="A256" s="3185">
        <v>40</v>
      </c>
      <c r="B256" s="3195">
        <v>67</v>
      </c>
      <c r="C256" s="3188">
        <v>31.83</v>
      </c>
      <c r="D256" s="3185" t="s">
        <v>3643</v>
      </c>
      <c r="E256" s="3185" t="s">
        <v>3453</v>
      </c>
      <c r="F256" s="3185">
        <v>-2</v>
      </c>
    </row>
    <row r="257" spans="1:6" ht="15" customHeight="1">
      <c r="A257" s="3185">
        <v>41</v>
      </c>
      <c r="B257" s="3195">
        <v>68</v>
      </c>
      <c r="C257" s="3188">
        <v>31.83</v>
      </c>
      <c r="D257" s="3185" t="s">
        <v>3643</v>
      </c>
      <c r="E257" s="3185" t="s">
        <v>3453</v>
      </c>
      <c r="F257" s="3185">
        <v>-2</v>
      </c>
    </row>
    <row r="258" spans="1:6" ht="15" customHeight="1">
      <c r="A258" s="3185">
        <v>42</v>
      </c>
      <c r="B258" s="3195">
        <v>69</v>
      </c>
      <c r="C258" s="3188">
        <v>31.23</v>
      </c>
      <c r="D258" s="3185" t="s">
        <v>3643</v>
      </c>
      <c r="E258" s="3185" t="s">
        <v>3453</v>
      </c>
      <c r="F258" s="3185">
        <v>-2</v>
      </c>
    </row>
    <row r="259" spans="1:6" ht="15" customHeight="1">
      <c r="A259" s="3185">
        <v>43</v>
      </c>
      <c r="B259" s="3195">
        <v>70</v>
      </c>
      <c r="C259" s="3188">
        <v>31.23</v>
      </c>
      <c r="D259" s="3185" t="s">
        <v>3643</v>
      </c>
      <c r="E259" s="3185" t="s">
        <v>3453</v>
      </c>
      <c r="F259" s="3185">
        <v>-2</v>
      </c>
    </row>
    <row r="260" spans="1:6" ht="15" customHeight="1">
      <c r="A260" s="3185">
        <v>44</v>
      </c>
      <c r="B260" s="3195">
        <v>73</v>
      </c>
      <c r="C260" s="3188">
        <v>39.04</v>
      </c>
      <c r="D260" s="3185" t="s">
        <v>3643</v>
      </c>
      <c r="E260" s="3185" t="s">
        <v>3453</v>
      </c>
      <c r="F260" s="3185">
        <v>-2</v>
      </c>
    </row>
    <row r="261" spans="1:6" ht="15" customHeight="1">
      <c r="A261" s="3185">
        <v>45</v>
      </c>
      <c r="B261" s="3195">
        <v>75</v>
      </c>
      <c r="C261" s="3188">
        <v>39.04</v>
      </c>
      <c r="D261" s="3185" t="s">
        <v>3643</v>
      </c>
      <c r="E261" s="3185" t="s">
        <v>3453</v>
      </c>
      <c r="F261" s="3185">
        <v>-2</v>
      </c>
    </row>
    <row r="262" spans="1:6" ht="15" customHeight="1">
      <c r="A262" s="3185">
        <v>46</v>
      </c>
      <c r="B262" s="3195">
        <v>77</v>
      </c>
      <c r="C262" s="3188">
        <v>39.04</v>
      </c>
      <c r="D262" s="3185" t="s">
        <v>3643</v>
      </c>
      <c r="E262" s="3185" t="s">
        <v>3453</v>
      </c>
      <c r="F262" s="3185">
        <v>-2</v>
      </c>
    </row>
    <row r="263" spans="1:6" ht="15" customHeight="1">
      <c r="A263" s="3185">
        <v>47</v>
      </c>
      <c r="B263" s="3195">
        <v>78</v>
      </c>
      <c r="C263" s="3188">
        <v>39.04</v>
      </c>
      <c r="D263" s="3185" t="s">
        <v>3643</v>
      </c>
      <c r="E263" s="3185" t="s">
        <v>3453</v>
      </c>
      <c r="F263" s="3185">
        <v>-2</v>
      </c>
    </row>
    <row r="264" spans="1:6" ht="15" customHeight="1">
      <c r="A264" s="3185">
        <v>48</v>
      </c>
      <c r="B264" s="3195">
        <v>79</v>
      </c>
      <c r="C264" s="3188">
        <v>39.04</v>
      </c>
      <c r="D264" s="3185" t="s">
        <v>3643</v>
      </c>
      <c r="E264" s="3185" t="s">
        <v>3453</v>
      </c>
      <c r="F264" s="3185">
        <v>-2</v>
      </c>
    </row>
    <row r="265" spans="1:6" ht="15" customHeight="1">
      <c r="A265" s="3185">
        <v>49</v>
      </c>
      <c r="B265" s="3195">
        <v>80</v>
      </c>
      <c r="C265" s="3188">
        <v>39.04</v>
      </c>
      <c r="D265" s="3185" t="s">
        <v>3643</v>
      </c>
      <c r="E265" s="3185" t="s">
        <v>3453</v>
      </c>
      <c r="F265" s="3185">
        <v>-2</v>
      </c>
    </row>
    <row r="266" spans="1:6" ht="15" customHeight="1">
      <c r="A266" s="3185">
        <v>50</v>
      </c>
      <c r="B266" s="3195">
        <v>81</v>
      </c>
      <c r="C266" s="3188">
        <v>39.04</v>
      </c>
      <c r="D266" s="3185" t="s">
        <v>3643</v>
      </c>
      <c r="E266" s="3185" t="s">
        <v>3453</v>
      </c>
      <c r="F266" s="3185">
        <v>-2</v>
      </c>
    </row>
    <row r="267" spans="1:6" ht="15" customHeight="1">
      <c r="A267" s="3185">
        <v>51</v>
      </c>
      <c r="B267" s="3195">
        <v>83</v>
      </c>
      <c r="C267" s="3188">
        <v>39.04</v>
      </c>
      <c r="D267" s="3185" t="s">
        <v>3643</v>
      </c>
      <c r="E267" s="3185" t="s">
        <v>3453</v>
      </c>
      <c r="F267" s="3185">
        <v>-2</v>
      </c>
    </row>
    <row r="268" spans="1:6" ht="15" customHeight="1">
      <c r="A268" s="3185">
        <v>52</v>
      </c>
      <c r="B268" s="3195">
        <v>85</v>
      </c>
      <c r="C268" s="3188">
        <v>39.04</v>
      </c>
      <c r="D268" s="3185" t="s">
        <v>3643</v>
      </c>
      <c r="E268" s="3185" t="s">
        <v>3453</v>
      </c>
      <c r="F268" s="3185">
        <v>-2</v>
      </c>
    </row>
    <row r="269" spans="1:6" ht="15" customHeight="1">
      <c r="A269" s="3185">
        <v>53</v>
      </c>
      <c r="B269" s="3194">
        <v>86</v>
      </c>
      <c r="C269" s="3188">
        <v>39.04</v>
      </c>
      <c r="D269" s="3185" t="s">
        <v>3643</v>
      </c>
      <c r="E269" s="3185" t="s">
        <v>3453</v>
      </c>
      <c r="F269" s="3185">
        <v>-2</v>
      </c>
    </row>
    <row r="270" spans="1:6" ht="15" customHeight="1">
      <c r="A270" s="3185">
        <v>54</v>
      </c>
      <c r="B270" s="3195">
        <v>91</v>
      </c>
      <c r="C270" s="3188">
        <v>31.83</v>
      </c>
      <c r="D270" s="3185" t="s">
        <v>3643</v>
      </c>
      <c r="E270" s="3185" t="s">
        <v>3453</v>
      </c>
      <c r="F270" s="3185">
        <v>-2</v>
      </c>
    </row>
    <row r="271" spans="1:6" ht="15" customHeight="1">
      <c r="A271" s="3185">
        <v>55</v>
      </c>
      <c r="B271" s="3195">
        <v>92</v>
      </c>
      <c r="C271" s="3188">
        <v>31.83</v>
      </c>
      <c r="D271" s="3185" t="s">
        <v>3643</v>
      </c>
      <c r="E271" s="3185" t="s">
        <v>3453</v>
      </c>
      <c r="F271" s="3185">
        <v>-2</v>
      </c>
    </row>
    <row r="272" spans="1:6" ht="15" customHeight="1">
      <c r="A272" s="3185">
        <v>56</v>
      </c>
      <c r="B272" s="3195">
        <v>93</v>
      </c>
      <c r="C272" s="3188">
        <v>31.83</v>
      </c>
      <c r="D272" s="3185" t="s">
        <v>3643</v>
      </c>
      <c r="E272" s="3185" t="s">
        <v>3453</v>
      </c>
      <c r="F272" s="3185">
        <v>-2</v>
      </c>
    </row>
    <row r="273" spans="1:6" ht="15" customHeight="1">
      <c r="A273" s="3185">
        <v>57</v>
      </c>
      <c r="B273" s="3195">
        <v>95</v>
      </c>
      <c r="C273" s="3188">
        <v>31.83</v>
      </c>
      <c r="D273" s="3185" t="s">
        <v>3643</v>
      </c>
      <c r="E273" s="3185" t="s">
        <v>3453</v>
      </c>
      <c r="F273" s="3185">
        <v>-2</v>
      </c>
    </row>
    <row r="274" spans="1:6" ht="15" customHeight="1">
      <c r="A274" s="3185">
        <v>58</v>
      </c>
      <c r="B274" s="3195">
        <v>96</v>
      </c>
      <c r="C274" s="3188">
        <v>31.83</v>
      </c>
      <c r="D274" s="3185" t="s">
        <v>3643</v>
      </c>
      <c r="E274" s="3185" t="s">
        <v>3453</v>
      </c>
      <c r="F274" s="3185">
        <v>-2</v>
      </c>
    </row>
    <row r="275" spans="1:6" ht="15" customHeight="1">
      <c r="A275" s="3185">
        <v>59</v>
      </c>
      <c r="B275" s="3195">
        <v>97</v>
      </c>
      <c r="C275" s="3188">
        <v>31.83</v>
      </c>
      <c r="D275" s="3185" t="s">
        <v>3643</v>
      </c>
      <c r="E275" s="3185" t="s">
        <v>3453</v>
      </c>
      <c r="F275" s="3185">
        <v>-2</v>
      </c>
    </row>
    <row r="276" spans="1:6" ht="15" customHeight="1">
      <c r="A276" s="3185">
        <v>60</v>
      </c>
      <c r="B276" s="3195">
        <v>98</v>
      </c>
      <c r="C276" s="3188">
        <v>31.83</v>
      </c>
      <c r="D276" s="3185" t="s">
        <v>3643</v>
      </c>
      <c r="E276" s="3185" t="s">
        <v>3453</v>
      </c>
      <c r="F276" s="3185">
        <v>-2</v>
      </c>
    </row>
    <row r="277" spans="1:6" ht="15" customHeight="1">
      <c r="A277" s="3185">
        <v>61</v>
      </c>
      <c r="B277" s="3195">
        <v>99</v>
      </c>
      <c r="C277" s="3188">
        <v>31.83</v>
      </c>
      <c r="D277" s="3185" t="s">
        <v>3643</v>
      </c>
      <c r="E277" s="3185" t="s">
        <v>3453</v>
      </c>
      <c r="F277" s="3185">
        <v>-2</v>
      </c>
    </row>
    <row r="278" spans="1:6" ht="15" customHeight="1">
      <c r="A278" s="3185">
        <v>62</v>
      </c>
      <c r="B278" s="3194">
        <v>100</v>
      </c>
      <c r="C278" s="3188">
        <v>31.83</v>
      </c>
      <c r="D278" s="3185" t="s">
        <v>3643</v>
      </c>
      <c r="E278" s="3185" t="s">
        <v>3453</v>
      </c>
      <c r="F278" s="3185">
        <v>-2</v>
      </c>
    </row>
    <row r="279" spans="1:6" ht="15" customHeight="1">
      <c r="A279" s="3185">
        <v>63</v>
      </c>
      <c r="B279" s="3185">
        <v>101</v>
      </c>
      <c r="C279" s="3188">
        <v>31.83</v>
      </c>
      <c r="D279" s="3185" t="s">
        <v>3643</v>
      </c>
      <c r="E279" s="3185" t="s">
        <v>3453</v>
      </c>
      <c r="F279" s="3185">
        <v>-2</v>
      </c>
    </row>
    <row r="280" spans="1:6" ht="15" customHeight="1">
      <c r="A280" s="3185">
        <v>64</v>
      </c>
      <c r="B280" s="3185">
        <v>102</v>
      </c>
      <c r="C280" s="3188">
        <v>31.83</v>
      </c>
      <c r="D280" s="3185" t="s">
        <v>3643</v>
      </c>
      <c r="E280" s="3185" t="s">
        <v>3453</v>
      </c>
      <c r="F280" s="3185">
        <v>-2</v>
      </c>
    </row>
    <row r="281" spans="1:6" ht="15" customHeight="1">
      <c r="A281" s="3185">
        <v>65</v>
      </c>
      <c r="B281" s="3185">
        <v>103</v>
      </c>
      <c r="C281" s="3188">
        <v>31.83</v>
      </c>
      <c r="D281" s="3185" t="s">
        <v>3643</v>
      </c>
      <c r="E281" s="3185" t="s">
        <v>3453</v>
      </c>
      <c r="F281" s="3185">
        <v>-2</v>
      </c>
    </row>
    <row r="282" spans="1:6" ht="15" customHeight="1">
      <c r="A282" s="3185">
        <v>66</v>
      </c>
      <c r="B282" s="3185">
        <v>106</v>
      </c>
      <c r="C282" s="3188">
        <v>31.83</v>
      </c>
      <c r="D282" s="3185" t="s">
        <v>3643</v>
      </c>
      <c r="E282" s="3185" t="s">
        <v>3453</v>
      </c>
      <c r="F282" s="3185">
        <v>-2</v>
      </c>
    </row>
    <row r="283" spans="1:6" ht="15" customHeight="1">
      <c r="A283" s="3185">
        <v>67</v>
      </c>
      <c r="B283" s="3185">
        <v>107</v>
      </c>
      <c r="C283" s="3188">
        <v>31.83</v>
      </c>
      <c r="D283" s="3185" t="s">
        <v>3643</v>
      </c>
      <c r="E283" s="3185" t="s">
        <v>3453</v>
      </c>
      <c r="F283" s="3185">
        <v>-2</v>
      </c>
    </row>
    <row r="284" spans="1:6" ht="15" customHeight="1">
      <c r="A284" s="3185">
        <v>68</v>
      </c>
      <c r="B284" s="3185">
        <v>108</v>
      </c>
      <c r="C284" s="3188">
        <v>31.83</v>
      </c>
      <c r="D284" s="3185" t="s">
        <v>3643</v>
      </c>
      <c r="E284" s="3185" t="s">
        <v>3453</v>
      </c>
      <c r="F284" s="3185">
        <v>-2</v>
      </c>
    </row>
    <row r="285" spans="1:6" ht="15" customHeight="1">
      <c r="A285" s="3185">
        <v>69</v>
      </c>
      <c r="B285" s="3195">
        <v>109</v>
      </c>
      <c r="C285" s="3188">
        <v>31.83</v>
      </c>
      <c r="D285" s="3185" t="s">
        <v>3643</v>
      </c>
      <c r="E285" s="3185" t="s">
        <v>3453</v>
      </c>
      <c r="F285" s="3185">
        <v>-2</v>
      </c>
    </row>
    <row r="286" spans="1:6" ht="15" customHeight="1">
      <c r="A286" s="3185">
        <v>70</v>
      </c>
      <c r="B286" s="3194">
        <v>110</v>
      </c>
      <c r="C286" s="3188">
        <v>31.83</v>
      </c>
      <c r="D286" s="3185" t="s">
        <v>3643</v>
      </c>
      <c r="E286" s="3185" t="s">
        <v>3453</v>
      </c>
      <c r="F286" s="3185">
        <v>-2</v>
      </c>
    </row>
    <row r="287" spans="1:6" ht="15" customHeight="1">
      <c r="A287" s="3185">
        <v>71</v>
      </c>
      <c r="B287" s="3194">
        <v>111</v>
      </c>
      <c r="C287" s="3188">
        <v>31.83</v>
      </c>
      <c r="D287" s="3185" t="s">
        <v>3643</v>
      </c>
      <c r="E287" s="3185" t="s">
        <v>3453</v>
      </c>
      <c r="F287" s="3185">
        <v>-2</v>
      </c>
    </row>
    <row r="288" spans="1:6" ht="15" customHeight="1">
      <c r="A288" s="3185">
        <v>72</v>
      </c>
      <c r="B288" s="3194">
        <v>112</v>
      </c>
      <c r="C288" s="3188">
        <v>31.83</v>
      </c>
      <c r="D288" s="3185" t="s">
        <v>3643</v>
      </c>
      <c r="E288" s="3185" t="s">
        <v>3453</v>
      </c>
      <c r="F288" s="3185">
        <v>-2</v>
      </c>
    </row>
    <row r="289" spans="1:6" ht="15" customHeight="1">
      <c r="A289" s="3185">
        <v>73</v>
      </c>
      <c r="B289" s="3194">
        <v>115</v>
      </c>
      <c r="C289" s="3188">
        <v>31.83</v>
      </c>
      <c r="D289" s="3185" t="s">
        <v>3643</v>
      </c>
      <c r="E289" s="3185" t="s">
        <v>3453</v>
      </c>
      <c r="F289" s="3185">
        <v>-2</v>
      </c>
    </row>
    <row r="290" spans="1:6" ht="15" customHeight="1">
      <c r="A290" s="3185">
        <v>74</v>
      </c>
      <c r="B290" s="3194">
        <v>116</v>
      </c>
      <c r="C290" s="3188">
        <v>31.83</v>
      </c>
      <c r="D290" s="3185" t="s">
        <v>3643</v>
      </c>
      <c r="E290" s="3185" t="s">
        <v>3453</v>
      </c>
      <c r="F290" s="3185">
        <v>-2</v>
      </c>
    </row>
    <row r="291" spans="1:6" ht="15" customHeight="1">
      <c r="A291" s="3185">
        <v>75</v>
      </c>
      <c r="B291" s="3194">
        <v>117</v>
      </c>
      <c r="C291" s="3188">
        <v>31.83</v>
      </c>
      <c r="D291" s="3185" t="s">
        <v>3643</v>
      </c>
      <c r="E291" s="3185" t="s">
        <v>3453</v>
      </c>
      <c r="F291" s="3185">
        <v>-2</v>
      </c>
    </row>
    <row r="292" spans="1:6" ht="15" customHeight="1">
      <c r="A292" s="3185">
        <v>76</v>
      </c>
      <c r="B292" s="3194">
        <v>118</v>
      </c>
      <c r="C292" s="3188">
        <v>31.83</v>
      </c>
      <c r="D292" s="3185" t="s">
        <v>3643</v>
      </c>
      <c r="E292" s="3185" t="s">
        <v>3453</v>
      </c>
      <c r="F292" s="3185">
        <v>-2</v>
      </c>
    </row>
    <row r="293" spans="1:6" ht="15" customHeight="1">
      <c r="A293" s="3185">
        <v>77</v>
      </c>
      <c r="B293" s="3194">
        <v>119</v>
      </c>
      <c r="C293" s="3188">
        <v>31.83</v>
      </c>
      <c r="D293" s="3185" t="s">
        <v>3643</v>
      </c>
      <c r="E293" s="3185" t="s">
        <v>3453</v>
      </c>
      <c r="F293" s="3185">
        <v>-2</v>
      </c>
    </row>
    <row r="294" spans="1:6" ht="15" customHeight="1">
      <c r="A294" s="3185">
        <v>78</v>
      </c>
      <c r="B294" s="3194">
        <v>120</v>
      </c>
      <c r="C294" s="3188">
        <v>31.83</v>
      </c>
      <c r="D294" s="3185" t="s">
        <v>3643</v>
      </c>
      <c r="E294" s="3185" t="s">
        <v>3453</v>
      </c>
      <c r="F294" s="3185">
        <v>-2</v>
      </c>
    </row>
    <row r="295" spans="1:6" ht="15" customHeight="1">
      <c r="A295" s="3185">
        <v>79</v>
      </c>
      <c r="B295" s="3194">
        <v>121</v>
      </c>
      <c r="C295" s="3188">
        <v>31.83</v>
      </c>
      <c r="D295" s="3185" t="s">
        <v>3643</v>
      </c>
      <c r="E295" s="3185" t="s">
        <v>3453</v>
      </c>
      <c r="F295" s="3185">
        <v>-2</v>
      </c>
    </row>
    <row r="296" spans="1:6" ht="15" customHeight="1">
      <c r="A296" s="3185">
        <v>80</v>
      </c>
      <c r="B296" s="3194">
        <v>122</v>
      </c>
      <c r="C296" s="3188">
        <v>31.83</v>
      </c>
      <c r="D296" s="3185" t="s">
        <v>3643</v>
      </c>
      <c r="E296" s="3185" t="s">
        <v>3453</v>
      </c>
      <c r="F296" s="3185">
        <v>-2</v>
      </c>
    </row>
    <row r="297" spans="1:6" ht="15" customHeight="1">
      <c r="A297" s="3185">
        <v>81</v>
      </c>
      <c r="B297" s="3194">
        <v>123</v>
      </c>
      <c r="C297" s="3188">
        <v>31.83</v>
      </c>
      <c r="D297" s="3185" t="s">
        <v>3643</v>
      </c>
      <c r="E297" s="3185" t="s">
        <v>3453</v>
      </c>
      <c r="F297" s="3185">
        <v>-2</v>
      </c>
    </row>
    <row r="298" spans="1:6" ht="15" customHeight="1">
      <c r="A298" s="3185">
        <v>82</v>
      </c>
      <c r="B298" s="3194">
        <v>125</v>
      </c>
      <c r="C298" s="3188">
        <v>31.83</v>
      </c>
      <c r="D298" s="3185" t="s">
        <v>3643</v>
      </c>
      <c r="E298" s="3185" t="s">
        <v>3453</v>
      </c>
      <c r="F298" s="3185">
        <v>-2</v>
      </c>
    </row>
    <row r="299" spans="1:6" ht="15" customHeight="1">
      <c r="A299" s="3185">
        <v>83</v>
      </c>
      <c r="B299" s="3185">
        <v>126</v>
      </c>
      <c r="C299" s="3188">
        <v>31.83</v>
      </c>
      <c r="D299" s="3185" t="s">
        <v>3643</v>
      </c>
      <c r="E299" s="3185" t="s">
        <v>3453</v>
      </c>
      <c r="F299" s="3185">
        <v>-2</v>
      </c>
    </row>
    <row r="300" spans="1:6" ht="15" customHeight="1">
      <c r="A300" s="3185">
        <v>84</v>
      </c>
      <c r="B300" s="3185">
        <v>127</v>
      </c>
      <c r="C300" s="3188">
        <v>31.83</v>
      </c>
      <c r="D300" s="3185" t="s">
        <v>3643</v>
      </c>
      <c r="E300" s="3185" t="s">
        <v>3453</v>
      </c>
      <c r="F300" s="3185">
        <v>-2</v>
      </c>
    </row>
    <row r="301" spans="1:6" ht="15" customHeight="1">
      <c r="A301" s="3185">
        <v>85</v>
      </c>
      <c r="B301" s="3185">
        <v>129</v>
      </c>
      <c r="C301" s="3188">
        <v>31.83</v>
      </c>
      <c r="D301" s="3185" t="s">
        <v>3643</v>
      </c>
      <c r="E301" s="3185" t="s">
        <v>3453</v>
      </c>
      <c r="F301" s="3185">
        <v>-2</v>
      </c>
    </row>
    <row r="302" spans="1:6" ht="15" customHeight="1">
      <c r="A302" s="3185">
        <v>86</v>
      </c>
      <c r="B302" s="3185">
        <v>130</v>
      </c>
      <c r="C302" s="3188">
        <v>31.83</v>
      </c>
      <c r="D302" s="3185" t="s">
        <v>3643</v>
      </c>
      <c r="E302" s="3185" t="s">
        <v>3453</v>
      </c>
      <c r="F302" s="3185">
        <v>-2</v>
      </c>
    </row>
    <row r="303" spans="1:6" ht="15" customHeight="1">
      <c r="A303" s="3185">
        <v>87</v>
      </c>
      <c r="B303" s="3185">
        <v>131</v>
      </c>
      <c r="C303" s="3188">
        <v>31.83</v>
      </c>
      <c r="D303" s="3185" t="s">
        <v>3643</v>
      </c>
      <c r="E303" s="3185" t="s">
        <v>3453</v>
      </c>
      <c r="F303" s="3185">
        <v>-2</v>
      </c>
    </row>
    <row r="304" spans="1:6" ht="15" customHeight="1">
      <c r="A304" s="3185">
        <v>88</v>
      </c>
      <c r="B304" s="3185">
        <v>132</v>
      </c>
      <c r="C304" s="3188">
        <v>31.83</v>
      </c>
      <c r="D304" s="3185" t="s">
        <v>3643</v>
      </c>
      <c r="E304" s="3185" t="s">
        <v>3453</v>
      </c>
      <c r="F304" s="3185">
        <v>-2</v>
      </c>
    </row>
    <row r="305" spans="1:6" ht="15" customHeight="1">
      <c r="A305" s="3185">
        <v>89</v>
      </c>
      <c r="B305" s="3185">
        <v>133</v>
      </c>
      <c r="C305" s="3188">
        <v>31.83</v>
      </c>
      <c r="D305" s="3185" t="s">
        <v>3643</v>
      </c>
      <c r="E305" s="3185" t="s">
        <v>3453</v>
      </c>
      <c r="F305" s="3185">
        <v>-2</v>
      </c>
    </row>
    <row r="306" spans="1:6" ht="15" customHeight="1">
      <c r="A306" s="3185">
        <v>90</v>
      </c>
      <c r="B306" s="3185">
        <v>135</v>
      </c>
      <c r="C306" s="3188">
        <v>31.83</v>
      </c>
      <c r="D306" s="3185" t="s">
        <v>3643</v>
      </c>
      <c r="E306" s="3185" t="s">
        <v>3453</v>
      </c>
      <c r="F306" s="3185">
        <v>-2</v>
      </c>
    </row>
    <row r="307" spans="1:6" ht="15" customHeight="1">
      <c r="A307" s="3185">
        <v>91</v>
      </c>
      <c r="B307" s="3185">
        <v>136</v>
      </c>
      <c r="C307" s="3188">
        <v>31.83</v>
      </c>
      <c r="D307" s="3185" t="s">
        <v>3643</v>
      </c>
      <c r="E307" s="3185" t="s">
        <v>3453</v>
      </c>
      <c r="F307" s="3185">
        <v>-2</v>
      </c>
    </row>
    <row r="308" spans="1:6" ht="15" customHeight="1">
      <c r="A308" s="3185">
        <v>92</v>
      </c>
      <c r="B308" s="3185">
        <v>137</v>
      </c>
      <c r="C308" s="3188">
        <v>31.83</v>
      </c>
      <c r="D308" s="3185" t="s">
        <v>3643</v>
      </c>
      <c r="E308" s="3185" t="s">
        <v>3453</v>
      </c>
      <c r="F308" s="3185">
        <v>-2</v>
      </c>
    </row>
    <row r="309" spans="1:6" ht="15" customHeight="1">
      <c r="A309" s="3185">
        <v>93</v>
      </c>
      <c r="B309" s="3185">
        <v>138</v>
      </c>
      <c r="C309" s="3188">
        <v>31.83</v>
      </c>
      <c r="D309" s="3185" t="s">
        <v>3643</v>
      </c>
      <c r="E309" s="3185" t="s">
        <v>3453</v>
      </c>
      <c r="F309" s="3185">
        <v>-2</v>
      </c>
    </row>
    <row r="310" spans="1:6" ht="15" customHeight="1">
      <c r="A310" s="3185">
        <v>94</v>
      </c>
      <c r="B310" s="3185">
        <v>139</v>
      </c>
      <c r="C310" s="3188">
        <v>31.83</v>
      </c>
      <c r="D310" s="3185" t="s">
        <v>3643</v>
      </c>
      <c r="E310" s="3185" t="s">
        <v>3453</v>
      </c>
      <c r="F310" s="3185">
        <v>-2</v>
      </c>
    </row>
    <row r="311" spans="1:6" ht="15" customHeight="1">
      <c r="A311" s="3185">
        <v>95</v>
      </c>
      <c r="B311" s="3185">
        <v>140</v>
      </c>
      <c r="C311" s="3188">
        <v>31.83</v>
      </c>
      <c r="D311" s="3185" t="s">
        <v>3643</v>
      </c>
      <c r="E311" s="3185" t="s">
        <v>3453</v>
      </c>
      <c r="F311" s="3185">
        <v>-2</v>
      </c>
    </row>
    <row r="312" spans="1:6" ht="15" customHeight="1">
      <c r="A312" s="3185">
        <v>96</v>
      </c>
      <c r="B312" s="3185">
        <v>141</v>
      </c>
      <c r="C312" s="3188">
        <v>31.83</v>
      </c>
      <c r="D312" s="3185" t="s">
        <v>3643</v>
      </c>
      <c r="E312" s="3185" t="s">
        <v>3453</v>
      </c>
      <c r="F312" s="3185">
        <v>-2</v>
      </c>
    </row>
    <row r="313" spans="1:6" ht="15" customHeight="1">
      <c r="A313" s="3185">
        <v>97</v>
      </c>
      <c r="B313" s="3185">
        <v>142</v>
      </c>
      <c r="C313" s="3188">
        <v>31.83</v>
      </c>
      <c r="D313" s="3185" t="s">
        <v>3643</v>
      </c>
      <c r="E313" s="3185" t="s">
        <v>3453</v>
      </c>
      <c r="F313" s="3185">
        <v>-2</v>
      </c>
    </row>
    <row r="314" spans="1:6" ht="15" customHeight="1">
      <c r="A314" s="3185">
        <v>98</v>
      </c>
      <c r="B314" s="3185">
        <v>143</v>
      </c>
      <c r="C314" s="3188">
        <v>31.83</v>
      </c>
      <c r="D314" s="3185" t="s">
        <v>3643</v>
      </c>
      <c r="E314" s="3185" t="s">
        <v>3453</v>
      </c>
      <c r="F314" s="3185">
        <v>-2</v>
      </c>
    </row>
    <row r="315" spans="1:6" ht="15" customHeight="1">
      <c r="A315" s="3185">
        <v>99</v>
      </c>
      <c r="B315" s="3185">
        <v>145</v>
      </c>
      <c r="C315" s="3188">
        <v>31.83</v>
      </c>
      <c r="D315" s="3185" t="s">
        <v>3643</v>
      </c>
      <c r="E315" s="3185" t="s">
        <v>3453</v>
      </c>
      <c r="F315" s="3185">
        <v>-2</v>
      </c>
    </row>
    <row r="316" spans="1:6" ht="15" customHeight="1">
      <c r="A316" s="3185">
        <v>100</v>
      </c>
      <c r="B316" s="3185">
        <v>146</v>
      </c>
      <c r="C316" s="3188">
        <v>31.83</v>
      </c>
      <c r="D316" s="3185" t="s">
        <v>3643</v>
      </c>
      <c r="E316" s="3185" t="s">
        <v>3453</v>
      </c>
      <c r="F316" s="3185">
        <v>-2</v>
      </c>
    </row>
    <row r="317" spans="1:6" ht="15" customHeight="1">
      <c r="A317" s="3185">
        <v>101</v>
      </c>
      <c r="B317" s="3185">
        <v>147</v>
      </c>
      <c r="C317" s="3188">
        <v>31.83</v>
      </c>
      <c r="D317" s="3185" t="s">
        <v>3643</v>
      </c>
      <c r="E317" s="3185" t="s">
        <v>3453</v>
      </c>
      <c r="F317" s="3185">
        <v>-2</v>
      </c>
    </row>
    <row r="318" spans="1:6" ht="15" customHeight="1">
      <c r="A318" s="3185">
        <v>102</v>
      </c>
      <c r="B318" s="3185">
        <v>148</v>
      </c>
      <c r="C318" s="3188">
        <v>31.83</v>
      </c>
      <c r="D318" s="3185" t="s">
        <v>3643</v>
      </c>
      <c r="E318" s="3185" t="s">
        <v>3453</v>
      </c>
      <c r="F318" s="3185">
        <v>-2</v>
      </c>
    </row>
    <row r="319" spans="1:6" ht="15" customHeight="1">
      <c r="A319" s="3185">
        <v>103</v>
      </c>
      <c r="B319" s="3185">
        <v>149</v>
      </c>
      <c r="C319" s="3188">
        <v>31.83</v>
      </c>
      <c r="D319" s="3185" t="s">
        <v>3643</v>
      </c>
      <c r="E319" s="3185" t="s">
        <v>3453</v>
      </c>
      <c r="F319" s="3185">
        <v>-2</v>
      </c>
    </row>
    <row r="320" spans="1:6" ht="15" customHeight="1">
      <c r="A320" s="3185">
        <v>104</v>
      </c>
      <c r="B320" s="3185">
        <v>150</v>
      </c>
      <c r="C320" s="3188">
        <v>57.06</v>
      </c>
      <c r="D320" s="3185" t="s">
        <v>3643</v>
      </c>
      <c r="E320" s="3185" t="s">
        <v>3453</v>
      </c>
      <c r="F320" s="3185">
        <v>-2</v>
      </c>
    </row>
    <row r="321" spans="1:6" ht="15" customHeight="1">
      <c r="A321" s="3185">
        <v>105</v>
      </c>
      <c r="B321" s="3185">
        <v>151</v>
      </c>
      <c r="C321" s="3188">
        <v>31.83</v>
      </c>
      <c r="D321" s="3185" t="s">
        <v>3643</v>
      </c>
      <c r="E321" s="3185" t="s">
        <v>3453</v>
      </c>
      <c r="F321" s="3185">
        <v>-2</v>
      </c>
    </row>
    <row r="322" spans="1:6" ht="15" customHeight="1">
      <c r="A322" s="3185">
        <v>106</v>
      </c>
      <c r="B322" s="3185">
        <v>152</v>
      </c>
      <c r="C322" s="3188">
        <v>31.83</v>
      </c>
      <c r="D322" s="3185" t="s">
        <v>3643</v>
      </c>
      <c r="E322" s="3185" t="s">
        <v>3453</v>
      </c>
      <c r="F322" s="3185">
        <v>-2</v>
      </c>
    </row>
    <row r="323" spans="1:6" ht="15" customHeight="1">
      <c r="A323" s="3185">
        <v>107</v>
      </c>
      <c r="B323" s="3185">
        <v>153</v>
      </c>
      <c r="C323" s="3188">
        <v>31.83</v>
      </c>
      <c r="D323" s="3185" t="s">
        <v>3643</v>
      </c>
      <c r="E323" s="3185" t="s">
        <v>3453</v>
      </c>
      <c r="F323" s="3185">
        <v>-2</v>
      </c>
    </row>
    <row r="324" spans="1:6" ht="15" customHeight="1">
      <c r="A324" s="3185">
        <v>108</v>
      </c>
      <c r="B324" s="3185">
        <v>155</v>
      </c>
      <c r="C324" s="3188">
        <v>34.49</v>
      </c>
      <c r="D324" s="3185" t="s">
        <v>3643</v>
      </c>
      <c r="E324" s="3185" t="s">
        <v>3453</v>
      </c>
      <c r="F324" s="3185">
        <v>-2</v>
      </c>
    </row>
    <row r="325" spans="1:6" ht="15" customHeight="1">
      <c r="A325" s="3185">
        <v>109</v>
      </c>
      <c r="B325" s="3185">
        <v>156</v>
      </c>
      <c r="C325" s="3188">
        <v>34.49</v>
      </c>
      <c r="D325" s="3185" t="s">
        <v>3643</v>
      </c>
      <c r="E325" s="3185" t="s">
        <v>3453</v>
      </c>
      <c r="F325" s="3185">
        <v>-2</v>
      </c>
    </row>
    <row r="326" spans="1:6" ht="15" customHeight="1">
      <c r="A326" s="3185">
        <v>110</v>
      </c>
      <c r="B326" s="3185">
        <v>157</v>
      </c>
      <c r="C326" s="3188">
        <v>34.49</v>
      </c>
      <c r="D326" s="3185" t="s">
        <v>3643</v>
      </c>
      <c r="E326" s="3185" t="s">
        <v>3453</v>
      </c>
      <c r="F326" s="3185">
        <v>-2</v>
      </c>
    </row>
    <row r="327" spans="1:6" ht="15" customHeight="1">
      <c r="A327" s="3185">
        <v>111</v>
      </c>
      <c r="B327" s="3185">
        <v>159</v>
      </c>
      <c r="C327" s="3188">
        <v>31.83</v>
      </c>
      <c r="D327" s="3185" t="s">
        <v>3643</v>
      </c>
      <c r="E327" s="3185" t="s">
        <v>3453</v>
      </c>
      <c r="F327" s="3185">
        <v>-2</v>
      </c>
    </row>
    <row r="328" spans="1:6" ht="15" customHeight="1">
      <c r="A328" s="3185">
        <v>112</v>
      </c>
      <c r="B328" s="3185">
        <v>160</v>
      </c>
      <c r="C328" s="3188">
        <v>31.83</v>
      </c>
      <c r="D328" s="3185" t="s">
        <v>3643</v>
      </c>
      <c r="E328" s="3185" t="s">
        <v>3453</v>
      </c>
      <c r="F328" s="3185">
        <v>-2</v>
      </c>
    </row>
    <row r="329" spans="1:6" ht="15" customHeight="1">
      <c r="A329" s="3185">
        <v>113</v>
      </c>
      <c r="B329" s="3185">
        <v>162</v>
      </c>
      <c r="C329" s="3188">
        <v>31.83</v>
      </c>
      <c r="D329" s="3185" t="s">
        <v>3643</v>
      </c>
      <c r="E329" s="3185" t="s">
        <v>3453</v>
      </c>
      <c r="F329" s="3185">
        <v>-2</v>
      </c>
    </row>
    <row r="330" spans="1:6" ht="15" customHeight="1">
      <c r="A330" s="3185">
        <v>114</v>
      </c>
      <c r="B330" s="3185">
        <v>163</v>
      </c>
      <c r="C330" s="3188">
        <v>34.49</v>
      </c>
      <c r="D330" s="3185" t="s">
        <v>3643</v>
      </c>
      <c r="E330" s="3185" t="s">
        <v>3453</v>
      </c>
      <c r="F330" s="3185">
        <v>-2</v>
      </c>
    </row>
    <row r="331" spans="1:6" ht="15" customHeight="1">
      <c r="A331" s="3185">
        <v>115</v>
      </c>
      <c r="B331" s="3195">
        <v>165</v>
      </c>
      <c r="C331" s="3188">
        <v>34.49</v>
      </c>
      <c r="D331" s="3185" t="s">
        <v>3643</v>
      </c>
      <c r="E331" s="3185" t="s">
        <v>3453</v>
      </c>
      <c r="F331" s="3185">
        <v>-2</v>
      </c>
    </row>
    <row r="332" spans="1:6" ht="15" customHeight="1">
      <c r="A332" s="3185">
        <v>116</v>
      </c>
      <c r="B332" s="3185">
        <v>166</v>
      </c>
      <c r="C332" s="3188">
        <v>34.49</v>
      </c>
      <c r="D332" s="3185" t="s">
        <v>3643</v>
      </c>
      <c r="E332" s="3185" t="s">
        <v>3453</v>
      </c>
      <c r="F332" s="3185">
        <v>-2</v>
      </c>
    </row>
    <row r="333" spans="1:6" ht="15" customHeight="1">
      <c r="A333" s="3185">
        <v>117</v>
      </c>
      <c r="B333" s="3185">
        <v>167</v>
      </c>
      <c r="C333" s="3188">
        <v>31.83</v>
      </c>
      <c r="D333" s="3185" t="s">
        <v>3643</v>
      </c>
      <c r="E333" s="3185" t="s">
        <v>3453</v>
      </c>
      <c r="F333" s="3185">
        <v>-2</v>
      </c>
    </row>
    <row r="334" spans="1:6" ht="15" customHeight="1">
      <c r="A334" s="3185">
        <v>118</v>
      </c>
      <c r="B334" s="3185">
        <v>168</v>
      </c>
      <c r="C334" s="3188">
        <v>31.83</v>
      </c>
      <c r="D334" s="3185" t="s">
        <v>3643</v>
      </c>
      <c r="E334" s="3185" t="s">
        <v>3453</v>
      </c>
      <c r="F334" s="3185">
        <v>-2</v>
      </c>
    </row>
    <row r="335" spans="1:6" ht="15" customHeight="1">
      <c r="A335" s="3185">
        <v>119</v>
      </c>
      <c r="B335" s="3185">
        <v>169</v>
      </c>
      <c r="C335" s="3188">
        <v>31.83</v>
      </c>
      <c r="D335" s="3185" t="s">
        <v>3643</v>
      </c>
      <c r="E335" s="3185" t="s">
        <v>3453</v>
      </c>
      <c r="F335" s="3185">
        <v>-2</v>
      </c>
    </row>
    <row r="336" spans="1:6" ht="15" customHeight="1">
      <c r="A336" s="3185">
        <v>120</v>
      </c>
      <c r="B336" s="3185">
        <v>170</v>
      </c>
      <c r="C336" s="3188">
        <v>31.83</v>
      </c>
      <c r="D336" s="3185" t="s">
        <v>3643</v>
      </c>
      <c r="E336" s="3185" t="s">
        <v>3453</v>
      </c>
      <c r="F336" s="3185">
        <v>-2</v>
      </c>
    </row>
    <row r="337" spans="1:6" ht="15" customHeight="1">
      <c r="A337" s="3185">
        <v>121</v>
      </c>
      <c r="B337" s="3185">
        <v>171</v>
      </c>
      <c r="C337" s="3188">
        <v>31.83</v>
      </c>
      <c r="D337" s="3185" t="s">
        <v>3643</v>
      </c>
      <c r="E337" s="3185" t="s">
        <v>3453</v>
      </c>
      <c r="F337" s="3185">
        <v>-2</v>
      </c>
    </row>
    <row r="338" spans="1:6" ht="15" customHeight="1">
      <c r="A338" s="3185">
        <v>122</v>
      </c>
      <c r="B338" s="3185">
        <v>172</v>
      </c>
      <c r="C338" s="3188">
        <v>31.83</v>
      </c>
      <c r="D338" s="3185" t="s">
        <v>3643</v>
      </c>
      <c r="E338" s="3185" t="s">
        <v>3453</v>
      </c>
      <c r="F338" s="3185">
        <v>-2</v>
      </c>
    </row>
    <row r="339" spans="1:6" ht="15" customHeight="1">
      <c r="A339" s="3185">
        <v>123</v>
      </c>
      <c r="B339" s="3185">
        <v>173</v>
      </c>
      <c r="C339" s="3188">
        <v>31.83</v>
      </c>
      <c r="D339" s="3185" t="s">
        <v>3643</v>
      </c>
      <c r="E339" s="3185" t="s">
        <v>3453</v>
      </c>
      <c r="F339" s="3185">
        <v>-2</v>
      </c>
    </row>
    <row r="340" spans="1:6" ht="15" customHeight="1">
      <c r="A340" s="3185">
        <v>124</v>
      </c>
      <c r="B340" s="3185">
        <v>175</v>
      </c>
      <c r="C340" s="3188">
        <v>31.83</v>
      </c>
      <c r="D340" s="3185" t="s">
        <v>3643</v>
      </c>
      <c r="E340" s="3185" t="s">
        <v>3453</v>
      </c>
      <c r="F340" s="3185">
        <v>-2</v>
      </c>
    </row>
    <row r="341" spans="1:6" ht="15" customHeight="1">
      <c r="A341" s="3185">
        <v>125</v>
      </c>
      <c r="B341" s="3185">
        <v>176</v>
      </c>
      <c r="C341" s="3188">
        <v>31.83</v>
      </c>
      <c r="D341" s="3185" t="s">
        <v>3643</v>
      </c>
      <c r="E341" s="3185" t="s">
        <v>3453</v>
      </c>
      <c r="F341" s="3185">
        <v>-2</v>
      </c>
    </row>
    <row r="342" spans="1:6" ht="15" customHeight="1">
      <c r="A342" s="3185">
        <v>126</v>
      </c>
      <c r="B342" s="3185">
        <v>178</v>
      </c>
      <c r="C342" s="3188">
        <v>31.83</v>
      </c>
      <c r="D342" s="3185" t="s">
        <v>3643</v>
      </c>
      <c r="E342" s="3185" t="s">
        <v>3453</v>
      </c>
      <c r="F342" s="3185">
        <v>-2</v>
      </c>
    </row>
    <row r="343" spans="1:6" ht="15" customHeight="1">
      <c r="A343" s="3185">
        <v>127</v>
      </c>
      <c r="B343" s="3185">
        <v>179</v>
      </c>
      <c r="C343" s="3188">
        <v>31.83</v>
      </c>
      <c r="D343" s="3185" t="s">
        <v>3643</v>
      </c>
      <c r="E343" s="3185" t="s">
        <v>3453</v>
      </c>
      <c r="F343" s="3185">
        <v>-2</v>
      </c>
    </row>
    <row r="344" spans="1:6" ht="15" customHeight="1">
      <c r="A344" s="3185">
        <v>128</v>
      </c>
      <c r="B344" s="3185">
        <v>180</v>
      </c>
      <c r="C344" s="3188">
        <v>31.83</v>
      </c>
      <c r="D344" s="3185" t="s">
        <v>3643</v>
      </c>
      <c r="E344" s="3185" t="s">
        <v>3453</v>
      </c>
      <c r="F344" s="3185">
        <v>-2</v>
      </c>
    </row>
    <row r="345" spans="1:6" ht="15" customHeight="1">
      <c r="A345" s="3185">
        <v>129</v>
      </c>
      <c r="B345" s="3185">
        <v>181</v>
      </c>
      <c r="C345" s="3188">
        <v>31.83</v>
      </c>
      <c r="D345" s="3185" t="s">
        <v>3643</v>
      </c>
      <c r="E345" s="3185" t="s">
        <v>3453</v>
      </c>
      <c r="F345" s="3185">
        <v>-2</v>
      </c>
    </row>
    <row r="346" spans="1:6" ht="15" customHeight="1">
      <c r="A346" s="3185">
        <v>130</v>
      </c>
      <c r="B346" s="3185">
        <v>182</v>
      </c>
      <c r="C346" s="3188">
        <v>31.83</v>
      </c>
      <c r="D346" s="3185" t="s">
        <v>3643</v>
      </c>
      <c r="E346" s="3185" t="s">
        <v>3453</v>
      </c>
      <c r="F346" s="3185">
        <v>-2</v>
      </c>
    </row>
    <row r="347" spans="1:6" ht="15" customHeight="1">
      <c r="A347" s="3185">
        <v>131</v>
      </c>
      <c r="B347" s="3185">
        <v>185</v>
      </c>
      <c r="C347" s="3188">
        <v>31.83</v>
      </c>
      <c r="D347" s="3185" t="s">
        <v>3643</v>
      </c>
      <c r="E347" s="3185" t="s">
        <v>3453</v>
      </c>
      <c r="F347" s="3185">
        <v>-2</v>
      </c>
    </row>
    <row r="348" spans="1:6" ht="15" customHeight="1">
      <c r="A348" s="3185">
        <v>132</v>
      </c>
      <c r="B348" s="3185">
        <v>188</v>
      </c>
      <c r="C348" s="3188">
        <v>31.83</v>
      </c>
      <c r="D348" s="3185" t="s">
        <v>3643</v>
      </c>
      <c r="E348" s="3185" t="s">
        <v>3453</v>
      </c>
      <c r="F348" s="3185">
        <v>-2</v>
      </c>
    </row>
    <row r="349" spans="1:6" ht="15" customHeight="1">
      <c r="A349" s="3185">
        <v>133</v>
      </c>
      <c r="B349" s="3185">
        <v>190</v>
      </c>
      <c r="C349" s="3188">
        <v>31.83</v>
      </c>
      <c r="D349" s="3185" t="s">
        <v>3643</v>
      </c>
      <c r="E349" s="3185" t="s">
        <v>3453</v>
      </c>
      <c r="F349" s="3185">
        <v>-2</v>
      </c>
    </row>
    <row r="350" spans="1:6" ht="15" customHeight="1">
      <c r="A350" s="3185">
        <v>134</v>
      </c>
      <c r="B350" s="3185">
        <v>191</v>
      </c>
      <c r="C350" s="3188">
        <v>31.83</v>
      </c>
      <c r="D350" s="3185" t="s">
        <v>3643</v>
      </c>
      <c r="E350" s="3185" t="s">
        <v>3453</v>
      </c>
      <c r="F350" s="3185">
        <v>-2</v>
      </c>
    </row>
    <row r="351" spans="1:6" ht="15" customHeight="1">
      <c r="A351" s="3185">
        <v>135</v>
      </c>
      <c r="B351" s="3185">
        <v>192</v>
      </c>
      <c r="C351" s="3188">
        <v>31.83</v>
      </c>
      <c r="D351" s="3185" t="s">
        <v>3643</v>
      </c>
      <c r="E351" s="3185" t="s">
        <v>3453</v>
      </c>
      <c r="F351" s="3185">
        <v>-2</v>
      </c>
    </row>
    <row r="352" spans="1:6" ht="15" customHeight="1">
      <c r="A352" s="3185">
        <v>136</v>
      </c>
      <c r="B352" s="3185">
        <v>195</v>
      </c>
      <c r="C352" s="3188">
        <v>31.83</v>
      </c>
      <c r="D352" s="3185" t="s">
        <v>3643</v>
      </c>
      <c r="E352" s="3185" t="s">
        <v>3453</v>
      </c>
      <c r="F352" s="3185">
        <v>-2</v>
      </c>
    </row>
    <row r="353" spans="1:6" ht="15" customHeight="1">
      <c r="A353" s="3185">
        <v>137</v>
      </c>
      <c r="B353" s="3185">
        <v>196</v>
      </c>
      <c r="C353" s="3188">
        <v>31.83</v>
      </c>
      <c r="D353" s="3185" t="s">
        <v>3643</v>
      </c>
      <c r="E353" s="3185" t="s">
        <v>3453</v>
      </c>
      <c r="F353" s="3185">
        <v>-2</v>
      </c>
    </row>
    <row r="354" spans="1:6" ht="15" customHeight="1">
      <c r="A354" s="3185">
        <v>138</v>
      </c>
      <c r="B354" s="3185">
        <v>197</v>
      </c>
      <c r="C354" s="3188">
        <v>31.83</v>
      </c>
      <c r="D354" s="3185" t="s">
        <v>3643</v>
      </c>
      <c r="E354" s="3185" t="s">
        <v>3453</v>
      </c>
      <c r="F354" s="3185">
        <v>-2</v>
      </c>
    </row>
    <row r="355" spans="1:6" ht="15" customHeight="1">
      <c r="A355" s="3185">
        <v>139</v>
      </c>
      <c r="B355" s="3185">
        <v>198</v>
      </c>
      <c r="C355" s="3188">
        <v>31.83</v>
      </c>
      <c r="D355" s="3185" t="s">
        <v>3643</v>
      </c>
      <c r="E355" s="3185" t="s">
        <v>3453</v>
      </c>
      <c r="F355" s="3185">
        <v>-2</v>
      </c>
    </row>
    <row r="356" spans="1:6" ht="15" customHeight="1">
      <c r="A356" s="3185">
        <v>140</v>
      </c>
      <c r="B356" s="3185">
        <v>199</v>
      </c>
      <c r="C356" s="3188">
        <v>31.83</v>
      </c>
      <c r="D356" s="3185" t="s">
        <v>3643</v>
      </c>
      <c r="E356" s="3185" t="s">
        <v>3453</v>
      </c>
      <c r="F356" s="3185">
        <v>-2</v>
      </c>
    </row>
    <row r="357" spans="1:6" ht="15" customHeight="1">
      <c r="A357" s="3185">
        <v>141</v>
      </c>
      <c r="B357" s="3185">
        <v>222</v>
      </c>
      <c r="C357" s="3188">
        <v>31.83</v>
      </c>
      <c r="D357" s="3185" t="s">
        <v>3643</v>
      </c>
      <c r="E357" s="3185" t="s">
        <v>3453</v>
      </c>
      <c r="F357" s="3185">
        <v>-2</v>
      </c>
    </row>
    <row r="358" spans="1:6" ht="15" customHeight="1">
      <c r="A358" s="3185">
        <v>142</v>
      </c>
      <c r="B358" s="3185">
        <v>223</v>
      </c>
      <c r="C358" s="3188">
        <v>31.83</v>
      </c>
      <c r="D358" s="3185" t="s">
        <v>3643</v>
      </c>
      <c r="E358" s="3185" t="s">
        <v>3453</v>
      </c>
      <c r="F358" s="3185">
        <v>-2</v>
      </c>
    </row>
    <row r="359" spans="1:6" ht="15" customHeight="1">
      <c r="A359" s="3185">
        <v>143</v>
      </c>
      <c r="B359" s="3185">
        <v>226</v>
      </c>
      <c r="C359" s="3188">
        <v>31.83</v>
      </c>
      <c r="D359" s="3185" t="s">
        <v>3643</v>
      </c>
      <c r="E359" s="3185" t="s">
        <v>3453</v>
      </c>
      <c r="F359" s="3185">
        <v>-2</v>
      </c>
    </row>
    <row r="360" spans="1:6" ht="15" customHeight="1">
      <c r="A360" s="3185">
        <v>144</v>
      </c>
      <c r="B360" s="3185">
        <v>227</v>
      </c>
      <c r="C360" s="3188">
        <v>31.83</v>
      </c>
      <c r="D360" s="3185" t="s">
        <v>3643</v>
      </c>
      <c r="E360" s="3185" t="s">
        <v>3453</v>
      </c>
      <c r="F360" s="3185">
        <v>-2</v>
      </c>
    </row>
    <row r="361" spans="1:6" ht="15" customHeight="1">
      <c r="A361" s="3185">
        <v>145</v>
      </c>
      <c r="B361" s="3185">
        <v>228</v>
      </c>
      <c r="C361" s="3188">
        <v>31.83</v>
      </c>
      <c r="D361" s="3185" t="s">
        <v>3643</v>
      </c>
      <c r="E361" s="3185" t="s">
        <v>3453</v>
      </c>
      <c r="F361" s="3185">
        <v>-2</v>
      </c>
    </row>
    <row r="362" spans="1:6" ht="15" customHeight="1">
      <c r="A362" s="3185">
        <v>146</v>
      </c>
      <c r="B362" s="3185">
        <v>229</v>
      </c>
      <c r="C362" s="3188">
        <v>31.83</v>
      </c>
      <c r="D362" s="3185" t="s">
        <v>3643</v>
      </c>
      <c r="E362" s="3185" t="s">
        <v>3453</v>
      </c>
      <c r="F362" s="3185">
        <v>-2</v>
      </c>
    </row>
    <row r="363" spans="1:6" ht="15" customHeight="1">
      <c r="A363" s="3185">
        <v>147</v>
      </c>
      <c r="B363" s="3185">
        <v>230</v>
      </c>
      <c r="C363" s="3188">
        <v>31.83</v>
      </c>
      <c r="D363" s="3185" t="s">
        <v>3643</v>
      </c>
      <c r="E363" s="3185" t="s">
        <v>3453</v>
      </c>
      <c r="F363" s="3185">
        <v>-2</v>
      </c>
    </row>
    <row r="364" spans="1:6" ht="15" customHeight="1">
      <c r="A364" s="3185">
        <v>148</v>
      </c>
      <c r="B364" s="3185">
        <v>232</v>
      </c>
      <c r="C364" s="3188">
        <v>31.83</v>
      </c>
      <c r="D364" s="3185" t="s">
        <v>3643</v>
      </c>
      <c r="E364" s="3185" t="s">
        <v>3453</v>
      </c>
      <c r="F364" s="3185">
        <v>-2</v>
      </c>
    </row>
    <row r="365" spans="1:6" ht="15" customHeight="1">
      <c r="A365" s="3185">
        <v>149</v>
      </c>
      <c r="B365" s="3185">
        <v>233</v>
      </c>
      <c r="C365" s="3188">
        <v>31.83</v>
      </c>
      <c r="D365" s="3185" t="s">
        <v>3643</v>
      </c>
      <c r="E365" s="3185" t="s">
        <v>3453</v>
      </c>
      <c r="F365" s="3185">
        <v>-2</v>
      </c>
    </row>
    <row r="366" spans="1:6" ht="15" customHeight="1">
      <c r="A366" s="3185">
        <v>150</v>
      </c>
      <c r="B366" s="3185">
        <v>235</v>
      </c>
      <c r="C366" s="3188">
        <v>34.49</v>
      </c>
      <c r="D366" s="3185" t="s">
        <v>3643</v>
      </c>
      <c r="E366" s="3185" t="s">
        <v>3453</v>
      </c>
      <c r="F366" s="3185">
        <v>-2</v>
      </c>
    </row>
    <row r="367" spans="1:6" ht="15" customHeight="1">
      <c r="A367" s="3185">
        <v>151</v>
      </c>
      <c r="B367" s="3185">
        <v>236</v>
      </c>
      <c r="C367" s="3188">
        <v>34.49</v>
      </c>
      <c r="D367" s="3185" t="s">
        <v>3643</v>
      </c>
      <c r="E367" s="3185" t="s">
        <v>3453</v>
      </c>
      <c r="F367" s="3185">
        <v>-2</v>
      </c>
    </row>
    <row r="368" spans="1:6" ht="15" customHeight="1">
      <c r="A368" s="3185">
        <v>152</v>
      </c>
      <c r="B368" s="3185">
        <v>237</v>
      </c>
      <c r="C368" s="3188">
        <v>34.49</v>
      </c>
      <c r="D368" s="3185" t="s">
        <v>3643</v>
      </c>
      <c r="E368" s="3185" t="s">
        <v>3453</v>
      </c>
      <c r="F368" s="3185">
        <v>-2</v>
      </c>
    </row>
    <row r="369" spans="1:6" ht="15" customHeight="1">
      <c r="A369" s="3185">
        <v>153</v>
      </c>
      <c r="B369" s="3185">
        <v>240</v>
      </c>
      <c r="C369" s="3188">
        <v>34.49</v>
      </c>
      <c r="D369" s="3185" t="s">
        <v>3643</v>
      </c>
      <c r="E369" s="3185" t="s">
        <v>3453</v>
      </c>
      <c r="F369" s="3185">
        <v>-2</v>
      </c>
    </row>
    <row r="370" spans="1:6" ht="15" customHeight="1">
      <c r="A370" s="3185">
        <v>154</v>
      </c>
      <c r="B370" s="3185">
        <v>255</v>
      </c>
      <c r="C370" s="3188">
        <v>31.83</v>
      </c>
      <c r="D370" s="3185" t="s">
        <v>3643</v>
      </c>
      <c r="E370" s="3185" t="s">
        <v>3453</v>
      </c>
      <c r="F370" s="3185">
        <v>-2</v>
      </c>
    </row>
    <row r="371" spans="1:6" ht="15" customHeight="1">
      <c r="A371" s="3185">
        <v>155</v>
      </c>
      <c r="B371" s="3189">
        <v>256</v>
      </c>
      <c r="C371" s="3188">
        <v>31.83</v>
      </c>
      <c r="D371" s="3185" t="s">
        <v>3643</v>
      </c>
      <c r="E371" s="3185" t="s">
        <v>3453</v>
      </c>
      <c r="F371" s="3185">
        <v>-2</v>
      </c>
    </row>
    <row r="372" spans="1:6" ht="15" customHeight="1">
      <c r="A372" s="3185">
        <v>156</v>
      </c>
      <c r="B372" s="3189">
        <v>257</v>
      </c>
      <c r="C372" s="3188">
        <v>31.83</v>
      </c>
      <c r="D372" s="3185" t="s">
        <v>3643</v>
      </c>
      <c r="E372" s="3185" t="s">
        <v>3453</v>
      </c>
      <c r="F372" s="3185">
        <v>-2</v>
      </c>
    </row>
    <row r="373" spans="1:6" ht="15" customHeight="1">
      <c r="A373" s="3185">
        <v>157</v>
      </c>
      <c r="B373" s="3194">
        <v>310</v>
      </c>
      <c r="C373" s="3188">
        <v>31.83</v>
      </c>
      <c r="D373" s="3185" t="s">
        <v>3643</v>
      </c>
      <c r="E373" s="3185" t="s">
        <v>3453</v>
      </c>
      <c r="F373" s="3185">
        <v>-2</v>
      </c>
    </row>
    <row r="374" spans="1:6" ht="15" customHeight="1">
      <c r="A374" s="3185">
        <v>158</v>
      </c>
      <c r="B374" s="3194">
        <v>311</v>
      </c>
      <c r="C374" s="3188">
        <v>31.83</v>
      </c>
      <c r="D374" s="3185" t="s">
        <v>3643</v>
      </c>
      <c r="E374" s="3185" t="s">
        <v>3453</v>
      </c>
      <c r="F374" s="3185">
        <v>-2</v>
      </c>
    </row>
    <row r="375" spans="1:6" ht="15" customHeight="1">
      <c r="A375" s="3185">
        <v>159</v>
      </c>
      <c r="B375" s="3194">
        <v>312</v>
      </c>
      <c r="C375" s="3188">
        <v>31.83</v>
      </c>
      <c r="D375" s="3185" t="s">
        <v>3643</v>
      </c>
      <c r="E375" s="3185" t="s">
        <v>3453</v>
      </c>
      <c r="F375" s="3185">
        <v>-2</v>
      </c>
    </row>
    <row r="376" spans="1:6" ht="15" customHeight="1">
      <c r="A376" s="3185">
        <v>160</v>
      </c>
      <c r="B376" s="3194">
        <v>315</v>
      </c>
      <c r="C376" s="3188">
        <v>31.83</v>
      </c>
      <c r="D376" s="3185" t="s">
        <v>3643</v>
      </c>
      <c r="E376" s="3185" t="s">
        <v>3453</v>
      </c>
      <c r="F376" s="3185">
        <v>-2</v>
      </c>
    </row>
    <row r="377" spans="1:6" ht="15" customHeight="1">
      <c r="A377" s="3185">
        <v>161</v>
      </c>
      <c r="B377" s="3194">
        <v>318</v>
      </c>
      <c r="C377" s="3188">
        <v>31.83</v>
      </c>
      <c r="D377" s="3185" t="s">
        <v>3643</v>
      </c>
      <c r="E377" s="3185" t="s">
        <v>3453</v>
      </c>
      <c r="F377" s="3185">
        <v>-2</v>
      </c>
    </row>
    <row r="378" spans="1:6" ht="15" customHeight="1">
      <c r="A378" s="3185">
        <v>162</v>
      </c>
      <c r="B378" s="3194">
        <v>319</v>
      </c>
      <c r="C378" s="3188">
        <v>31.83</v>
      </c>
      <c r="D378" s="3185" t="s">
        <v>3643</v>
      </c>
      <c r="E378" s="3185" t="s">
        <v>3453</v>
      </c>
      <c r="F378" s="3185">
        <v>-2</v>
      </c>
    </row>
    <row r="379" spans="1:6" ht="15" customHeight="1">
      <c r="A379" s="3185">
        <v>163</v>
      </c>
      <c r="B379" s="3189">
        <v>321</v>
      </c>
      <c r="C379" s="3188">
        <v>31.83</v>
      </c>
      <c r="D379" s="3185" t="s">
        <v>3643</v>
      </c>
      <c r="E379" s="3185" t="s">
        <v>3453</v>
      </c>
      <c r="F379" s="3185">
        <v>-2</v>
      </c>
    </row>
    <row r="380" spans="1:6" ht="15" customHeight="1">
      <c r="A380" s="3185">
        <v>164</v>
      </c>
      <c r="B380" s="3195">
        <v>1</v>
      </c>
      <c r="C380" s="3188">
        <v>31.83</v>
      </c>
      <c r="D380" s="3185" t="s">
        <v>3643</v>
      </c>
      <c r="E380" s="3185" t="s">
        <v>3453</v>
      </c>
      <c r="F380" s="3185">
        <v>-3</v>
      </c>
    </row>
    <row r="381" spans="1:6" ht="15" customHeight="1">
      <c r="A381" s="3185">
        <v>165</v>
      </c>
      <c r="B381" s="3195">
        <v>2</v>
      </c>
      <c r="C381" s="3188">
        <v>31.83</v>
      </c>
      <c r="D381" s="3185" t="s">
        <v>3643</v>
      </c>
      <c r="E381" s="3185" t="s">
        <v>3453</v>
      </c>
      <c r="F381" s="3185">
        <v>-3</v>
      </c>
    </row>
    <row r="382" spans="1:6" ht="15" customHeight="1">
      <c r="A382" s="3185">
        <v>166</v>
      </c>
      <c r="B382" s="3195">
        <v>3</v>
      </c>
      <c r="C382" s="3188">
        <v>31.83</v>
      </c>
      <c r="D382" s="3185" t="s">
        <v>3643</v>
      </c>
      <c r="E382" s="3185" t="s">
        <v>3453</v>
      </c>
      <c r="F382" s="3185">
        <v>-3</v>
      </c>
    </row>
    <row r="383" spans="1:6" ht="15" customHeight="1">
      <c r="A383" s="3185">
        <v>167</v>
      </c>
      <c r="B383" s="3195">
        <v>5</v>
      </c>
      <c r="C383" s="3188">
        <v>31.83</v>
      </c>
      <c r="D383" s="3185" t="s">
        <v>3643</v>
      </c>
      <c r="E383" s="3185" t="s">
        <v>3453</v>
      </c>
      <c r="F383" s="3185">
        <v>-3</v>
      </c>
    </row>
    <row r="384" spans="1:6" ht="15" customHeight="1">
      <c r="A384" s="3185">
        <v>168</v>
      </c>
      <c r="B384" s="3195">
        <v>6</v>
      </c>
      <c r="C384" s="3188">
        <v>31.83</v>
      </c>
      <c r="D384" s="3185" t="s">
        <v>3643</v>
      </c>
      <c r="E384" s="3185" t="s">
        <v>3453</v>
      </c>
      <c r="F384" s="3185">
        <v>-3</v>
      </c>
    </row>
    <row r="385" spans="1:6" ht="15" customHeight="1">
      <c r="A385" s="3185">
        <v>169</v>
      </c>
      <c r="B385" s="3195">
        <v>7</v>
      </c>
      <c r="C385" s="3188">
        <v>31.83</v>
      </c>
      <c r="D385" s="3185" t="s">
        <v>3643</v>
      </c>
      <c r="E385" s="3185" t="s">
        <v>3453</v>
      </c>
      <c r="F385" s="3185">
        <v>-3</v>
      </c>
    </row>
    <row r="386" spans="1:6" ht="15" customHeight="1">
      <c r="A386" s="3185">
        <v>170</v>
      </c>
      <c r="B386" s="3195">
        <v>8</v>
      </c>
      <c r="C386" s="3188">
        <v>31.83</v>
      </c>
      <c r="D386" s="3185" t="s">
        <v>3643</v>
      </c>
      <c r="E386" s="3185" t="s">
        <v>3453</v>
      </c>
      <c r="F386" s="3185">
        <v>-3</v>
      </c>
    </row>
    <row r="387" spans="1:6" ht="15" customHeight="1">
      <c r="A387" s="3185">
        <v>171</v>
      </c>
      <c r="B387" s="3195">
        <v>9</v>
      </c>
      <c r="C387" s="3188">
        <v>31.83</v>
      </c>
      <c r="D387" s="3185" t="s">
        <v>3643</v>
      </c>
      <c r="E387" s="3185" t="s">
        <v>3453</v>
      </c>
      <c r="F387" s="3185">
        <v>-3</v>
      </c>
    </row>
    <row r="388" spans="1:6" ht="15" customHeight="1">
      <c r="A388" s="3185">
        <v>172</v>
      </c>
      <c r="B388" s="3195">
        <v>10</v>
      </c>
      <c r="C388" s="3188">
        <v>31.83</v>
      </c>
      <c r="D388" s="3185" t="s">
        <v>3643</v>
      </c>
      <c r="E388" s="3185" t="s">
        <v>3453</v>
      </c>
      <c r="F388" s="3185">
        <v>-3</v>
      </c>
    </row>
    <row r="389" spans="1:6" ht="15" customHeight="1">
      <c r="A389" s="3185">
        <v>173</v>
      </c>
      <c r="B389" s="3195">
        <v>11</v>
      </c>
      <c r="C389" s="3188">
        <v>31.83</v>
      </c>
      <c r="D389" s="3185" t="s">
        <v>3643</v>
      </c>
      <c r="E389" s="3185" t="s">
        <v>3453</v>
      </c>
      <c r="F389" s="3185">
        <v>-3</v>
      </c>
    </row>
    <row r="390" spans="1:6" ht="15" customHeight="1">
      <c r="A390" s="3185">
        <v>174</v>
      </c>
      <c r="B390" s="3195">
        <v>12</v>
      </c>
      <c r="C390" s="3188">
        <v>31.83</v>
      </c>
      <c r="D390" s="3185" t="s">
        <v>3643</v>
      </c>
      <c r="E390" s="3185" t="s">
        <v>3453</v>
      </c>
      <c r="F390" s="3185">
        <v>-3</v>
      </c>
    </row>
    <row r="391" spans="1:6" ht="15" customHeight="1">
      <c r="A391" s="3185">
        <v>175</v>
      </c>
      <c r="B391" s="3195">
        <v>15</v>
      </c>
      <c r="C391" s="3188">
        <v>31.83</v>
      </c>
      <c r="D391" s="3185" t="s">
        <v>3643</v>
      </c>
      <c r="E391" s="3185" t="s">
        <v>3453</v>
      </c>
      <c r="F391" s="3185">
        <v>-3</v>
      </c>
    </row>
    <row r="392" spans="1:6" ht="15" customHeight="1">
      <c r="A392" s="3185">
        <v>176</v>
      </c>
      <c r="B392" s="3195">
        <v>16</v>
      </c>
      <c r="C392" s="3188">
        <v>31.83</v>
      </c>
      <c r="D392" s="3185" t="s">
        <v>3643</v>
      </c>
      <c r="E392" s="3185" t="s">
        <v>3453</v>
      </c>
      <c r="F392" s="3185">
        <v>-3</v>
      </c>
    </row>
    <row r="393" spans="1:6" ht="15" customHeight="1">
      <c r="A393" s="3185">
        <v>177</v>
      </c>
      <c r="B393" s="3195">
        <v>17</v>
      </c>
      <c r="C393" s="3188">
        <v>31.83</v>
      </c>
      <c r="D393" s="3185" t="s">
        <v>3643</v>
      </c>
      <c r="E393" s="3185" t="s">
        <v>3453</v>
      </c>
      <c r="F393" s="3185">
        <v>-3</v>
      </c>
    </row>
    <row r="394" spans="1:6" ht="15" customHeight="1">
      <c r="A394" s="3185">
        <v>178</v>
      </c>
      <c r="B394" s="3195">
        <v>18</v>
      </c>
      <c r="C394" s="3188">
        <v>31.83</v>
      </c>
      <c r="D394" s="3185" t="s">
        <v>3643</v>
      </c>
      <c r="E394" s="3185" t="s">
        <v>3453</v>
      </c>
      <c r="F394" s="3185">
        <v>-3</v>
      </c>
    </row>
    <row r="395" spans="1:6" ht="15" customHeight="1">
      <c r="A395" s="3185">
        <v>179</v>
      </c>
      <c r="B395" s="3194">
        <v>19</v>
      </c>
      <c r="C395" s="3188">
        <v>31.83</v>
      </c>
      <c r="D395" s="3185" t="s">
        <v>3643</v>
      </c>
      <c r="E395" s="3185" t="s">
        <v>3453</v>
      </c>
      <c r="F395" s="3185">
        <v>-3</v>
      </c>
    </row>
    <row r="396" spans="1:6" ht="15" customHeight="1">
      <c r="A396" s="3185">
        <v>180</v>
      </c>
      <c r="B396" s="3194">
        <v>20</v>
      </c>
      <c r="C396" s="3188">
        <v>31.83</v>
      </c>
      <c r="D396" s="3185" t="s">
        <v>3643</v>
      </c>
      <c r="E396" s="3185" t="s">
        <v>3453</v>
      </c>
      <c r="F396" s="3185">
        <v>-3</v>
      </c>
    </row>
    <row r="397" spans="1:6" ht="15" customHeight="1">
      <c r="A397" s="3185">
        <v>181</v>
      </c>
      <c r="B397" s="3194">
        <v>21</v>
      </c>
      <c r="C397" s="3188">
        <v>31.83</v>
      </c>
      <c r="D397" s="3185" t="s">
        <v>3643</v>
      </c>
      <c r="E397" s="3185" t="s">
        <v>3453</v>
      </c>
      <c r="F397" s="3185">
        <v>-3</v>
      </c>
    </row>
    <row r="398" spans="1:6" ht="15" customHeight="1">
      <c r="A398" s="3185">
        <v>182</v>
      </c>
      <c r="B398" s="3194">
        <v>22</v>
      </c>
      <c r="C398" s="3188">
        <v>31.83</v>
      </c>
      <c r="D398" s="3185" t="s">
        <v>3643</v>
      </c>
      <c r="E398" s="3185" t="s">
        <v>3453</v>
      </c>
      <c r="F398" s="3185">
        <v>-3</v>
      </c>
    </row>
    <row r="399" spans="1:6" ht="15" customHeight="1">
      <c r="A399" s="3185">
        <v>183</v>
      </c>
      <c r="B399" s="3194">
        <v>23</v>
      </c>
      <c r="C399" s="3188">
        <v>31.83</v>
      </c>
      <c r="D399" s="3185" t="s">
        <v>3643</v>
      </c>
      <c r="E399" s="3185" t="s">
        <v>3453</v>
      </c>
      <c r="F399" s="3185">
        <v>-3</v>
      </c>
    </row>
    <row r="400" spans="1:6" ht="15" customHeight="1">
      <c r="A400" s="3185">
        <v>184</v>
      </c>
      <c r="B400" s="3195">
        <v>25</v>
      </c>
      <c r="C400" s="3188">
        <v>31.83</v>
      </c>
      <c r="D400" s="3185" t="s">
        <v>3643</v>
      </c>
      <c r="E400" s="3185" t="s">
        <v>3453</v>
      </c>
      <c r="F400" s="3185">
        <v>-3</v>
      </c>
    </row>
    <row r="401" spans="1:6" ht="15" customHeight="1">
      <c r="A401" s="3185">
        <v>185</v>
      </c>
      <c r="B401" s="3195">
        <v>26</v>
      </c>
      <c r="C401" s="3188">
        <v>34.49</v>
      </c>
      <c r="D401" s="3185" t="s">
        <v>3643</v>
      </c>
      <c r="E401" s="3185" t="s">
        <v>3453</v>
      </c>
      <c r="F401" s="3185">
        <v>-3</v>
      </c>
    </row>
    <row r="402" spans="1:6" ht="15" customHeight="1">
      <c r="A402" s="3185">
        <v>186</v>
      </c>
      <c r="B402" s="3195">
        <v>28</v>
      </c>
      <c r="C402" s="3188">
        <v>43.77</v>
      </c>
      <c r="D402" s="3185" t="s">
        <v>3643</v>
      </c>
      <c r="E402" s="3185" t="s">
        <v>3453</v>
      </c>
      <c r="F402" s="3185">
        <v>-3</v>
      </c>
    </row>
    <row r="403" spans="1:6" ht="15" customHeight="1">
      <c r="A403" s="3185">
        <v>187</v>
      </c>
      <c r="B403" s="3195">
        <v>29</v>
      </c>
      <c r="C403" s="3188">
        <v>43.77</v>
      </c>
      <c r="D403" s="3185" t="s">
        <v>3643</v>
      </c>
      <c r="E403" s="3185" t="s">
        <v>3453</v>
      </c>
      <c r="F403" s="3185">
        <v>-3</v>
      </c>
    </row>
    <row r="404" spans="1:6" ht="15" customHeight="1">
      <c r="A404" s="3185">
        <v>188</v>
      </c>
      <c r="B404" s="3195">
        <v>30</v>
      </c>
      <c r="C404" s="3188">
        <v>31.83</v>
      </c>
      <c r="D404" s="3185" t="s">
        <v>3643</v>
      </c>
      <c r="E404" s="3185" t="s">
        <v>3453</v>
      </c>
      <c r="F404" s="3185">
        <v>-3</v>
      </c>
    </row>
    <row r="405" spans="1:6" ht="15" customHeight="1">
      <c r="A405" s="3185">
        <v>189</v>
      </c>
      <c r="B405" s="3195">
        <v>31</v>
      </c>
      <c r="C405" s="3188">
        <v>31.83</v>
      </c>
      <c r="D405" s="3185" t="s">
        <v>3643</v>
      </c>
      <c r="E405" s="3185" t="s">
        <v>3453</v>
      </c>
      <c r="F405" s="3185">
        <v>-3</v>
      </c>
    </row>
    <row r="406" spans="1:6" ht="15" customHeight="1">
      <c r="A406" s="3185">
        <v>190</v>
      </c>
      <c r="B406" s="3195">
        <v>32</v>
      </c>
      <c r="C406" s="3188">
        <v>31.83</v>
      </c>
      <c r="D406" s="3185" t="s">
        <v>3643</v>
      </c>
      <c r="E406" s="3185" t="s">
        <v>3453</v>
      </c>
      <c r="F406" s="3185">
        <v>-3</v>
      </c>
    </row>
    <row r="407" spans="1:6" ht="15" customHeight="1">
      <c r="A407" s="3185">
        <v>191</v>
      </c>
      <c r="B407" s="3195">
        <v>33</v>
      </c>
      <c r="C407" s="3188">
        <v>31.83</v>
      </c>
      <c r="D407" s="3185" t="s">
        <v>3643</v>
      </c>
      <c r="E407" s="3185" t="s">
        <v>3453</v>
      </c>
      <c r="F407" s="3185">
        <v>-3</v>
      </c>
    </row>
    <row r="408" spans="1:6" ht="15" customHeight="1">
      <c r="A408" s="3185">
        <v>192</v>
      </c>
      <c r="B408" s="3195">
        <v>35</v>
      </c>
      <c r="C408" s="3188">
        <v>31.83</v>
      </c>
      <c r="D408" s="3185" t="s">
        <v>3643</v>
      </c>
      <c r="E408" s="3185" t="s">
        <v>3453</v>
      </c>
      <c r="F408" s="3185">
        <v>-3</v>
      </c>
    </row>
    <row r="409" spans="1:6" ht="15" customHeight="1">
      <c r="A409" s="3185">
        <v>193</v>
      </c>
      <c r="B409" s="3195">
        <v>36</v>
      </c>
      <c r="C409" s="3188">
        <v>31.83</v>
      </c>
      <c r="D409" s="3185" t="s">
        <v>3643</v>
      </c>
      <c r="E409" s="3185" t="s">
        <v>3453</v>
      </c>
      <c r="F409" s="3185">
        <v>-3</v>
      </c>
    </row>
    <row r="410" spans="1:6" ht="15" customHeight="1">
      <c r="A410" s="3185">
        <v>194</v>
      </c>
      <c r="B410" s="3195">
        <v>37</v>
      </c>
      <c r="C410" s="3188">
        <v>31.83</v>
      </c>
      <c r="D410" s="3185" t="s">
        <v>3643</v>
      </c>
      <c r="E410" s="3185" t="s">
        <v>3453</v>
      </c>
      <c r="F410" s="3185">
        <v>-3</v>
      </c>
    </row>
    <row r="411" spans="1:6" ht="15" customHeight="1">
      <c r="A411" s="3185">
        <v>195</v>
      </c>
      <c r="B411" s="3195">
        <v>38</v>
      </c>
      <c r="C411" s="3188">
        <v>31.83</v>
      </c>
      <c r="D411" s="3185" t="s">
        <v>3643</v>
      </c>
      <c r="E411" s="3185" t="s">
        <v>3453</v>
      </c>
      <c r="F411" s="3185">
        <v>-3</v>
      </c>
    </row>
    <row r="412" spans="1:6" ht="15" customHeight="1">
      <c r="A412" s="3185">
        <v>196</v>
      </c>
      <c r="B412" s="3194">
        <v>39</v>
      </c>
      <c r="C412" s="3188">
        <v>31.83</v>
      </c>
      <c r="D412" s="3185" t="s">
        <v>3643</v>
      </c>
      <c r="E412" s="3185" t="s">
        <v>3453</v>
      </c>
      <c r="F412" s="3185">
        <v>-3</v>
      </c>
    </row>
    <row r="413" spans="1:6" ht="15" customHeight="1">
      <c r="A413" s="3185">
        <v>197</v>
      </c>
      <c r="B413" s="3195">
        <v>40</v>
      </c>
      <c r="C413" s="3188">
        <v>31.83</v>
      </c>
      <c r="D413" s="3185" t="s">
        <v>3643</v>
      </c>
      <c r="E413" s="3185" t="s">
        <v>3453</v>
      </c>
      <c r="F413" s="3185">
        <v>-3</v>
      </c>
    </row>
    <row r="414" spans="1:6" ht="15" customHeight="1">
      <c r="A414" s="3185">
        <v>198</v>
      </c>
      <c r="B414" s="3195">
        <v>41</v>
      </c>
      <c r="C414" s="3188">
        <v>31.83</v>
      </c>
      <c r="D414" s="3185" t="s">
        <v>3643</v>
      </c>
      <c r="E414" s="3185" t="s">
        <v>3453</v>
      </c>
      <c r="F414" s="3185">
        <v>-3</v>
      </c>
    </row>
    <row r="415" spans="1:6" ht="15" customHeight="1">
      <c r="A415" s="3185">
        <v>199</v>
      </c>
      <c r="B415" s="3195">
        <v>42</v>
      </c>
      <c r="C415" s="3188">
        <v>31.83</v>
      </c>
      <c r="D415" s="3185" t="s">
        <v>3643</v>
      </c>
      <c r="E415" s="3185" t="s">
        <v>3453</v>
      </c>
      <c r="F415" s="3185">
        <v>-3</v>
      </c>
    </row>
    <row r="416" spans="1:6" ht="15" customHeight="1">
      <c r="A416" s="3185">
        <v>200</v>
      </c>
      <c r="B416" s="3195">
        <v>43</v>
      </c>
      <c r="C416" s="3188">
        <v>31.83</v>
      </c>
      <c r="D416" s="3185" t="s">
        <v>3643</v>
      </c>
      <c r="E416" s="3185" t="s">
        <v>3453</v>
      </c>
      <c r="F416" s="3185">
        <v>-3</v>
      </c>
    </row>
    <row r="417" spans="1:6" ht="15" customHeight="1">
      <c r="A417" s="3185">
        <v>201</v>
      </c>
      <c r="B417" s="3195">
        <v>45</v>
      </c>
      <c r="C417" s="3188">
        <v>31.83</v>
      </c>
      <c r="D417" s="3185" t="s">
        <v>3643</v>
      </c>
      <c r="E417" s="3185" t="s">
        <v>3453</v>
      </c>
      <c r="F417" s="3185">
        <v>-3</v>
      </c>
    </row>
    <row r="418" spans="1:6" ht="15" customHeight="1">
      <c r="A418" s="3185">
        <v>202</v>
      </c>
      <c r="B418" s="3195">
        <v>46</v>
      </c>
      <c r="C418" s="3188">
        <v>31.83</v>
      </c>
      <c r="D418" s="3185" t="s">
        <v>3643</v>
      </c>
      <c r="E418" s="3185" t="s">
        <v>3453</v>
      </c>
      <c r="F418" s="3185">
        <v>-3</v>
      </c>
    </row>
    <row r="419" spans="1:6" ht="15" customHeight="1">
      <c r="A419" s="3185">
        <v>203</v>
      </c>
      <c r="B419" s="3195">
        <v>47</v>
      </c>
      <c r="C419" s="3188">
        <v>31.83</v>
      </c>
      <c r="D419" s="3185" t="s">
        <v>3643</v>
      </c>
      <c r="E419" s="3185" t="s">
        <v>3453</v>
      </c>
      <c r="F419" s="3185">
        <v>-3</v>
      </c>
    </row>
    <row r="420" spans="1:6" ht="15" customHeight="1">
      <c r="A420" s="3185">
        <v>204</v>
      </c>
      <c r="B420" s="3195">
        <v>48</v>
      </c>
      <c r="C420" s="3188">
        <v>31.83</v>
      </c>
      <c r="D420" s="3185" t="s">
        <v>3643</v>
      </c>
      <c r="E420" s="3185" t="s">
        <v>3453</v>
      </c>
      <c r="F420" s="3185">
        <v>-3</v>
      </c>
    </row>
    <row r="421" spans="1:6" ht="15" customHeight="1">
      <c r="A421" s="3185">
        <v>205</v>
      </c>
      <c r="B421" s="3195">
        <v>49</v>
      </c>
      <c r="C421" s="3188">
        <v>41.12</v>
      </c>
      <c r="D421" s="3185" t="s">
        <v>3643</v>
      </c>
      <c r="E421" s="3185" t="s">
        <v>3453</v>
      </c>
      <c r="F421" s="3185">
        <v>-3</v>
      </c>
    </row>
    <row r="422" spans="1:6" ht="15" customHeight="1">
      <c r="A422" s="3185">
        <v>206</v>
      </c>
      <c r="B422" s="3195">
        <v>50</v>
      </c>
      <c r="C422" s="3188">
        <v>37.14</v>
      </c>
      <c r="D422" s="3185" t="s">
        <v>3643</v>
      </c>
      <c r="E422" s="3185" t="s">
        <v>3453</v>
      </c>
      <c r="F422" s="3185">
        <v>-3</v>
      </c>
    </row>
    <row r="423" spans="1:6" ht="15" customHeight="1">
      <c r="A423" s="3185">
        <v>207</v>
      </c>
      <c r="B423" s="3195">
        <v>51</v>
      </c>
      <c r="C423" s="3188">
        <v>38.46</v>
      </c>
      <c r="D423" s="3185" t="s">
        <v>3643</v>
      </c>
      <c r="E423" s="3185" t="s">
        <v>3453</v>
      </c>
      <c r="F423" s="3185">
        <v>-3</v>
      </c>
    </row>
    <row r="424" spans="1:6" ht="15" customHeight="1">
      <c r="A424" s="3185">
        <v>208</v>
      </c>
      <c r="B424" s="3195">
        <v>52</v>
      </c>
      <c r="C424" s="3188">
        <v>38.46</v>
      </c>
      <c r="D424" s="3185" t="s">
        <v>3643</v>
      </c>
      <c r="E424" s="3185" t="s">
        <v>3453</v>
      </c>
      <c r="F424" s="3185">
        <v>-3</v>
      </c>
    </row>
    <row r="425" spans="1:6" ht="15" customHeight="1">
      <c r="A425" s="3185">
        <v>209</v>
      </c>
      <c r="B425" s="3195">
        <v>53</v>
      </c>
      <c r="C425" s="3188">
        <v>31.83</v>
      </c>
      <c r="D425" s="3185" t="s">
        <v>3643</v>
      </c>
      <c r="E425" s="3185" t="s">
        <v>3453</v>
      </c>
      <c r="F425" s="3185">
        <v>-3</v>
      </c>
    </row>
    <row r="426" spans="1:6" ht="15" customHeight="1">
      <c r="A426" s="3185">
        <v>210</v>
      </c>
      <c r="B426" s="3195">
        <v>55</v>
      </c>
      <c r="C426" s="3188">
        <v>31.83</v>
      </c>
      <c r="D426" s="3185" t="s">
        <v>3643</v>
      </c>
      <c r="E426" s="3185" t="s">
        <v>3453</v>
      </c>
      <c r="F426" s="3185">
        <v>-3</v>
      </c>
    </row>
    <row r="427" spans="1:6" ht="15" customHeight="1">
      <c r="A427" s="3185">
        <v>211</v>
      </c>
      <c r="B427" s="3195">
        <v>56</v>
      </c>
      <c r="C427" s="3188">
        <v>31.83</v>
      </c>
      <c r="D427" s="3185" t="s">
        <v>3643</v>
      </c>
      <c r="E427" s="3185" t="s">
        <v>3453</v>
      </c>
      <c r="F427" s="3185">
        <v>-3</v>
      </c>
    </row>
    <row r="428" spans="1:6" ht="15" customHeight="1">
      <c r="A428" s="3185">
        <v>212</v>
      </c>
      <c r="B428" s="3195">
        <v>57</v>
      </c>
      <c r="C428" s="3188">
        <v>31.83</v>
      </c>
      <c r="D428" s="3185" t="s">
        <v>3643</v>
      </c>
      <c r="E428" s="3185" t="s">
        <v>3453</v>
      </c>
      <c r="F428" s="3185">
        <v>-3</v>
      </c>
    </row>
    <row r="429" spans="1:6" ht="15" customHeight="1">
      <c r="A429" s="3185">
        <v>213</v>
      </c>
      <c r="B429" s="3195">
        <v>58</v>
      </c>
      <c r="C429" s="3188">
        <v>31.83</v>
      </c>
      <c r="D429" s="3185" t="s">
        <v>3643</v>
      </c>
      <c r="E429" s="3185" t="s">
        <v>3453</v>
      </c>
      <c r="F429" s="3185">
        <v>-3</v>
      </c>
    </row>
    <row r="430" spans="1:6" ht="15" customHeight="1">
      <c r="A430" s="3185">
        <v>214</v>
      </c>
      <c r="B430" s="3195">
        <v>59</v>
      </c>
      <c r="C430" s="3188">
        <v>31.83</v>
      </c>
      <c r="D430" s="3185" t="s">
        <v>3643</v>
      </c>
      <c r="E430" s="3185" t="s">
        <v>3453</v>
      </c>
      <c r="F430" s="3185">
        <v>-3</v>
      </c>
    </row>
    <row r="431" spans="1:6" ht="15" customHeight="1">
      <c r="A431" s="3185">
        <v>215</v>
      </c>
      <c r="B431" s="3195">
        <v>60</v>
      </c>
      <c r="C431" s="3188">
        <v>31.83</v>
      </c>
      <c r="D431" s="3185" t="s">
        <v>3643</v>
      </c>
      <c r="E431" s="3185" t="s">
        <v>3453</v>
      </c>
      <c r="F431" s="3185">
        <v>-3</v>
      </c>
    </row>
    <row r="432" spans="1:6" ht="15" customHeight="1">
      <c r="A432" s="3185">
        <v>216</v>
      </c>
      <c r="B432" s="3195">
        <v>61</v>
      </c>
      <c r="C432" s="3188">
        <v>31.83</v>
      </c>
      <c r="D432" s="3185" t="s">
        <v>3643</v>
      </c>
      <c r="E432" s="3185" t="s">
        <v>3453</v>
      </c>
      <c r="F432" s="3185">
        <v>-3</v>
      </c>
    </row>
    <row r="433" spans="1:6" ht="15" customHeight="1">
      <c r="A433" s="3185">
        <v>217</v>
      </c>
      <c r="B433" s="3195">
        <v>62</v>
      </c>
      <c r="C433" s="3188">
        <v>31.83</v>
      </c>
      <c r="D433" s="3185" t="s">
        <v>3643</v>
      </c>
      <c r="E433" s="3185" t="s">
        <v>3453</v>
      </c>
      <c r="F433" s="3185">
        <v>-3</v>
      </c>
    </row>
    <row r="434" spans="1:6" ht="15" customHeight="1">
      <c r="A434" s="3185">
        <v>218</v>
      </c>
      <c r="B434" s="3195">
        <v>63</v>
      </c>
      <c r="C434" s="3188">
        <v>31.83</v>
      </c>
      <c r="D434" s="3185" t="s">
        <v>3643</v>
      </c>
      <c r="E434" s="3185" t="s">
        <v>3453</v>
      </c>
      <c r="F434" s="3185">
        <v>-3</v>
      </c>
    </row>
    <row r="435" spans="1:6" ht="15" customHeight="1">
      <c r="A435" s="3185">
        <v>219</v>
      </c>
      <c r="B435" s="3195">
        <v>65</v>
      </c>
      <c r="C435" s="3188">
        <v>31.83</v>
      </c>
      <c r="D435" s="3185" t="s">
        <v>3643</v>
      </c>
      <c r="E435" s="3185" t="s">
        <v>3453</v>
      </c>
      <c r="F435" s="3185">
        <v>-3</v>
      </c>
    </row>
    <row r="436" spans="1:6" ht="15" customHeight="1">
      <c r="A436" s="3185">
        <v>220</v>
      </c>
      <c r="B436" s="3195">
        <v>66</v>
      </c>
      <c r="C436" s="3188">
        <v>31.83</v>
      </c>
      <c r="D436" s="3185" t="s">
        <v>3643</v>
      </c>
      <c r="E436" s="3185" t="s">
        <v>3453</v>
      </c>
      <c r="F436" s="3185">
        <v>-3</v>
      </c>
    </row>
    <row r="437" spans="1:6" ht="15" customHeight="1">
      <c r="A437" s="3185">
        <v>221</v>
      </c>
      <c r="B437" s="3195">
        <v>67</v>
      </c>
      <c r="C437" s="3188">
        <v>34.49</v>
      </c>
      <c r="D437" s="3185" t="s">
        <v>3643</v>
      </c>
      <c r="E437" s="3185" t="s">
        <v>3453</v>
      </c>
      <c r="F437" s="3185">
        <v>-3</v>
      </c>
    </row>
    <row r="438" spans="1:6" ht="15" customHeight="1">
      <c r="A438" s="3185">
        <v>222</v>
      </c>
      <c r="B438" s="3195">
        <v>68</v>
      </c>
      <c r="C438" s="3188">
        <v>38.46</v>
      </c>
      <c r="D438" s="3185" t="s">
        <v>3643</v>
      </c>
      <c r="E438" s="3185" t="s">
        <v>3453</v>
      </c>
      <c r="F438" s="3185">
        <v>-3</v>
      </c>
    </row>
    <row r="439" spans="1:6" ht="15" customHeight="1">
      <c r="A439" s="3185">
        <v>223</v>
      </c>
      <c r="B439" s="3195">
        <v>69</v>
      </c>
      <c r="C439" s="3188">
        <v>31.83</v>
      </c>
      <c r="D439" s="3185" t="s">
        <v>3643</v>
      </c>
      <c r="E439" s="3185" t="s">
        <v>3453</v>
      </c>
      <c r="F439" s="3185">
        <v>-3</v>
      </c>
    </row>
    <row r="440" spans="1:6" ht="15" customHeight="1">
      <c r="A440" s="3185">
        <v>224</v>
      </c>
      <c r="B440" s="3195">
        <v>71</v>
      </c>
      <c r="C440" s="3188">
        <v>38.46</v>
      </c>
      <c r="D440" s="3185" t="s">
        <v>3643</v>
      </c>
      <c r="E440" s="3185" t="s">
        <v>3453</v>
      </c>
      <c r="F440" s="3185">
        <v>-3</v>
      </c>
    </row>
    <row r="441" spans="1:6" ht="15" customHeight="1">
      <c r="A441" s="3185">
        <v>225</v>
      </c>
      <c r="B441" s="3195">
        <v>72</v>
      </c>
      <c r="C441" s="3188">
        <v>54.68</v>
      </c>
      <c r="D441" s="3185" t="s">
        <v>3643</v>
      </c>
      <c r="E441" s="3185" t="s">
        <v>3453</v>
      </c>
      <c r="F441" s="3185">
        <v>-3</v>
      </c>
    </row>
    <row r="442" spans="1:6" ht="15" customHeight="1">
      <c r="A442" s="3185">
        <v>226</v>
      </c>
      <c r="B442" s="3195">
        <v>73</v>
      </c>
      <c r="C442" s="3188">
        <v>31.83</v>
      </c>
      <c r="D442" s="3185" t="s">
        <v>3643</v>
      </c>
      <c r="E442" s="3185" t="s">
        <v>3453</v>
      </c>
      <c r="F442" s="3185">
        <v>-3</v>
      </c>
    </row>
    <row r="443" spans="1:6" ht="15" customHeight="1">
      <c r="A443" s="3185">
        <v>227</v>
      </c>
      <c r="B443" s="3195">
        <v>75</v>
      </c>
      <c r="C443" s="3188">
        <v>31.83</v>
      </c>
      <c r="D443" s="3185" t="s">
        <v>3643</v>
      </c>
      <c r="E443" s="3185" t="s">
        <v>3453</v>
      </c>
      <c r="F443" s="3185">
        <v>-3</v>
      </c>
    </row>
    <row r="444" spans="1:6" ht="15" customHeight="1">
      <c r="A444" s="3185">
        <v>228</v>
      </c>
      <c r="B444" s="3195">
        <v>76</v>
      </c>
      <c r="C444" s="3188">
        <v>31.83</v>
      </c>
      <c r="D444" s="3185" t="s">
        <v>3643</v>
      </c>
      <c r="E444" s="3185" t="s">
        <v>3453</v>
      </c>
      <c r="F444" s="3185">
        <v>-3</v>
      </c>
    </row>
    <row r="445" spans="1:6" ht="15" customHeight="1">
      <c r="A445" s="3185">
        <v>229</v>
      </c>
      <c r="B445" s="3195">
        <v>77</v>
      </c>
      <c r="C445" s="3188">
        <v>31.83</v>
      </c>
      <c r="D445" s="3185" t="s">
        <v>3643</v>
      </c>
      <c r="E445" s="3185" t="s">
        <v>3453</v>
      </c>
      <c r="F445" s="3185">
        <v>-3</v>
      </c>
    </row>
    <row r="446" spans="1:6" ht="15" customHeight="1">
      <c r="A446" s="3185">
        <v>230</v>
      </c>
      <c r="B446" s="3195">
        <v>78</v>
      </c>
      <c r="C446" s="3188">
        <v>31.83</v>
      </c>
      <c r="D446" s="3185" t="s">
        <v>3643</v>
      </c>
      <c r="E446" s="3185" t="s">
        <v>3453</v>
      </c>
      <c r="F446" s="3185">
        <v>-3</v>
      </c>
    </row>
    <row r="447" spans="1:6" ht="15" customHeight="1">
      <c r="A447" s="3185">
        <v>231</v>
      </c>
      <c r="B447" s="3195">
        <v>79</v>
      </c>
      <c r="C447" s="3188">
        <v>30.51</v>
      </c>
      <c r="D447" s="3185" t="s">
        <v>3643</v>
      </c>
      <c r="E447" s="3185" t="s">
        <v>3453</v>
      </c>
      <c r="F447" s="3185">
        <v>-3</v>
      </c>
    </row>
    <row r="448" spans="1:6" ht="15" customHeight="1">
      <c r="A448" s="3185">
        <v>232</v>
      </c>
      <c r="B448" s="3195">
        <v>80</v>
      </c>
      <c r="C448" s="3188">
        <v>63.67</v>
      </c>
      <c r="D448" s="3185" t="s">
        <v>3643</v>
      </c>
      <c r="E448" s="3185" t="s">
        <v>3453</v>
      </c>
      <c r="F448" s="3185">
        <v>-3</v>
      </c>
    </row>
    <row r="449" spans="1:6" ht="15" customHeight="1">
      <c r="A449" s="3185">
        <v>233</v>
      </c>
      <c r="B449" s="3195">
        <v>81</v>
      </c>
      <c r="C449" s="3188">
        <v>39.04</v>
      </c>
      <c r="D449" s="3185" t="s">
        <v>3643</v>
      </c>
      <c r="E449" s="3185" t="s">
        <v>3453</v>
      </c>
      <c r="F449" s="3185">
        <v>-3</v>
      </c>
    </row>
    <row r="450" spans="1:6" ht="15" customHeight="1">
      <c r="A450" s="3185">
        <v>234</v>
      </c>
      <c r="B450" s="3195">
        <v>82</v>
      </c>
      <c r="C450" s="3188">
        <v>39.04</v>
      </c>
      <c r="D450" s="3185" t="s">
        <v>3643</v>
      </c>
      <c r="E450" s="3185" t="s">
        <v>3453</v>
      </c>
      <c r="F450" s="3185">
        <v>-3</v>
      </c>
    </row>
    <row r="451" spans="1:6" ht="15" customHeight="1">
      <c r="A451" s="3185">
        <v>235</v>
      </c>
      <c r="B451" s="3195">
        <v>83</v>
      </c>
      <c r="C451" s="3188">
        <v>39.04</v>
      </c>
      <c r="D451" s="3185" t="s">
        <v>3643</v>
      </c>
      <c r="E451" s="3185" t="s">
        <v>3453</v>
      </c>
      <c r="F451" s="3185">
        <v>-3</v>
      </c>
    </row>
    <row r="452" spans="1:6" ht="15" customHeight="1">
      <c r="A452" s="3185">
        <v>236</v>
      </c>
      <c r="B452" s="3195">
        <v>85</v>
      </c>
      <c r="C452" s="3188">
        <v>39.04</v>
      </c>
      <c r="D452" s="3185" t="s">
        <v>3643</v>
      </c>
      <c r="E452" s="3185" t="s">
        <v>3453</v>
      </c>
      <c r="F452" s="3185">
        <v>-3</v>
      </c>
    </row>
    <row r="453" spans="1:6" ht="15" customHeight="1">
      <c r="A453" s="3185">
        <v>237</v>
      </c>
      <c r="B453" s="3194">
        <v>86</v>
      </c>
      <c r="C453" s="3188">
        <v>39.04</v>
      </c>
      <c r="D453" s="3185" t="s">
        <v>3643</v>
      </c>
      <c r="E453" s="3185" t="s">
        <v>3453</v>
      </c>
      <c r="F453" s="3185">
        <v>-3</v>
      </c>
    </row>
    <row r="454" spans="1:6" ht="15" customHeight="1">
      <c r="A454" s="3185">
        <v>238</v>
      </c>
      <c r="B454" s="3195">
        <v>87</v>
      </c>
      <c r="C454" s="3188">
        <v>39.04</v>
      </c>
      <c r="D454" s="3185" t="s">
        <v>3643</v>
      </c>
      <c r="E454" s="3185" t="s">
        <v>3453</v>
      </c>
      <c r="F454" s="3185">
        <v>-3</v>
      </c>
    </row>
    <row r="455" spans="1:6" ht="15" customHeight="1">
      <c r="A455" s="3185">
        <v>239</v>
      </c>
      <c r="B455" s="3194">
        <v>88</v>
      </c>
      <c r="C455" s="3188">
        <v>39.04</v>
      </c>
      <c r="D455" s="3185" t="s">
        <v>3643</v>
      </c>
      <c r="E455" s="3185" t="s">
        <v>3453</v>
      </c>
      <c r="F455" s="3185">
        <v>-3</v>
      </c>
    </row>
    <row r="456" spans="1:6" ht="15" customHeight="1">
      <c r="A456" s="3185">
        <v>240</v>
      </c>
      <c r="B456" s="3195">
        <v>89</v>
      </c>
      <c r="C456" s="3188">
        <v>39.04</v>
      </c>
      <c r="D456" s="3185" t="s">
        <v>3643</v>
      </c>
      <c r="E456" s="3185" t="s">
        <v>3453</v>
      </c>
      <c r="F456" s="3185">
        <v>-3</v>
      </c>
    </row>
    <row r="457" spans="1:6" ht="15" customHeight="1">
      <c r="A457" s="3185">
        <v>241</v>
      </c>
      <c r="B457" s="3195">
        <v>90</v>
      </c>
      <c r="C457" s="3188">
        <v>39.04</v>
      </c>
      <c r="D457" s="3185" t="s">
        <v>3643</v>
      </c>
      <c r="E457" s="3185" t="s">
        <v>3453</v>
      </c>
      <c r="F457" s="3185">
        <v>-3</v>
      </c>
    </row>
    <row r="458" spans="1:6" ht="15" customHeight="1">
      <c r="A458" s="3185">
        <v>242</v>
      </c>
      <c r="B458" s="3195">
        <v>91</v>
      </c>
      <c r="C458" s="3188">
        <v>39.04</v>
      </c>
      <c r="D458" s="3185" t="s">
        <v>3643</v>
      </c>
      <c r="E458" s="3185" t="s">
        <v>3453</v>
      </c>
      <c r="F458" s="3185">
        <v>-3</v>
      </c>
    </row>
    <row r="459" spans="1:6" ht="15" customHeight="1">
      <c r="A459" s="3185">
        <v>243</v>
      </c>
      <c r="B459" s="3195">
        <v>92</v>
      </c>
      <c r="C459" s="3188">
        <v>39.04</v>
      </c>
      <c r="D459" s="3185" t="s">
        <v>3643</v>
      </c>
      <c r="E459" s="3185" t="s">
        <v>3453</v>
      </c>
      <c r="F459" s="3185">
        <v>-3</v>
      </c>
    </row>
    <row r="460" spans="1:6" ht="15" customHeight="1">
      <c r="A460" s="3185">
        <v>244</v>
      </c>
      <c r="B460" s="3195">
        <v>93</v>
      </c>
      <c r="C460" s="3188">
        <v>39.04</v>
      </c>
      <c r="D460" s="3185" t="s">
        <v>3643</v>
      </c>
      <c r="E460" s="3185" t="s">
        <v>3453</v>
      </c>
      <c r="F460" s="3185">
        <v>-3</v>
      </c>
    </row>
    <row r="461" spans="1:6" ht="15" customHeight="1">
      <c r="A461" s="3185">
        <v>245</v>
      </c>
      <c r="B461" s="3195">
        <v>95</v>
      </c>
      <c r="C461" s="3188">
        <v>43.77</v>
      </c>
      <c r="D461" s="3185" t="s">
        <v>3643</v>
      </c>
      <c r="E461" s="3185" t="s">
        <v>3453</v>
      </c>
      <c r="F461" s="3185">
        <v>-3</v>
      </c>
    </row>
    <row r="462" spans="1:6" ht="15" customHeight="1">
      <c r="A462" s="3185">
        <v>246</v>
      </c>
      <c r="B462" s="3195">
        <v>96</v>
      </c>
      <c r="C462" s="3188">
        <v>43.77</v>
      </c>
      <c r="D462" s="3185" t="s">
        <v>3643</v>
      </c>
      <c r="E462" s="3185" t="s">
        <v>3453</v>
      </c>
      <c r="F462" s="3185">
        <v>-3</v>
      </c>
    </row>
    <row r="463" spans="1:6" ht="15" customHeight="1">
      <c r="A463" s="3185">
        <v>247</v>
      </c>
      <c r="B463" s="3195">
        <v>99</v>
      </c>
      <c r="C463" s="3188">
        <v>31.83</v>
      </c>
      <c r="D463" s="3185" t="s">
        <v>3643</v>
      </c>
      <c r="E463" s="3185" t="s">
        <v>3453</v>
      </c>
      <c r="F463" s="3185">
        <v>-3</v>
      </c>
    </row>
    <row r="464" spans="1:6" ht="15" customHeight="1">
      <c r="A464" s="3185">
        <v>248</v>
      </c>
      <c r="B464" s="3195">
        <v>100</v>
      </c>
      <c r="C464" s="3188">
        <v>31.83</v>
      </c>
      <c r="D464" s="3185" t="s">
        <v>3643</v>
      </c>
      <c r="E464" s="3185" t="s">
        <v>3453</v>
      </c>
      <c r="F464" s="3185">
        <v>-3</v>
      </c>
    </row>
    <row r="465" spans="1:6" ht="15" customHeight="1">
      <c r="A465" s="3185">
        <v>249</v>
      </c>
      <c r="B465" s="3185">
        <v>101</v>
      </c>
      <c r="C465" s="3188">
        <v>31.83</v>
      </c>
      <c r="D465" s="3185" t="s">
        <v>3643</v>
      </c>
      <c r="E465" s="3185" t="s">
        <v>3453</v>
      </c>
      <c r="F465" s="3185">
        <v>-3</v>
      </c>
    </row>
    <row r="466" spans="1:6" ht="15" customHeight="1">
      <c r="A466" s="3185">
        <v>250</v>
      </c>
      <c r="B466" s="3185">
        <v>102</v>
      </c>
      <c r="C466" s="3188">
        <v>31.83</v>
      </c>
      <c r="D466" s="3185" t="s">
        <v>3643</v>
      </c>
      <c r="E466" s="3185" t="s">
        <v>3453</v>
      </c>
      <c r="F466" s="3185">
        <v>-3</v>
      </c>
    </row>
    <row r="467" spans="1:6" ht="15" customHeight="1">
      <c r="A467" s="3185">
        <v>251</v>
      </c>
      <c r="B467" s="3185">
        <v>103</v>
      </c>
      <c r="C467" s="3188">
        <v>31.83</v>
      </c>
      <c r="D467" s="3185" t="s">
        <v>3643</v>
      </c>
      <c r="E467" s="3185" t="s">
        <v>3453</v>
      </c>
      <c r="F467" s="3185">
        <v>-3</v>
      </c>
    </row>
    <row r="468" spans="1:6" ht="15" customHeight="1">
      <c r="A468" s="3185">
        <v>252</v>
      </c>
      <c r="B468" s="3185">
        <v>106</v>
      </c>
      <c r="C468" s="3188">
        <v>31.83</v>
      </c>
      <c r="D468" s="3185" t="s">
        <v>3643</v>
      </c>
      <c r="E468" s="3185" t="s">
        <v>3453</v>
      </c>
      <c r="F468" s="3185">
        <v>-3</v>
      </c>
    </row>
    <row r="469" spans="1:6" ht="15" customHeight="1">
      <c r="A469" s="3185">
        <v>253</v>
      </c>
      <c r="B469" s="3185">
        <v>107</v>
      </c>
      <c r="C469" s="3188">
        <v>31.83</v>
      </c>
      <c r="D469" s="3185" t="s">
        <v>3643</v>
      </c>
      <c r="E469" s="3185" t="s">
        <v>3453</v>
      </c>
      <c r="F469" s="3185">
        <v>-3</v>
      </c>
    </row>
    <row r="470" spans="1:6" ht="15" customHeight="1">
      <c r="A470" s="3185">
        <v>254</v>
      </c>
      <c r="B470" s="3185">
        <v>108</v>
      </c>
      <c r="C470" s="3188">
        <v>31.83</v>
      </c>
      <c r="D470" s="3185" t="s">
        <v>3643</v>
      </c>
      <c r="E470" s="3185" t="s">
        <v>3453</v>
      </c>
      <c r="F470" s="3185">
        <v>-3</v>
      </c>
    </row>
    <row r="471" spans="1:6" ht="15" customHeight="1">
      <c r="A471" s="3185">
        <v>255</v>
      </c>
      <c r="B471" s="3185">
        <v>109</v>
      </c>
      <c r="C471" s="3188">
        <v>31.83</v>
      </c>
      <c r="D471" s="3185" t="s">
        <v>3643</v>
      </c>
      <c r="E471" s="3185" t="s">
        <v>3453</v>
      </c>
      <c r="F471" s="3185">
        <v>-3</v>
      </c>
    </row>
    <row r="472" spans="1:6" ht="15" customHeight="1">
      <c r="A472" s="3185">
        <v>256</v>
      </c>
      <c r="B472" s="3195">
        <v>110</v>
      </c>
      <c r="C472" s="3188">
        <v>31.83</v>
      </c>
      <c r="D472" s="3185" t="s">
        <v>3643</v>
      </c>
      <c r="E472" s="3185" t="s">
        <v>3453</v>
      </c>
      <c r="F472" s="3185">
        <v>-3</v>
      </c>
    </row>
    <row r="473" spans="1:6" ht="15" customHeight="1">
      <c r="A473" s="3185">
        <v>257</v>
      </c>
      <c r="B473" s="3194">
        <v>111</v>
      </c>
      <c r="C473" s="3188">
        <v>31.83</v>
      </c>
      <c r="D473" s="3185" t="s">
        <v>3643</v>
      </c>
      <c r="E473" s="3185" t="s">
        <v>3453</v>
      </c>
      <c r="F473" s="3185">
        <v>-3</v>
      </c>
    </row>
    <row r="474" spans="1:6" ht="15" customHeight="1">
      <c r="A474" s="3185">
        <v>258</v>
      </c>
      <c r="B474" s="3194">
        <v>112</v>
      </c>
      <c r="C474" s="3188">
        <v>31.83</v>
      </c>
      <c r="D474" s="3185" t="s">
        <v>3643</v>
      </c>
      <c r="E474" s="3185" t="s">
        <v>3453</v>
      </c>
      <c r="F474" s="3185">
        <v>-3</v>
      </c>
    </row>
    <row r="475" spans="1:6" ht="15" customHeight="1">
      <c r="A475" s="3185">
        <v>259</v>
      </c>
      <c r="B475" s="3194">
        <v>115</v>
      </c>
      <c r="C475" s="3188">
        <v>31.83</v>
      </c>
      <c r="D475" s="3185" t="s">
        <v>3643</v>
      </c>
      <c r="E475" s="3185" t="s">
        <v>3453</v>
      </c>
      <c r="F475" s="3185">
        <v>-3</v>
      </c>
    </row>
    <row r="476" spans="1:6" ht="15" customHeight="1">
      <c r="A476" s="3185">
        <v>260</v>
      </c>
      <c r="B476" s="3194">
        <v>116</v>
      </c>
      <c r="C476" s="3188">
        <v>31.83</v>
      </c>
      <c r="D476" s="3185" t="s">
        <v>3643</v>
      </c>
      <c r="E476" s="3185" t="s">
        <v>3453</v>
      </c>
      <c r="F476" s="3185">
        <v>-3</v>
      </c>
    </row>
    <row r="477" spans="1:6" ht="15" customHeight="1">
      <c r="A477" s="3185">
        <v>261</v>
      </c>
      <c r="B477" s="3194">
        <v>117</v>
      </c>
      <c r="C477" s="3188">
        <v>31.83</v>
      </c>
      <c r="D477" s="3185" t="s">
        <v>3643</v>
      </c>
      <c r="E477" s="3185" t="s">
        <v>3453</v>
      </c>
      <c r="F477" s="3185">
        <v>-3</v>
      </c>
    </row>
    <row r="478" spans="1:6" ht="15" customHeight="1">
      <c r="A478" s="3185">
        <v>262</v>
      </c>
      <c r="B478" s="3194">
        <v>118</v>
      </c>
      <c r="C478" s="3188">
        <v>31.83</v>
      </c>
      <c r="D478" s="3185" t="s">
        <v>3643</v>
      </c>
      <c r="E478" s="3185" t="s">
        <v>3453</v>
      </c>
      <c r="F478" s="3185">
        <v>-3</v>
      </c>
    </row>
    <row r="479" spans="1:6" ht="15" customHeight="1">
      <c r="A479" s="3185">
        <v>263</v>
      </c>
      <c r="B479" s="3194">
        <v>119</v>
      </c>
      <c r="C479" s="3188">
        <v>31.83</v>
      </c>
      <c r="D479" s="3185" t="s">
        <v>3643</v>
      </c>
      <c r="E479" s="3185" t="s">
        <v>3453</v>
      </c>
      <c r="F479" s="3185">
        <v>-3</v>
      </c>
    </row>
    <row r="480" spans="1:6" ht="15" customHeight="1">
      <c r="A480" s="3185">
        <v>264</v>
      </c>
      <c r="B480" s="3194">
        <v>120</v>
      </c>
      <c r="C480" s="3188">
        <v>31.83</v>
      </c>
      <c r="D480" s="3185" t="s">
        <v>3643</v>
      </c>
      <c r="E480" s="3185" t="s">
        <v>3453</v>
      </c>
      <c r="F480" s="3185">
        <v>-3</v>
      </c>
    </row>
    <row r="481" spans="1:6" ht="15" customHeight="1">
      <c r="A481" s="3185">
        <v>265</v>
      </c>
      <c r="B481" s="3194">
        <v>121</v>
      </c>
      <c r="C481" s="3188">
        <v>31.83</v>
      </c>
      <c r="D481" s="3185" t="s">
        <v>3643</v>
      </c>
      <c r="E481" s="3185" t="s">
        <v>3453</v>
      </c>
      <c r="F481" s="3185">
        <v>-3</v>
      </c>
    </row>
    <row r="482" spans="1:6" ht="15" customHeight="1">
      <c r="A482" s="3185">
        <v>266</v>
      </c>
      <c r="B482" s="3194">
        <v>122</v>
      </c>
      <c r="C482" s="3188">
        <v>31.83</v>
      </c>
      <c r="D482" s="3185" t="s">
        <v>3643</v>
      </c>
      <c r="E482" s="3185" t="s">
        <v>3453</v>
      </c>
      <c r="F482" s="3185">
        <v>-3</v>
      </c>
    </row>
    <row r="483" spans="1:6" ht="15" customHeight="1">
      <c r="A483" s="3185">
        <v>267</v>
      </c>
      <c r="B483" s="3195">
        <v>123</v>
      </c>
      <c r="C483" s="3188">
        <v>31.83</v>
      </c>
      <c r="D483" s="3185" t="s">
        <v>3643</v>
      </c>
      <c r="E483" s="3185" t="s">
        <v>3453</v>
      </c>
      <c r="F483" s="3185">
        <v>-3</v>
      </c>
    </row>
    <row r="484" spans="1:6" ht="15" customHeight="1">
      <c r="A484" s="3185">
        <v>268</v>
      </c>
      <c r="B484" s="3195">
        <v>125</v>
      </c>
      <c r="C484" s="3188">
        <v>31.83</v>
      </c>
      <c r="D484" s="3185" t="s">
        <v>3643</v>
      </c>
      <c r="E484" s="3185" t="s">
        <v>3453</v>
      </c>
      <c r="F484" s="3185">
        <v>-3</v>
      </c>
    </row>
    <row r="485" spans="1:6" ht="15" customHeight="1">
      <c r="A485" s="3185">
        <v>269</v>
      </c>
      <c r="B485" s="3195">
        <v>126</v>
      </c>
      <c r="C485" s="3188">
        <v>31.83</v>
      </c>
      <c r="D485" s="3185" t="s">
        <v>3643</v>
      </c>
      <c r="E485" s="3185" t="s">
        <v>3453</v>
      </c>
      <c r="F485" s="3185">
        <v>-3</v>
      </c>
    </row>
    <row r="486" spans="1:6" ht="15" customHeight="1">
      <c r="A486" s="3185">
        <v>270</v>
      </c>
      <c r="B486" s="3195">
        <v>127</v>
      </c>
      <c r="C486" s="3188">
        <v>31.83</v>
      </c>
      <c r="D486" s="3185" t="s">
        <v>3643</v>
      </c>
      <c r="E486" s="3185" t="s">
        <v>3453</v>
      </c>
      <c r="F486" s="3185">
        <v>-3</v>
      </c>
    </row>
    <row r="487" spans="1:6" ht="15" customHeight="1">
      <c r="A487" s="3185">
        <v>271</v>
      </c>
      <c r="B487" s="3185">
        <v>128</v>
      </c>
      <c r="C487" s="3188">
        <v>31.83</v>
      </c>
      <c r="D487" s="3185" t="s">
        <v>3643</v>
      </c>
      <c r="E487" s="3185" t="s">
        <v>3453</v>
      </c>
      <c r="F487" s="3185">
        <v>-3</v>
      </c>
    </row>
    <row r="488" spans="1:6" ht="15" customHeight="1">
      <c r="A488" s="3185">
        <v>272</v>
      </c>
      <c r="B488" s="3185">
        <v>129</v>
      </c>
      <c r="C488" s="3188">
        <v>31.83</v>
      </c>
      <c r="D488" s="3185" t="s">
        <v>3643</v>
      </c>
      <c r="E488" s="3185" t="s">
        <v>3453</v>
      </c>
      <c r="F488" s="3185">
        <v>-3</v>
      </c>
    </row>
    <row r="489" spans="1:6" ht="15" customHeight="1">
      <c r="A489" s="3185">
        <v>273</v>
      </c>
      <c r="B489" s="3185">
        <v>130</v>
      </c>
      <c r="C489" s="3188">
        <v>31.83</v>
      </c>
      <c r="D489" s="3185" t="s">
        <v>3643</v>
      </c>
      <c r="E489" s="3185" t="s">
        <v>3453</v>
      </c>
      <c r="F489" s="3185">
        <v>-3</v>
      </c>
    </row>
    <row r="490" spans="1:6" ht="15" customHeight="1">
      <c r="A490" s="3185">
        <v>274</v>
      </c>
      <c r="B490" s="3185">
        <v>131</v>
      </c>
      <c r="C490" s="3188">
        <v>31.83</v>
      </c>
      <c r="D490" s="3185" t="s">
        <v>3643</v>
      </c>
      <c r="E490" s="3185" t="s">
        <v>3453</v>
      </c>
      <c r="F490" s="3185">
        <v>-3</v>
      </c>
    </row>
    <row r="491" spans="1:6" ht="15" customHeight="1">
      <c r="A491" s="3185">
        <v>275</v>
      </c>
      <c r="B491" s="3185">
        <v>132</v>
      </c>
      <c r="C491" s="3188">
        <v>31.83</v>
      </c>
      <c r="D491" s="3185" t="s">
        <v>3643</v>
      </c>
      <c r="E491" s="3185" t="s">
        <v>3453</v>
      </c>
      <c r="F491" s="3185">
        <v>-3</v>
      </c>
    </row>
    <row r="492" spans="1:6" ht="15" customHeight="1">
      <c r="A492" s="3185">
        <v>276</v>
      </c>
      <c r="B492" s="3185">
        <v>133</v>
      </c>
      <c r="C492" s="3188">
        <v>31.83</v>
      </c>
      <c r="D492" s="3185" t="s">
        <v>3643</v>
      </c>
      <c r="E492" s="3185" t="s">
        <v>3453</v>
      </c>
      <c r="F492" s="3185">
        <v>-3</v>
      </c>
    </row>
    <row r="493" spans="1:6" ht="15" customHeight="1">
      <c r="A493" s="3185">
        <v>277</v>
      </c>
      <c r="B493" s="3185">
        <v>135</v>
      </c>
      <c r="C493" s="3188">
        <v>31.83</v>
      </c>
      <c r="D493" s="3185" t="s">
        <v>3643</v>
      </c>
      <c r="E493" s="3185" t="s">
        <v>3453</v>
      </c>
      <c r="F493" s="3185">
        <v>-3</v>
      </c>
    </row>
    <row r="494" spans="1:6" ht="15" customHeight="1">
      <c r="A494" s="3185">
        <v>278</v>
      </c>
      <c r="B494" s="3185">
        <v>136</v>
      </c>
      <c r="C494" s="3188">
        <v>31.83</v>
      </c>
      <c r="D494" s="3185" t="s">
        <v>3643</v>
      </c>
      <c r="E494" s="3185" t="s">
        <v>3453</v>
      </c>
      <c r="F494" s="3185">
        <v>-3</v>
      </c>
    </row>
    <row r="495" spans="1:6" ht="15" customHeight="1">
      <c r="A495" s="3185">
        <v>279</v>
      </c>
      <c r="B495" s="3185">
        <v>137</v>
      </c>
      <c r="C495" s="3188">
        <v>31.83</v>
      </c>
      <c r="D495" s="3185" t="s">
        <v>3643</v>
      </c>
      <c r="E495" s="3185" t="s">
        <v>3453</v>
      </c>
      <c r="F495" s="3185">
        <v>-3</v>
      </c>
    </row>
    <row r="496" spans="1:6" ht="15" customHeight="1">
      <c r="A496" s="3185">
        <v>280</v>
      </c>
      <c r="B496" s="3185">
        <v>138</v>
      </c>
      <c r="C496" s="3188">
        <v>31.83</v>
      </c>
      <c r="D496" s="3185" t="s">
        <v>3643</v>
      </c>
      <c r="E496" s="3185" t="s">
        <v>3453</v>
      </c>
      <c r="F496" s="3185">
        <v>-3</v>
      </c>
    </row>
    <row r="497" spans="1:6" ht="15" customHeight="1">
      <c r="A497" s="3185">
        <v>281</v>
      </c>
      <c r="B497" s="3185">
        <v>139</v>
      </c>
      <c r="C497" s="3188">
        <v>31.83</v>
      </c>
      <c r="D497" s="3185" t="s">
        <v>3643</v>
      </c>
      <c r="E497" s="3185" t="s">
        <v>3453</v>
      </c>
      <c r="F497" s="3185">
        <v>-3</v>
      </c>
    </row>
    <row r="498" spans="1:6" ht="15" customHeight="1">
      <c r="A498" s="3185">
        <v>282</v>
      </c>
      <c r="B498" s="3185">
        <v>140</v>
      </c>
      <c r="C498" s="3188">
        <v>31.83</v>
      </c>
      <c r="D498" s="3185" t="s">
        <v>3643</v>
      </c>
      <c r="E498" s="3185" t="s">
        <v>3453</v>
      </c>
      <c r="F498" s="3185">
        <v>-3</v>
      </c>
    </row>
    <row r="499" spans="1:6" ht="15" customHeight="1">
      <c r="A499" s="3185">
        <v>283</v>
      </c>
      <c r="B499" s="3185">
        <v>141</v>
      </c>
      <c r="C499" s="3188">
        <v>31.83</v>
      </c>
      <c r="D499" s="3185" t="s">
        <v>3643</v>
      </c>
      <c r="E499" s="3185" t="s">
        <v>3453</v>
      </c>
      <c r="F499" s="3185">
        <v>-3</v>
      </c>
    </row>
    <row r="500" spans="1:6" ht="15" customHeight="1">
      <c r="A500" s="3185">
        <v>284</v>
      </c>
      <c r="B500" s="3185">
        <v>142</v>
      </c>
      <c r="C500" s="3188">
        <v>31.83</v>
      </c>
      <c r="D500" s="3185" t="s">
        <v>3643</v>
      </c>
      <c r="E500" s="3185" t="s">
        <v>3453</v>
      </c>
      <c r="F500" s="3185">
        <v>-3</v>
      </c>
    </row>
    <row r="501" spans="1:6" ht="15" customHeight="1">
      <c r="A501" s="3185">
        <v>285</v>
      </c>
      <c r="B501" s="3185">
        <v>143</v>
      </c>
      <c r="C501" s="3188">
        <v>31.83</v>
      </c>
      <c r="D501" s="3185" t="s">
        <v>3643</v>
      </c>
      <c r="E501" s="3185" t="s">
        <v>3453</v>
      </c>
      <c r="F501" s="3185">
        <v>-3</v>
      </c>
    </row>
    <row r="502" spans="1:6" ht="15" customHeight="1">
      <c r="A502" s="3185">
        <v>286</v>
      </c>
      <c r="B502" s="3185">
        <v>145</v>
      </c>
      <c r="C502" s="3188">
        <v>31.83</v>
      </c>
      <c r="D502" s="3185" t="s">
        <v>3643</v>
      </c>
      <c r="E502" s="3185" t="s">
        <v>3453</v>
      </c>
      <c r="F502" s="3185">
        <v>-3</v>
      </c>
    </row>
    <row r="503" spans="1:6" ht="15" customHeight="1">
      <c r="A503" s="3185">
        <v>287</v>
      </c>
      <c r="B503" s="3185">
        <v>146</v>
      </c>
      <c r="C503" s="3188">
        <v>31.83</v>
      </c>
      <c r="D503" s="3185" t="s">
        <v>3643</v>
      </c>
      <c r="E503" s="3185" t="s">
        <v>3453</v>
      </c>
      <c r="F503" s="3185">
        <v>-3</v>
      </c>
    </row>
    <row r="504" spans="1:6" ht="15" customHeight="1">
      <c r="A504" s="3185">
        <v>288</v>
      </c>
      <c r="B504" s="3185">
        <v>147</v>
      </c>
      <c r="C504" s="3188">
        <v>31.83</v>
      </c>
      <c r="D504" s="3185" t="s">
        <v>3643</v>
      </c>
      <c r="E504" s="3185" t="s">
        <v>3453</v>
      </c>
      <c r="F504" s="3185">
        <v>-3</v>
      </c>
    </row>
    <row r="505" spans="1:6" ht="15" customHeight="1">
      <c r="A505" s="3185">
        <v>289</v>
      </c>
      <c r="B505" s="3185">
        <v>148</v>
      </c>
      <c r="C505" s="3188">
        <v>31.83</v>
      </c>
      <c r="D505" s="3185" t="s">
        <v>3643</v>
      </c>
      <c r="E505" s="3185" t="s">
        <v>3453</v>
      </c>
      <c r="F505" s="3185">
        <v>-3</v>
      </c>
    </row>
    <row r="506" spans="1:6" ht="15" customHeight="1">
      <c r="A506" s="3185">
        <v>290</v>
      </c>
      <c r="B506" s="3185">
        <v>149</v>
      </c>
      <c r="C506" s="3188">
        <v>31.83</v>
      </c>
      <c r="D506" s="3185" t="s">
        <v>3643</v>
      </c>
      <c r="E506" s="3185" t="s">
        <v>3453</v>
      </c>
      <c r="F506" s="3185">
        <v>-3</v>
      </c>
    </row>
    <row r="507" spans="1:6" ht="15" customHeight="1">
      <c r="A507" s="3185">
        <v>291</v>
      </c>
      <c r="B507" s="3185">
        <v>150</v>
      </c>
      <c r="C507" s="3188">
        <v>31.83</v>
      </c>
      <c r="D507" s="3185" t="s">
        <v>3643</v>
      </c>
      <c r="E507" s="3185" t="s">
        <v>3453</v>
      </c>
      <c r="F507" s="3185">
        <v>-3</v>
      </c>
    </row>
    <row r="508" spans="1:6" ht="15" customHeight="1">
      <c r="A508" s="3185">
        <v>292</v>
      </c>
      <c r="B508" s="3185">
        <v>151</v>
      </c>
      <c r="C508" s="3188">
        <v>31.83</v>
      </c>
      <c r="D508" s="3185" t="s">
        <v>3643</v>
      </c>
      <c r="E508" s="3185" t="s">
        <v>3453</v>
      </c>
      <c r="F508" s="3185">
        <v>-3</v>
      </c>
    </row>
    <row r="509" spans="1:6" ht="15" customHeight="1">
      <c r="A509" s="3185">
        <v>293</v>
      </c>
      <c r="B509" s="3185">
        <v>152</v>
      </c>
      <c r="C509" s="3188">
        <v>31.83</v>
      </c>
      <c r="D509" s="3185" t="s">
        <v>3643</v>
      </c>
      <c r="E509" s="3185" t="s">
        <v>3453</v>
      </c>
      <c r="F509" s="3185">
        <v>-3</v>
      </c>
    </row>
    <row r="510" spans="1:6" ht="15" customHeight="1">
      <c r="A510" s="3185">
        <v>294</v>
      </c>
      <c r="B510" s="3185">
        <v>153</v>
      </c>
      <c r="C510" s="3188">
        <v>31.83</v>
      </c>
      <c r="D510" s="3185" t="s">
        <v>3643</v>
      </c>
      <c r="E510" s="3185" t="s">
        <v>3453</v>
      </c>
      <c r="F510" s="3185">
        <v>-3</v>
      </c>
    </row>
    <row r="511" spans="1:6" ht="15" customHeight="1">
      <c r="A511" s="3185">
        <v>295</v>
      </c>
      <c r="B511" s="3185">
        <v>155</v>
      </c>
      <c r="C511" s="3188">
        <v>31.83</v>
      </c>
      <c r="D511" s="3185" t="s">
        <v>3643</v>
      </c>
      <c r="E511" s="3185" t="s">
        <v>3453</v>
      </c>
      <c r="F511" s="3185">
        <v>-3</v>
      </c>
    </row>
    <row r="512" spans="1:6" ht="15" customHeight="1">
      <c r="A512" s="3185">
        <v>296</v>
      </c>
      <c r="B512" s="3185">
        <v>156</v>
      </c>
      <c r="C512" s="3188">
        <v>31.83</v>
      </c>
      <c r="D512" s="3185" t="s">
        <v>3643</v>
      </c>
      <c r="E512" s="3185" t="s">
        <v>3453</v>
      </c>
      <c r="F512" s="3185">
        <v>-3</v>
      </c>
    </row>
    <row r="513" spans="1:6" ht="15" customHeight="1">
      <c r="A513" s="3185">
        <v>297</v>
      </c>
      <c r="B513" s="3185">
        <v>157</v>
      </c>
      <c r="C513" s="3188">
        <v>31.83</v>
      </c>
      <c r="D513" s="3185" t="s">
        <v>3643</v>
      </c>
      <c r="E513" s="3185" t="s">
        <v>3453</v>
      </c>
      <c r="F513" s="3185">
        <v>-3</v>
      </c>
    </row>
    <row r="514" spans="1:6" ht="15" customHeight="1">
      <c r="A514" s="3185">
        <v>298</v>
      </c>
      <c r="B514" s="3185">
        <v>158</v>
      </c>
      <c r="C514" s="3188">
        <v>57.06</v>
      </c>
      <c r="D514" s="3185" t="s">
        <v>3643</v>
      </c>
      <c r="E514" s="3185" t="s">
        <v>3453</v>
      </c>
      <c r="F514" s="3185">
        <v>-3</v>
      </c>
    </row>
    <row r="515" spans="1:6" ht="15" customHeight="1">
      <c r="A515" s="3185">
        <v>299</v>
      </c>
      <c r="B515" s="3185">
        <v>159</v>
      </c>
      <c r="C515" s="3188">
        <v>31.83</v>
      </c>
      <c r="D515" s="3185" t="s">
        <v>3643</v>
      </c>
      <c r="E515" s="3185" t="s">
        <v>3453</v>
      </c>
      <c r="F515" s="3185">
        <v>-3</v>
      </c>
    </row>
    <row r="516" spans="1:6" ht="15" customHeight="1">
      <c r="A516" s="3185">
        <v>300</v>
      </c>
      <c r="B516" s="3185">
        <v>160</v>
      </c>
      <c r="C516" s="3188">
        <v>31.83</v>
      </c>
      <c r="D516" s="3185" t="s">
        <v>3643</v>
      </c>
      <c r="E516" s="3185" t="s">
        <v>3453</v>
      </c>
      <c r="F516" s="3185">
        <v>-3</v>
      </c>
    </row>
    <row r="517" spans="1:6" ht="15" customHeight="1">
      <c r="A517" s="3185">
        <v>301</v>
      </c>
      <c r="B517" s="3185">
        <v>161</v>
      </c>
      <c r="C517" s="3188">
        <v>31.83</v>
      </c>
      <c r="D517" s="3185" t="s">
        <v>3643</v>
      </c>
      <c r="E517" s="3185" t="s">
        <v>3453</v>
      </c>
      <c r="F517" s="3185">
        <v>-3</v>
      </c>
    </row>
    <row r="518" spans="1:6" ht="15" customHeight="1">
      <c r="A518" s="3185">
        <v>302</v>
      </c>
      <c r="B518" s="3185">
        <v>162</v>
      </c>
      <c r="C518" s="3188">
        <v>34.49</v>
      </c>
      <c r="D518" s="3185" t="s">
        <v>3643</v>
      </c>
      <c r="E518" s="3185" t="s">
        <v>3453</v>
      </c>
      <c r="F518" s="3185">
        <v>-3</v>
      </c>
    </row>
    <row r="519" spans="1:6" ht="15" customHeight="1">
      <c r="A519" s="3185">
        <v>303</v>
      </c>
      <c r="B519" s="3185">
        <v>163</v>
      </c>
      <c r="C519" s="3188">
        <v>34.49</v>
      </c>
      <c r="D519" s="3185" t="s">
        <v>3643</v>
      </c>
      <c r="E519" s="3185" t="s">
        <v>3453</v>
      </c>
      <c r="F519" s="3185">
        <v>-3</v>
      </c>
    </row>
    <row r="520" spans="1:6" ht="15" customHeight="1">
      <c r="A520" s="3185">
        <v>304</v>
      </c>
      <c r="B520" s="3185">
        <v>165</v>
      </c>
      <c r="C520" s="3188">
        <v>34.49</v>
      </c>
      <c r="D520" s="3185" t="s">
        <v>3643</v>
      </c>
      <c r="E520" s="3185" t="s">
        <v>3453</v>
      </c>
      <c r="F520" s="3185">
        <v>-3</v>
      </c>
    </row>
    <row r="521" spans="1:6" ht="15" customHeight="1">
      <c r="A521" s="3185">
        <v>305</v>
      </c>
      <c r="B521" s="3185">
        <v>166</v>
      </c>
      <c r="C521" s="3188">
        <v>34.49</v>
      </c>
      <c r="D521" s="3185" t="s">
        <v>3643</v>
      </c>
      <c r="E521" s="3185" t="s">
        <v>3453</v>
      </c>
      <c r="F521" s="3185">
        <v>-3</v>
      </c>
    </row>
    <row r="522" spans="1:6" ht="15" customHeight="1">
      <c r="A522" s="3185">
        <v>306</v>
      </c>
      <c r="B522" s="3185">
        <v>167</v>
      </c>
      <c r="C522" s="3188">
        <v>34.49</v>
      </c>
      <c r="D522" s="3185" t="s">
        <v>3643</v>
      </c>
      <c r="E522" s="3185" t="s">
        <v>3453</v>
      </c>
      <c r="F522" s="3185">
        <v>-3</v>
      </c>
    </row>
    <row r="523" spans="1:6" ht="15" customHeight="1">
      <c r="A523" s="3185">
        <v>307</v>
      </c>
      <c r="B523" s="3185">
        <v>169</v>
      </c>
      <c r="C523" s="3188">
        <v>31.83</v>
      </c>
      <c r="D523" s="3185" t="s">
        <v>3643</v>
      </c>
      <c r="E523" s="3185" t="s">
        <v>3453</v>
      </c>
      <c r="F523" s="3185">
        <v>-3</v>
      </c>
    </row>
    <row r="524" spans="1:6" ht="15" customHeight="1">
      <c r="A524" s="3185">
        <v>308</v>
      </c>
      <c r="B524" s="3185">
        <v>170</v>
      </c>
      <c r="C524" s="3188">
        <v>31.83</v>
      </c>
      <c r="D524" s="3185" t="s">
        <v>3643</v>
      </c>
      <c r="E524" s="3185" t="s">
        <v>3453</v>
      </c>
      <c r="F524" s="3185">
        <v>-3</v>
      </c>
    </row>
    <row r="525" spans="1:6" ht="15" customHeight="1">
      <c r="A525" s="3185">
        <v>309</v>
      </c>
      <c r="B525" s="3185">
        <v>171</v>
      </c>
      <c r="C525" s="3188">
        <v>31.83</v>
      </c>
      <c r="D525" s="3185" t="s">
        <v>3643</v>
      </c>
      <c r="E525" s="3185" t="s">
        <v>3453</v>
      </c>
      <c r="F525" s="3185">
        <v>-3</v>
      </c>
    </row>
    <row r="526" spans="1:6" ht="15" customHeight="1">
      <c r="A526" s="3185">
        <v>310</v>
      </c>
      <c r="B526" s="3185">
        <v>172</v>
      </c>
      <c r="C526" s="3188">
        <v>31.83</v>
      </c>
      <c r="D526" s="3185" t="s">
        <v>3643</v>
      </c>
      <c r="E526" s="3185" t="s">
        <v>3453</v>
      </c>
      <c r="F526" s="3185">
        <v>-3</v>
      </c>
    </row>
    <row r="527" spans="1:6" ht="15" customHeight="1">
      <c r="A527" s="3185">
        <v>311</v>
      </c>
      <c r="B527" s="3185">
        <v>173</v>
      </c>
      <c r="C527" s="3188">
        <v>31.83</v>
      </c>
      <c r="D527" s="3185" t="s">
        <v>3643</v>
      </c>
      <c r="E527" s="3185" t="s">
        <v>3453</v>
      </c>
      <c r="F527" s="3185">
        <v>-3</v>
      </c>
    </row>
    <row r="528" spans="1:6" ht="15" customHeight="1">
      <c r="A528" s="3185">
        <v>312</v>
      </c>
      <c r="B528" s="3185">
        <v>175</v>
      </c>
      <c r="C528" s="3188">
        <v>31.83</v>
      </c>
      <c r="D528" s="3185" t="s">
        <v>3643</v>
      </c>
      <c r="E528" s="3185" t="s">
        <v>3453</v>
      </c>
      <c r="F528" s="3185">
        <v>-3</v>
      </c>
    </row>
    <row r="529" spans="1:6" ht="15" customHeight="1">
      <c r="A529" s="3185">
        <v>313</v>
      </c>
      <c r="B529" s="3185">
        <v>176</v>
      </c>
      <c r="C529" s="3188">
        <v>31.83</v>
      </c>
      <c r="D529" s="3185" t="s">
        <v>3643</v>
      </c>
      <c r="E529" s="3185" t="s">
        <v>3453</v>
      </c>
      <c r="F529" s="3185">
        <v>-3</v>
      </c>
    </row>
    <row r="530" spans="1:6" ht="15" customHeight="1">
      <c r="A530" s="3185">
        <v>314</v>
      </c>
      <c r="B530" s="3185">
        <v>177</v>
      </c>
      <c r="C530" s="3188">
        <v>31.83</v>
      </c>
      <c r="D530" s="3185" t="s">
        <v>3643</v>
      </c>
      <c r="E530" s="3185" t="s">
        <v>3453</v>
      </c>
      <c r="F530" s="3185">
        <v>-3</v>
      </c>
    </row>
    <row r="531" spans="1:6" ht="15" customHeight="1">
      <c r="A531" s="3185">
        <v>315</v>
      </c>
      <c r="B531" s="3185">
        <v>178</v>
      </c>
      <c r="C531" s="3188">
        <v>31.83</v>
      </c>
      <c r="D531" s="3185" t="s">
        <v>3643</v>
      </c>
      <c r="E531" s="3185" t="s">
        <v>3453</v>
      </c>
      <c r="F531" s="3185">
        <v>-3</v>
      </c>
    </row>
    <row r="532" spans="1:6" ht="15" customHeight="1">
      <c r="A532" s="3185">
        <v>316</v>
      </c>
      <c r="B532" s="3185">
        <v>179</v>
      </c>
      <c r="C532" s="3188">
        <v>31.83</v>
      </c>
      <c r="D532" s="3185" t="s">
        <v>3643</v>
      </c>
      <c r="E532" s="3185" t="s">
        <v>3453</v>
      </c>
      <c r="F532" s="3185">
        <v>-3</v>
      </c>
    </row>
    <row r="533" spans="1:6" ht="15" customHeight="1">
      <c r="A533" s="3185">
        <v>317</v>
      </c>
      <c r="B533" s="3185">
        <v>180</v>
      </c>
      <c r="C533" s="3188">
        <v>31.83</v>
      </c>
      <c r="D533" s="3185" t="s">
        <v>3643</v>
      </c>
      <c r="E533" s="3185" t="s">
        <v>3453</v>
      </c>
      <c r="F533" s="3185">
        <v>-3</v>
      </c>
    </row>
    <row r="534" spans="1:6" ht="15" customHeight="1">
      <c r="A534" s="3185">
        <v>318</v>
      </c>
      <c r="B534" s="3185">
        <v>181</v>
      </c>
      <c r="C534" s="3188">
        <v>31.83</v>
      </c>
      <c r="D534" s="3185" t="s">
        <v>3643</v>
      </c>
      <c r="E534" s="3185" t="s">
        <v>3453</v>
      </c>
      <c r="F534" s="3185">
        <v>-3</v>
      </c>
    </row>
    <row r="535" spans="1:6" ht="15" customHeight="1">
      <c r="A535" s="3185">
        <v>319</v>
      </c>
      <c r="B535" s="3185">
        <v>182</v>
      </c>
      <c r="C535" s="3188">
        <v>31.83</v>
      </c>
      <c r="D535" s="3185" t="s">
        <v>3643</v>
      </c>
      <c r="E535" s="3185" t="s">
        <v>3453</v>
      </c>
      <c r="F535" s="3185">
        <v>-3</v>
      </c>
    </row>
    <row r="536" spans="1:6" ht="15" customHeight="1">
      <c r="A536" s="3185">
        <v>320</v>
      </c>
      <c r="B536" s="3185">
        <v>183</v>
      </c>
      <c r="C536" s="3188">
        <v>31.83</v>
      </c>
      <c r="D536" s="3185" t="s">
        <v>3643</v>
      </c>
      <c r="E536" s="3185" t="s">
        <v>3453</v>
      </c>
      <c r="F536" s="3185">
        <v>-3</v>
      </c>
    </row>
    <row r="537" spans="1:6" ht="15" customHeight="1">
      <c r="A537" s="3185">
        <v>321</v>
      </c>
      <c r="B537" s="3185">
        <v>185</v>
      </c>
      <c r="C537" s="3188">
        <v>31.83</v>
      </c>
      <c r="D537" s="3185" t="s">
        <v>3643</v>
      </c>
      <c r="E537" s="3185" t="s">
        <v>3453</v>
      </c>
      <c r="F537" s="3185">
        <v>-3</v>
      </c>
    </row>
    <row r="538" spans="1:6" ht="15" customHeight="1">
      <c r="A538" s="3185">
        <v>322</v>
      </c>
      <c r="B538" s="3185">
        <v>186</v>
      </c>
      <c r="C538" s="3188">
        <v>31.83</v>
      </c>
      <c r="D538" s="3185" t="s">
        <v>3643</v>
      </c>
      <c r="E538" s="3185" t="s">
        <v>3453</v>
      </c>
      <c r="F538" s="3185">
        <v>-3</v>
      </c>
    </row>
    <row r="539" spans="1:6" ht="15" customHeight="1">
      <c r="A539" s="3185">
        <v>323</v>
      </c>
      <c r="B539" s="3185">
        <v>187</v>
      </c>
      <c r="C539" s="3188">
        <v>31.83</v>
      </c>
      <c r="D539" s="3185" t="s">
        <v>3643</v>
      </c>
      <c r="E539" s="3185" t="s">
        <v>3453</v>
      </c>
      <c r="F539" s="3185">
        <v>-3</v>
      </c>
    </row>
    <row r="540" spans="1:6" ht="15" customHeight="1">
      <c r="A540" s="3185">
        <v>324</v>
      </c>
      <c r="B540" s="3185">
        <v>188</v>
      </c>
      <c r="C540" s="3188">
        <v>31.83</v>
      </c>
      <c r="D540" s="3185" t="s">
        <v>3643</v>
      </c>
      <c r="E540" s="3185" t="s">
        <v>3453</v>
      </c>
      <c r="F540" s="3185">
        <v>-3</v>
      </c>
    </row>
    <row r="541" spans="1:6" ht="15" customHeight="1">
      <c r="A541" s="3185">
        <v>325</v>
      </c>
      <c r="B541" s="3185">
        <v>189</v>
      </c>
      <c r="C541" s="3188">
        <v>31.83</v>
      </c>
      <c r="D541" s="3185" t="s">
        <v>3643</v>
      </c>
      <c r="E541" s="3185" t="s">
        <v>3453</v>
      </c>
      <c r="F541" s="3185">
        <v>-3</v>
      </c>
    </row>
    <row r="542" spans="1:6" ht="15" customHeight="1">
      <c r="A542" s="3185">
        <v>326</v>
      </c>
      <c r="B542" s="3185">
        <v>190</v>
      </c>
      <c r="C542" s="3188">
        <v>31.83</v>
      </c>
      <c r="D542" s="3185" t="s">
        <v>3643</v>
      </c>
      <c r="E542" s="3185" t="s">
        <v>3453</v>
      </c>
      <c r="F542" s="3185">
        <v>-3</v>
      </c>
    </row>
    <row r="543" spans="1:6" ht="15" customHeight="1">
      <c r="A543" s="3185">
        <v>327</v>
      </c>
      <c r="B543" s="3185">
        <v>191</v>
      </c>
      <c r="C543" s="3188">
        <v>31.83</v>
      </c>
      <c r="D543" s="3185" t="s">
        <v>3643</v>
      </c>
      <c r="E543" s="3185" t="s">
        <v>3453</v>
      </c>
      <c r="F543" s="3185">
        <v>-3</v>
      </c>
    </row>
    <row r="544" spans="1:6" ht="15" customHeight="1">
      <c r="A544" s="3185">
        <v>328</v>
      </c>
      <c r="B544" s="3185">
        <v>192</v>
      </c>
      <c r="C544" s="3188">
        <v>31.83</v>
      </c>
      <c r="D544" s="3185" t="s">
        <v>3643</v>
      </c>
      <c r="E544" s="3185" t="s">
        <v>3453</v>
      </c>
      <c r="F544" s="3185">
        <v>-3</v>
      </c>
    </row>
    <row r="545" spans="1:6" ht="15" customHeight="1">
      <c r="A545" s="3185">
        <v>329</v>
      </c>
      <c r="B545" s="3185">
        <v>193</v>
      </c>
      <c r="C545" s="3188">
        <v>31.83</v>
      </c>
      <c r="D545" s="3185" t="s">
        <v>3643</v>
      </c>
      <c r="E545" s="3185" t="s">
        <v>3453</v>
      </c>
      <c r="F545" s="3185">
        <v>-3</v>
      </c>
    </row>
    <row r="546" spans="1:6" ht="15" customHeight="1">
      <c r="A546" s="3185">
        <v>330</v>
      </c>
      <c r="B546" s="3185">
        <v>195</v>
      </c>
      <c r="C546" s="3188">
        <v>31.83</v>
      </c>
      <c r="D546" s="3185" t="s">
        <v>3643</v>
      </c>
      <c r="E546" s="3185" t="s">
        <v>3453</v>
      </c>
      <c r="F546" s="3185">
        <v>-3</v>
      </c>
    </row>
    <row r="547" spans="1:6" ht="15" customHeight="1">
      <c r="A547" s="3185">
        <v>331</v>
      </c>
      <c r="B547" s="3185">
        <v>196</v>
      </c>
      <c r="C547" s="3188">
        <v>31.83</v>
      </c>
      <c r="D547" s="3185" t="s">
        <v>3643</v>
      </c>
      <c r="E547" s="3185" t="s">
        <v>3453</v>
      </c>
      <c r="F547" s="3185">
        <v>-3</v>
      </c>
    </row>
    <row r="548" spans="1:6" ht="15" customHeight="1">
      <c r="A548" s="3185">
        <v>332</v>
      </c>
      <c r="B548" s="3185">
        <v>197</v>
      </c>
      <c r="C548" s="3188">
        <v>31.83</v>
      </c>
      <c r="D548" s="3185" t="s">
        <v>3643</v>
      </c>
      <c r="E548" s="3185" t="s">
        <v>3453</v>
      </c>
      <c r="F548" s="3185">
        <v>-3</v>
      </c>
    </row>
    <row r="549" spans="1:6" ht="15" customHeight="1">
      <c r="A549" s="3185">
        <v>333</v>
      </c>
      <c r="B549" s="3185">
        <v>198</v>
      </c>
      <c r="C549" s="3188">
        <v>31.83</v>
      </c>
      <c r="D549" s="3185" t="s">
        <v>3643</v>
      </c>
      <c r="E549" s="3185" t="s">
        <v>3453</v>
      </c>
      <c r="F549" s="3185">
        <v>-3</v>
      </c>
    </row>
    <row r="550" spans="1:6" ht="15" customHeight="1">
      <c r="A550" s="3185">
        <v>334</v>
      </c>
      <c r="B550" s="3185">
        <v>199</v>
      </c>
      <c r="C550" s="3188">
        <v>31.83</v>
      </c>
      <c r="D550" s="3185" t="s">
        <v>3643</v>
      </c>
      <c r="E550" s="3185" t="s">
        <v>3453</v>
      </c>
      <c r="F550" s="3185">
        <v>-3</v>
      </c>
    </row>
    <row r="551" spans="1:6" ht="15" customHeight="1">
      <c r="A551" s="3185">
        <v>335</v>
      </c>
      <c r="B551" s="3185">
        <v>200</v>
      </c>
      <c r="C551" s="3188">
        <v>31.83</v>
      </c>
      <c r="D551" s="3185" t="s">
        <v>3643</v>
      </c>
      <c r="E551" s="3185" t="s">
        <v>3453</v>
      </c>
      <c r="F551" s="3185">
        <v>-3</v>
      </c>
    </row>
    <row r="552" spans="1:6" ht="15" customHeight="1">
      <c r="A552" s="3185">
        <v>336</v>
      </c>
      <c r="B552" s="3185">
        <v>201</v>
      </c>
      <c r="C552" s="3188">
        <v>31.83</v>
      </c>
      <c r="D552" s="3185" t="s">
        <v>3643</v>
      </c>
      <c r="E552" s="3185" t="s">
        <v>3453</v>
      </c>
      <c r="F552" s="3185">
        <v>-3</v>
      </c>
    </row>
    <row r="553" spans="1:6" ht="15" customHeight="1">
      <c r="A553" s="3185">
        <v>337</v>
      </c>
      <c r="B553" s="3185">
        <v>202</v>
      </c>
      <c r="C553" s="3188">
        <v>31.83</v>
      </c>
      <c r="D553" s="3185" t="s">
        <v>3643</v>
      </c>
      <c r="E553" s="3185" t="s">
        <v>3453</v>
      </c>
      <c r="F553" s="3185">
        <v>-3</v>
      </c>
    </row>
    <row r="554" spans="1:6" ht="15" customHeight="1">
      <c r="A554" s="3185">
        <v>338</v>
      </c>
      <c r="B554" s="3185">
        <v>203</v>
      </c>
      <c r="C554" s="3188">
        <v>31.83</v>
      </c>
      <c r="D554" s="3185" t="s">
        <v>3643</v>
      </c>
      <c r="E554" s="3185" t="s">
        <v>3453</v>
      </c>
      <c r="F554" s="3185">
        <v>-3</v>
      </c>
    </row>
    <row r="555" spans="1:6" ht="15" customHeight="1">
      <c r="A555" s="3185">
        <v>339</v>
      </c>
      <c r="B555" s="3185">
        <v>205</v>
      </c>
      <c r="C555" s="3188">
        <v>31.83</v>
      </c>
      <c r="D555" s="3185" t="s">
        <v>3643</v>
      </c>
      <c r="E555" s="3185" t="s">
        <v>3453</v>
      </c>
      <c r="F555" s="3185">
        <v>-3</v>
      </c>
    </row>
    <row r="556" spans="1:6" ht="15" customHeight="1">
      <c r="A556" s="3185">
        <v>340</v>
      </c>
      <c r="B556" s="3185">
        <v>206</v>
      </c>
      <c r="C556" s="3188">
        <v>31.83</v>
      </c>
      <c r="D556" s="3185" t="s">
        <v>3643</v>
      </c>
      <c r="E556" s="3185" t="s">
        <v>3453</v>
      </c>
      <c r="F556" s="3185">
        <v>-3</v>
      </c>
    </row>
    <row r="557" spans="1:6" ht="15" customHeight="1">
      <c r="A557" s="3185">
        <v>341</v>
      </c>
      <c r="B557" s="3185">
        <v>207</v>
      </c>
      <c r="C557" s="3188">
        <v>31.83</v>
      </c>
      <c r="D557" s="3185" t="s">
        <v>3643</v>
      </c>
      <c r="E557" s="3185" t="s">
        <v>3453</v>
      </c>
      <c r="F557" s="3185">
        <v>-3</v>
      </c>
    </row>
    <row r="558" spans="1:6" ht="15" customHeight="1">
      <c r="A558" s="3185">
        <v>342</v>
      </c>
      <c r="B558" s="3185">
        <v>208</v>
      </c>
      <c r="C558" s="3188">
        <v>31.83</v>
      </c>
      <c r="D558" s="3185" t="s">
        <v>3643</v>
      </c>
      <c r="E558" s="3185" t="s">
        <v>3453</v>
      </c>
      <c r="F558" s="3185">
        <v>-3</v>
      </c>
    </row>
    <row r="559" spans="1:6" ht="15" customHeight="1">
      <c r="A559" s="3185">
        <v>343</v>
      </c>
      <c r="B559" s="3185">
        <v>209</v>
      </c>
      <c r="C559" s="3188">
        <v>31.83</v>
      </c>
      <c r="D559" s="3185" t="s">
        <v>3643</v>
      </c>
      <c r="E559" s="3185" t="s">
        <v>3453</v>
      </c>
      <c r="F559" s="3185">
        <v>-3</v>
      </c>
    </row>
    <row r="560" spans="1:6" ht="15" customHeight="1">
      <c r="A560" s="3185">
        <v>344</v>
      </c>
      <c r="B560" s="3185">
        <v>210</v>
      </c>
      <c r="C560" s="3188">
        <v>31.83</v>
      </c>
      <c r="D560" s="3185" t="s">
        <v>3643</v>
      </c>
      <c r="E560" s="3185" t="s">
        <v>3453</v>
      </c>
      <c r="F560" s="3185">
        <v>-3</v>
      </c>
    </row>
    <row r="561" spans="1:6" ht="15" customHeight="1">
      <c r="A561" s="3185">
        <v>345</v>
      </c>
      <c r="B561" s="3185">
        <v>211</v>
      </c>
      <c r="C561" s="3188">
        <v>31.83</v>
      </c>
      <c r="D561" s="3185" t="s">
        <v>3643</v>
      </c>
      <c r="E561" s="3185" t="s">
        <v>3453</v>
      </c>
      <c r="F561" s="3185">
        <v>-3</v>
      </c>
    </row>
    <row r="562" spans="1:6" ht="15" customHeight="1">
      <c r="A562" s="3185">
        <v>346</v>
      </c>
      <c r="B562" s="3185">
        <v>212</v>
      </c>
      <c r="C562" s="3188">
        <v>31.83</v>
      </c>
      <c r="D562" s="3185" t="s">
        <v>3643</v>
      </c>
      <c r="E562" s="3185" t="s">
        <v>3453</v>
      </c>
      <c r="F562" s="3185">
        <v>-3</v>
      </c>
    </row>
    <row r="563" spans="1:6" ht="15" customHeight="1">
      <c r="A563" s="3185">
        <v>347</v>
      </c>
      <c r="B563" s="3185">
        <v>217</v>
      </c>
      <c r="C563" s="3188">
        <v>31.83</v>
      </c>
      <c r="D563" s="3185" t="s">
        <v>3643</v>
      </c>
      <c r="E563" s="3185" t="s">
        <v>3453</v>
      </c>
      <c r="F563" s="3185">
        <v>-3</v>
      </c>
    </row>
    <row r="564" spans="1:6" ht="15" customHeight="1">
      <c r="A564" s="3185">
        <v>348</v>
      </c>
      <c r="B564" s="3185">
        <v>218</v>
      </c>
      <c r="C564" s="3188">
        <v>31.83</v>
      </c>
      <c r="D564" s="3185" t="s">
        <v>3643</v>
      </c>
      <c r="E564" s="3185" t="s">
        <v>3453</v>
      </c>
      <c r="F564" s="3185">
        <v>-3</v>
      </c>
    </row>
    <row r="565" spans="1:6" ht="15" customHeight="1">
      <c r="A565" s="3185">
        <v>349</v>
      </c>
      <c r="B565" s="3185">
        <v>219</v>
      </c>
      <c r="C565" s="3188">
        <v>31.83</v>
      </c>
      <c r="D565" s="3185" t="s">
        <v>3643</v>
      </c>
      <c r="E565" s="3185" t="s">
        <v>3453</v>
      </c>
      <c r="F565" s="3185">
        <v>-3</v>
      </c>
    </row>
    <row r="566" spans="1:6" ht="15" customHeight="1">
      <c r="A566" s="3185">
        <v>350</v>
      </c>
      <c r="B566" s="3185">
        <v>220</v>
      </c>
      <c r="C566" s="3188">
        <v>31.83</v>
      </c>
      <c r="D566" s="3185" t="s">
        <v>3643</v>
      </c>
      <c r="E566" s="3185" t="s">
        <v>3453</v>
      </c>
      <c r="F566" s="3185">
        <v>-3</v>
      </c>
    </row>
    <row r="567" spans="1:6" ht="15" customHeight="1">
      <c r="A567" s="3185">
        <v>351</v>
      </c>
      <c r="B567" s="3185">
        <v>221</v>
      </c>
      <c r="C567" s="3188">
        <v>31.83</v>
      </c>
      <c r="D567" s="3185" t="s">
        <v>3643</v>
      </c>
      <c r="E567" s="3185" t="s">
        <v>3453</v>
      </c>
      <c r="F567" s="3185">
        <v>-3</v>
      </c>
    </row>
    <row r="568" spans="1:6" ht="15" customHeight="1">
      <c r="A568" s="3185">
        <v>352</v>
      </c>
      <c r="B568" s="3185">
        <v>222</v>
      </c>
      <c r="C568" s="3188">
        <v>31.83</v>
      </c>
      <c r="D568" s="3185" t="s">
        <v>3643</v>
      </c>
      <c r="E568" s="3185" t="s">
        <v>3453</v>
      </c>
      <c r="F568" s="3185">
        <v>-3</v>
      </c>
    </row>
    <row r="569" spans="1:6" ht="15" customHeight="1">
      <c r="A569" s="3185">
        <v>353</v>
      </c>
      <c r="B569" s="3185">
        <v>223</v>
      </c>
      <c r="C569" s="3188">
        <v>31.83</v>
      </c>
      <c r="D569" s="3185" t="s">
        <v>3643</v>
      </c>
      <c r="E569" s="3185" t="s">
        <v>3453</v>
      </c>
      <c r="F569" s="3185">
        <v>-3</v>
      </c>
    </row>
    <row r="570" spans="1:6" ht="15" customHeight="1">
      <c r="A570" s="3185">
        <v>354</v>
      </c>
      <c r="B570" s="3185">
        <v>225</v>
      </c>
      <c r="C570" s="3188">
        <v>31.83</v>
      </c>
      <c r="D570" s="3185" t="s">
        <v>3643</v>
      </c>
      <c r="E570" s="3185" t="s">
        <v>3453</v>
      </c>
      <c r="F570" s="3185">
        <v>-3</v>
      </c>
    </row>
    <row r="571" spans="1:6" ht="15" customHeight="1">
      <c r="A571" s="3185">
        <v>355</v>
      </c>
      <c r="B571" s="3185">
        <v>226</v>
      </c>
      <c r="C571" s="3188">
        <v>31.83</v>
      </c>
      <c r="D571" s="3185" t="s">
        <v>3643</v>
      </c>
      <c r="E571" s="3185" t="s">
        <v>3453</v>
      </c>
      <c r="F571" s="3185">
        <v>-3</v>
      </c>
    </row>
    <row r="572" spans="1:6" ht="15" customHeight="1">
      <c r="A572" s="3185">
        <v>356</v>
      </c>
      <c r="B572" s="3185">
        <v>227</v>
      </c>
      <c r="C572" s="3188">
        <v>31.83</v>
      </c>
      <c r="D572" s="3185" t="s">
        <v>3643</v>
      </c>
      <c r="E572" s="3185" t="s">
        <v>3453</v>
      </c>
      <c r="F572" s="3185">
        <v>-3</v>
      </c>
    </row>
    <row r="573" spans="1:6" ht="15" customHeight="1">
      <c r="A573" s="3185">
        <v>357</v>
      </c>
      <c r="B573" s="3185">
        <v>228</v>
      </c>
      <c r="C573" s="3188">
        <v>31.83</v>
      </c>
      <c r="D573" s="3185" t="s">
        <v>3643</v>
      </c>
      <c r="E573" s="3185" t="s">
        <v>3453</v>
      </c>
      <c r="F573" s="3185">
        <v>-3</v>
      </c>
    </row>
    <row r="574" spans="1:6" ht="15" customHeight="1">
      <c r="A574" s="3185">
        <v>358</v>
      </c>
      <c r="B574" s="3185">
        <v>229</v>
      </c>
      <c r="C574" s="3188">
        <v>31.83</v>
      </c>
      <c r="D574" s="3185" t="s">
        <v>3643</v>
      </c>
      <c r="E574" s="3185" t="s">
        <v>3453</v>
      </c>
      <c r="F574" s="3185">
        <v>-3</v>
      </c>
    </row>
    <row r="575" spans="1:6" ht="15" customHeight="1">
      <c r="A575" s="3185">
        <v>359</v>
      </c>
      <c r="B575" s="3185">
        <v>230</v>
      </c>
      <c r="C575" s="3188">
        <v>31.83</v>
      </c>
      <c r="D575" s="3185" t="s">
        <v>3643</v>
      </c>
      <c r="E575" s="3185" t="s">
        <v>3453</v>
      </c>
      <c r="F575" s="3185">
        <v>-3</v>
      </c>
    </row>
    <row r="576" spans="1:6" ht="15" customHeight="1">
      <c r="A576" s="3185">
        <v>360</v>
      </c>
      <c r="B576" s="3185">
        <v>231</v>
      </c>
      <c r="C576" s="3188">
        <v>31.83</v>
      </c>
      <c r="D576" s="3185" t="s">
        <v>3643</v>
      </c>
      <c r="E576" s="3185" t="s">
        <v>3453</v>
      </c>
      <c r="F576" s="3185">
        <v>-3</v>
      </c>
    </row>
    <row r="577" spans="1:6" ht="15" customHeight="1">
      <c r="A577" s="3185">
        <v>361</v>
      </c>
      <c r="B577" s="3185">
        <v>232</v>
      </c>
      <c r="C577" s="3188">
        <v>31.83</v>
      </c>
      <c r="D577" s="3185" t="s">
        <v>3643</v>
      </c>
      <c r="E577" s="3185" t="s">
        <v>3453</v>
      </c>
      <c r="F577" s="3185">
        <v>-3</v>
      </c>
    </row>
    <row r="578" spans="1:6" ht="15" customHeight="1">
      <c r="A578" s="3185">
        <v>362</v>
      </c>
      <c r="B578" s="3185">
        <v>233</v>
      </c>
      <c r="C578" s="3188">
        <v>31.83</v>
      </c>
      <c r="D578" s="3185" t="s">
        <v>3643</v>
      </c>
      <c r="E578" s="3185" t="s">
        <v>3453</v>
      </c>
      <c r="F578" s="3185">
        <v>-3</v>
      </c>
    </row>
    <row r="579" spans="1:6" ht="15" customHeight="1">
      <c r="A579" s="3185">
        <v>363</v>
      </c>
      <c r="B579" s="3185">
        <v>235</v>
      </c>
      <c r="C579" s="3188">
        <v>31.83</v>
      </c>
      <c r="D579" s="3185" t="s">
        <v>3643</v>
      </c>
      <c r="E579" s="3185" t="s">
        <v>3453</v>
      </c>
      <c r="F579" s="3185">
        <v>-3</v>
      </c>
    </row>
    <row r="580" spans="1:6" ht="15" customHeight="1">
      <c r="A580" s="3185">
        <v>364</v>
      </c>
      <c r="B580" s="3185">
        <v>236</v>
      </c>
      <c r="C580" s="3188">
        <v>31.83</v>
      </c>
      <c r="D580" s="3185" t="s">
        <v>3643</v>
      </c>
      <c r="E580" s="3185" t="s">
        <v>3453</v>
      </c>
      <c r="F580" s="3185">
        <v>-3</v>
      </c>
    </row>
    <row r="581" spans="1:6" ht="15" customHeight="1">
      <c r="A581" s="3185">
        <v>365</v>
      </c>
      <c r="B581" s="3185">
        <v>237</v>
      </c>
      <c r="C581" s="3188">
        <v>34.49</v>
      </c>
      <c r="D581" s="3185" t="s">
        <v>3643</v>
      </c>
      <c r="E581" s="3185" t="s">
        <v>3453</v>
      </c>
      <c r="F581" s="3185">
        <v>-3</v>
      </c>
    </row>
    <row r="582" spans="1:6" ht="15" customHeight="1">
      <c r="A582" s="3185">
        <v>366</v>
      </c>
      <c r="B582" s="3185">
        <v>238</v>
      </c>
      <c r="C582" s="3188">
        <v>34.49</v>
      </c>
      <c r="D582" s="3185" t="s">
        <v>3643</v>
      </c>
      <c r="E582" s="3185" t="s">
        <v>3453</v>
      </c>
      <c r="F582" s="3185">
        <v>-3</v>
      </c>
    </row>
    <row r="583" spans="1:6" ht="15" customHeight="1">
      <c r="A583" s="3185">
        <v>367</v>
      </c>
      <c r="B583" s="3185">
        <v>239</v>
      </c>
      <c r="C583" s="3188">
        <v>34.49</v>
      </c>
      <c r="D583" s="3185" t="s">
        <v>3643</v>
      </c>
      <c r="E583" s="3185" t="s">
        <v>3453</v>
      </c>
      <c r="F583" s="3185">
        <v>-3</v>
      </c>
    </row>
    <row r="584" spans="1:6" ht="15" customHeight="1">
      <c r="A584" s="3185">
        <v>368</v>
      </c>
      <c r="B584" s="3185">
        <v>240</v>
      </c>
      <c r="C584" s="3188">
        <v>31.83</v>
      </c>
      <c r="D584" s="3185" t="s">
        <v>3643</v>
      </c>
      <c r="E584" s="3185" t="s">
        <v>3453</v>
      </c>
      <c r="F584" s="3185">
        <v>-3</v>
      </c>
    </row>
    <row r="585" spans="1:6" ht="15" customHeight="1">
      <c r="A585" s="3185">
        <v>369</v>
      </c>
      <c r="B585" s="3185">
        <v>241</v>
      </c>
      <c r="C585" s="3188">
        <v>34.49</v>
      </c>
      <c r="D585" s="3185" t="s">
        <v>3643</v>
      </c>
      <c r="E585" s="3185" t="s">
        <v>3453</v>
      </c>
      <c r="F585" s="3185">
        <v>-3</v>
      </c>
    </row>
    <row r="586" spans="1:6" ht="15" customHeight="1">
      <c r="A586" s="3185">
        <v>370</v>
      </c>
      <c r="B586" s="3185">
        <v>242</v>
      </c>
      <c r="C586" s="3188">
        <v>34.49</v>
      </c>
      <c r="D586" s="3185" t="s">
        <v>3643</v>
      </c>
      <c r="E586" s="3185" t="s">
        <v>3453</v>
      </c>
      <c r="F586" s="3185">
        <v>-3</v>
      </c>
    </row>
    <row r="587" spans="1:6" ht="15" customHeight="1">
      <c r="A587" s="3185">
        <v>371</v>
      </c>
      <c r="B587" s="3185">
        <v>243</v>
      </c>
      <c r="C587" s="3188">
        <v>34.49</v>
      </c>
      <c r="D587" s="3185" t="s">
        <v>3643</v>
      </c>
      <c r="E587" s="3185" t="s">
        <v>3453</v>
      </c>
      <c r="F587" s="3185">
        <v>-3</v>
      </c>
    </row>
    <row r="588" spans="1:6" ht="15" customHeight="1">
      <c r="A588" s="3185">
        <v>372</v>
      </c>
      <c r="B588" s="3185">
        <v>245</v>
      </c>
      <c r="C588" s="3188">
        <v>43.77</v>
      </c>
      <c r="D588" s="3185" t="s">
        <v>3643</v>
      </c>
      <c r="E588" s="3185" t="s">
        <v>3453</v>
      </c>
      <c r="F588" s="3185">
        <v>-3</v>
      </c>
    </row>
    <row r="589" spans="1:6" ht="15" customHeight="1">
      <c r="A589" s="3185">
        <v>373</v>
      </c>
      <c r="B589" s="3185">
        <v>246</v>
      </c>
      <c r="C589" s="3188">
        <v>31.83</v>
      </c>
      <c r="D589" s="3185" t="s">
        <v>3643</v>
      </c>
      <c r="E589" s="3185" t="s">
        <v>3453</v>
      </c>
      <c r="F589" s="3185">
        <v>-3</v>
      </c>
    </row>
    <row r="590" spans="1:6" ht="15" customHeight="1">
      <c r="A590" s="3185">
        <v>374</v>
      </c>
      <c r="B590" s="3185">
        <v>247</v>
      </c>
      <c r="C590" s="3188">
        <v>31.83</v>
      </c>
      <c r="D590" s="3185" t="s">
        <v>3643</v>
      </c>
      <c r="E590" s="3185" t="s">
        <v>3453</v>
      </c>
      <c r="F590" s="3185">
        <v>-3</v>
      </c>
    </row>
    <row r="591" spans="1:6" ht="15" customHeight="1">
      <c r="A591" s="3185">
        <v>375</v>
      </c>
      <c r="B591" s="3185">
        <v>248</v>
      </c>
      <c r="C591" s="3188">
        <v>31.83</v>
      </c>
      <c r="D591" s="3185" t="s">
        <v>3643</v>
      </c>
      <c r="E591" s="3185" t="s">
        <v>3453</v>
      </c>
      <c r="F591" s="3185">
        <v>-3</v>
      </c>
    </row>
    <row r="592" spans="1:6" ht="15" customHeight="1">
      <c r="A592" s="3185">
        <v>376</v>
      </c>
      <c r="B592" s="3185">
        <v>249</v>
      </c>
      <c r="C592" s="3188">
        <v>31.83</v>
      </c>
      <c r="D592" s="3185" t="s">
        <v>3643</v>
      </c>
      <c r="E592" s="3185" t="s">
        <v>3453</v>
      </c>
      <c r="F592" s="3185">
        <v>-3</v>
      </c>
    </row>
    <row r="593" spans="1:6" ht="15" customHeight="1">
      <c r="A593" s="3185">
        <v>377</v>
      </c>
      <c r="B593" s="3185">
        <v>250</v>
      </c>
      <c r="C593" s="3188">
        <v>31.83</v>
      </c>
      <c r="D593" s="3185" t="s">
        <v>3643</v>
      </c>
      <c r="E593" s="3185" t="s">
        <v>3453</v>
      </c>
      <c r="F593" s="3185">
        <v>-3</v>
      </c>
    </row>
    <row r="594" spans="1:6" ht="15" customHeight="1">
      <c r="A594" s="3185">
        <v>378</v>
      </c>
      <c r="B594" s="3185">
        <v>251</v>
      </c>
      <c r="C594" s="3188">
        <v>31.83</v>
      </c>
      <c r="D594" s="3185" t="s">
        <v>3643</v>
      </c>
      <c r="E594" s="3185" t="s">
        <v>3453</v>
      </c>
      <c r="F594" s="3185">
        <v>-3</v>
      </c>
    </row>
    <row r="595" spans="1:6" ht="15" customHeight="1">
      <c r="A595" s="3185">
        <v>379</v>
      </c>
      <c r="B595" s="3185">
        <v>253</v>
      </c>
      <c r="C595" s="3188">
        <v>31.83</v>
      </c>
      <c r="D595" s="3185" t="s">
        <v>3643</v>
      </c>
      <c r="E595" s="3185" t="s">
        <v>3453</v>
      </c>
      <c r="F595" s="3185">
        <v>-3</v>
      </c>
    </row>
    <row r="596" spans="1:6" ht="15" customHeight="1">
      <c r="A596" s="3185">
        <v>380</v>
      </c>
      <c r="B596" s="3185">
        <v>255</v>
      </c>
      <c r="C596" s="3188">
        <v>31.83</v>
      </c>
      <c r="D596" s="3185" t="s">
        <v>3643</v>
      </c>
      <c r="E596" s="3185" t="s">
        <v>3453</v>
      </c>
      <c r="F596" s="3185">
        <v>-3</v>
      </c>
    </row>
    <row r="597" spans="1:6" ht="15" customHeight="1">
      <c r="A597" s="3185">
        <v>381</v>
      </c>
      <c r="B597" s="3185">
        <v>256</v>
      </c>
      <c r="C597" s="3188">
        <v>31.83</v>
      </c>
      <c r="D597" s="3185" t="s">
        <v>3643</v>
      </c>
      <c r="E597" s="3185" t="s">
        <v>3453</v>
      </c>
      <c r="F597" s="3185">
        <v>-3</v>
      </c>
    </row>
    <row r="598" spans="1:6" ht="15" customHeight="1">
      <c r="A598" s="3185">
        <v>382</v>
      </c>
      <c r="B598" s="3189">
        <v>257</v>
      </c>
      <c r="C598" s="3188">
        <v>31.83</v>
      </c>
      <c r="D598" s="3185" t="s">
        <v>3643</v>
      </c>
      <c r="E598" s="3185" t="s">
        <v>3453</v>
      </c>
      <c r="F598" s="3185">
        <v>-3</v>
      </c>
    </row>
    <row r="599" spans="1:6" ht="15" customHeight="1">
      <c r="A599" s="3185">
        <v>383</v>
      </c>
      <c r="B599" s="3189">
        <v>258</v>
      </c>
      <c r="C599" s="3188">
        <v>31.83</v>
      </c>
      <c r="D599" s="3185" t="s">
        <v>3643</v>
      </c>
      <c r="E599" s="3185" t="s">
        <v>3453</v>
      </c>
      <c r="F599" s="3185">
        <v>-3</v>
      </c>
    </row>
    <row r="600" spans="1:6" ht="15" customHeight="1">
      <c r="A600" s="3185">
        <v>384</v>
      </c>
      <c r="B600" s="3185">
        <v>259</v>
      </c>
      <c r="C600" s="3188">
        <v>31.83</v>
      </c>
      <c r="D600" s="3185" t="s">
        <v>3643</v>
      </c>
      <c r="E600" s="3185" t="s">
        <v>3453</v>
      </c>
      <c r="F600" s="3185">
        <v>-3</v>
      </c>
    </row>
    <row r="601" spans="1:6" ht="15" customHeight="1">
      <c r="A601" s="3185">
        <v>385</v>
      </c>
      <c r="B601" s="3185">
        <v>260</v>
      </c>
      <c r="C601" s="3188">
        <v>32.43</v>
      </c>
      <c r="D601" s="3185" t="s">
        <v>3643</v>
      </c>
      <c r="E601" s="3185" t="s">
        <v>3453</v>
      </c>
      <c r="F601" s="3185">
        <v>-3</v>
      </c>
    </row>
    <row r="602" spans="1:6" ht="15" customHeight="1">
      <c r="A602" s="3185">
        <v>386</v>
      </c>
      <c r="B602" s="3185">
        <v>261</v>
      </c>
      <c r="C602" s="3188">
        <v>31.83</v>
      </c>
      <c r="D602" s="3185" t="s">
        <v>3643</v>
      </c>
      <c r="E602" s="3185" t="s">
        <v>3453</v>
      </c>
      <c r="F602" s="3185">
        <v>-3</v>
      </c>
    </row>
    <row r="603" spans="1:6" ht="15" customHeight="1">
      <c r="A603" s="3185">
        <v>387</v>
      </c>
      <c r="B603" s="3185">
        <v>262</v>
      </c>
      <c r="C603" s="3188">
        <v>31.83</v>
      </c>
      <c r="D603" s="3185" t="s">
        <v>3643</v>
      </c>
      <c r="E603" s="3185" t="s">
        <v>3453</v>
      </c>
      <c r="F603" s="3185">
        <v>-3</v>
      </c>
    </row>
    <row r="604" spans="1:6" ht="15" customHeight="1">
      <c r="A604" s="3185">
        <v>388</v>
      </c>
      <c r="B604" s="3185">
        <v>263</v>
      </c>
      <c r="C604" s="3188">
        <v>31.83</v>
      </c>
      <c r="D604" s="3185" t="s">
        <v>3643</v>
      </c>
      <c r="E604" s="3185" t="s">
        <v>3453</v>
      </c>
      <c r="F604" s="3185">
        <v>-3</v>
      </c>
    </row>
    <row r="605" spans="1:6" ht="15" customHeight="1">
      <c r="A605" s="3185">
        <v>389</v>
      </c>
      <c r="B605" s="3185">
        <v>265</v>
      </c>
      <c r="C605" s="3188">
        <v>31.83</v>
      </c>
      <c r="D605" s="3185" t="s">
        <v>3643</v>
      </c>
      <c r="E605" s="3185" t="s">
        <v>3453</v>
      </c>
      <c r="F605" s="3185">
        <v>-3</v>
      </c>
    </row>
    <row r="606" spans="1:6" ht="15" customHeight="1">
      <c r="A606" s="3185">
        <v>390</v>
      </c>
      <c r="B606" s="3185">
        <v>266</v>
      </c>
      <c r="C606" s="3188">
        <v>31.83</v>
      </c>
      <c r="D606" s="3185" t="s">
        <v>3643</v>
      </c>
      <c r="E606" s="3185" t="s">
        <v>3453</v>
      </c>
      <c r="F606" s="3185">
        <v>-3</v>
      </c>
    </row>
    <row r="607" spans="1:6" ht="15" customHeight="1">
      <c r="A607" s="3185">
        <v>391</v>
      </c>
      <c r="B607" s="3185">
        <v>267</v>
      </c>
      <c r="C607" s="3188">
        <v>31.83</v>
      </c>
      <c r="D607" s="3185" t="s">
        <v>3643</v>
      </c>
      <c r="E607" s="3185" t="s">
        <v>3453</v>
      </c>
      <c r="F607" s="3185">
        <v>-3</v>
      </c>
    </row>
    <row r="608" spans="1:6" ht="15" customHeight="1">
      <c r="A608" s="3185">
        <v>392</v>
      </c>
      <c r="B608" s="3185">
        <v>268</v>
      </c>
      <c r="C608" s="3188">
        <v>31.83</v>
      </c>
      <c r="D608" s="3185" t="s">
        <v>3643</v>
      </c>
      <c r="E608" s="3185" t="s">
        <v>3453</v>
      </c>
      <c r="F608" s="3185">
        <v>-3</v>
      </c>
    </row>
    <row r="609" spans="1:6" ht="15" customHeight="1">
      <c r="A609" s="3185">
        <v>393</v>
      </c>
      <c r="B609" s="3185">
        <v>269</v>
      </c>
      <c r="C609" s="3188">
        <v>31.83</v>
      </c>
      <c r="D609" s="3185" t="s">
        <v>3643</v>
      </c>
      <c r="E609" s="3185" t="s">
        <v>3453</v>
      </c>
      <c r="F609" s="3185">
        <v>-3</v>
      </c>
    </row>
    <row r="610" spans="1:6" ht="15" customHeight="1">
      <c r="A610" s="3185">
        <v>394</v>
      </c>
      <c r="B610" s="3185">
        <v>270</v>
      </c>
      <c r="C610" s="3188">
        <v>31.83</v>
      </c>
      <c r="D610" s="3185" t="s">
        <v>3643</v>
      </c>
      <c r="E610" s="3185" t="s">
        <v>3453</v>
      </c>
      <c r="F610" s="3185">
        <v>-3</v>
      </c>
    </row>
    <row r="611" spans="1:6" ht="15" customHeight="1">
      <c r="A611" s="3185">
        <v>395</v>
      </c>
      <c r="B611" s="3185">
        <v>271</v>
      </c>
      <c r="C611" s="3188">
        <v>31.83</v>
      </c>
      <c r="D611" s="3185" t="s">
        <v>3643</v>
      </c>
      <c r="E611" s="3185" t="s">
        <v>3453</v>
      </c>
      <c r="F611" s="3185">
        <v>-3</v>
      </c>
    </row>
    <row r="612" spans="1:6" ht="15" customHeight="1">
      <c r="A612" s="3185">
        <v>396</v>
      </c>
      <c r="B612" s="3185">
        <v>272</v>
      </c>
      <c r="C612" s="3188">
        <v>31.83</v>
      </c>
      <c r="D612" s="3185" t="s">
        <v>3643</v>
      </c>
      <c r="E612" s="3185" t="s">
        <v>3453</v>
      </c>
      <c r="F612" s="3185">
        <v>-3</v>
      </c>
    </row>
    <row r="613" spans="1:6" ht="15" customHeight="1">
      <c r="A613" s="3185">
        <v>397</v>
      </c>
      <c r="B613" s="3185">
        <v>273</v>
      </c>
      <c r="C613" s="3188">
        <v>31.83</v>
      </c>
      <c r="D613" s="3185" t="s">
        <v>3643</v>
      </c>
      <c r="E613" s="3185" t="s">
        <v>3453</v>
      </c>
      <c r="F613" s="3185">
        <v>-3</v>
      </c>
    </row>
    <row r="614" spans="1:6" ht="15" customHeight="1">
      <c r="A614" s="3185">
        <v>398</v>
      </c>
      <c r="B614" s="3185">
        <v>275</v>
      </c>
      <c r="C614" s="3188">
        <v>31.83</v>
      </c>
      <c r="D614" s="3185" t="s">
        <v>3643</v>
      </c>
      <c r="E614" s="3185" t="s">
        <v>3453</v>
      </c>
      <c r="F614" s="3185">
        <v>-3</v>
      </c>
    </row>
    <row r="615" spans="1:6" ht="15" customHeight="1">
      <c r="A615" s="3185">
        <v>399</v>
      </c>
      <c r="B615" s="3185">
        <v>276</v>
      </c>
      <c r="C615" s="3188">
        <v>31.83</v>
      </c>
      <c r="D615" s="3185" t="s">
        <v>3643</v>
      </c>
      <c r="E615" s="3185" t="s">
        <v>3453</v>
      </c>
      <c r="F615" s="3185">
        <v>-3</v>
      </c>
    </row>
    <row r="616" spans="1:6" ht="15" customHeight="1">
      <c r="A616" s="3185">
        <v>400</v>
      </c>
      <c r="B616" s="3185">
        <v>277</v>
      </c>
      <c r="C616" s="3188">
        <v>31.83</v>
      </c>
      <c r="D616" s="3185" t="s">
        <v>3643</v>
      </c>
      <c r="E616" s="3185" t="s">
        <v>3453</v>
      </c>
      <c r="F616" s="3185">
        <v>-3</v>
      </c>
    </row>
    <row r="617" spans="1:6" ht="15" customHeight="1">
      <c r="A617" s="3185">
        <v>401</v>
      </c>
      <c r="B617" s="3185">
        <v>278</v>
      </c>
      <c r="C617" s="3188">
        <v>31.83</v>
      </c>
      <c r="D617" s="3185" t="s">
        <v>3643</v>
      </c>
      <c r="E617" s="3185" t="s">
        <v>3453</v>
      </c>
      <c r="F617" s="3185">
        <v>-3</v>
      </c>
    </row>
    <row r="618" spans="1:6" ht="15" customHeight="1">
      <c r="A618" s="3185">
        <v>402</v>
      </c>
      <c r="B618" s="3185">
        <v>279</v>
      </c>
      <c r="C618" s="3188">
        <v>39.04</v>
      </c>
      <c r="D618" s="3185" t="s">
        <v>3643</v>
      </c>
      <c r="E618" s="3185" t="s">
        <v>3453</v>
      </c>
      <c r="F618" s="3185">
        <v>-3</v>
      </c>
    </row>
    <row r="619" spans="1:6" ht="15" customHeight="1">
      <c r="A619" s="3185">
        <v>403</v>
      </c>
      <c r="B619" s="3185">
        <v>280</v>
      </c>
      <c r="C619" s="3188">
        <v>39.04</v>
      </c>
      <c r="D619" s="3185" t="s">
        <v>3643</v>
      </c>
      <c r="E619" s="3185" t="s">
        <v>3453</v>
      </c>
      <c r="F619" s="3185">
        <v>-3</v>
      </c>
    </row>
    <row r="620" spans="1:6" ht="15" customHeight="1">
      <c r="A620" s="3185">
        <v>404</v>
      </c>
      <c r="B620" s="3185">
        <v>282</v>
      </c>
      <c r="C620" s="3188">
        <v>31.83</v>
      </c>
      <c r="D620" s="3185" t="s">
        <v>3643</v>
      </c>
      <c r="E620" s="3185" t="s">
        <v>3453</v>
      </c>
      <c r="F620" s="3185">
        <v>-3</v>
      </c>
    </row>
    <row r="621" spans="1:6" ht="15" customHeight="1">
      <c r="A621" s="3185">
        <v>405</v>
      </c>
      <c r="B621" s="3185">
        <v>283</v>
      </c>
      <c r="C621" s="3188">
        <v>31.83</v>
      </c>
      <c r="D621" s="3185" t="s">
        <v>3643</v>
      </c>
      <c r="E621" s="3185" t="s">
        <v>3453</v>
      </c>
      <c r="F621" s="3185">
        <v>-3</v>
      </c>
    </row>
    <row r="622" spans="1:6" ht="15" customHeight="1">
      <c r="A622" s="3185">
        <v>406</v>
      </c>
      <c r="B622" s="3185">
        <v>285</v>
      </c>
      <c r="C622" s="3188">
        <v>31.83</v>
      </c>
      <c r="D622" s="3185" t="s">
        <v>3643</v>
      </c>
      <c r="E622" s="3185" t="s">
        <v>3453</v>
      </c>
      <c r="F622" s="3185">
        <v>-3</v>
      </c>
    </row>
    <row r="623" spans="1:6" ht="15" customHeight="1">
      <c r="A623" s="3185">
        <v>407</v>
      </c>
      <c r="B623" s="3185">
        <v>287</v>
      </c>
      <c r="C623" s="3188">
        <v>39.04</v>
      </c>
      <c r="D623" s="3185" t="s">
        <v>3643</v>
      </c>
      <c r="E623" s="3185" t="s">
        <v>3453</v>
      </c>
      <c r="F623" s="3185">
        <v>-3</v>
      </c>
    </row>
    <row r="624" spans="1:6" ht="15" customHeight="1">
      <c r="A624" s="3185">
        <v>408</v>
      </c>
      <c r="B624" s="3185">
        <v>288</v>
      </c>
      <c r="C624" s="3188">
        <v>31.83</v>
      </c>
      <c r="D624" s="3185" t="s">
        <v>3643</v>
      </c>
      <c r="E624" s="3185" t="s">
        <v>3453</v>
      </c>
      <c r="F624" s="3185">
        <v>-3</v>
      </c>
    </row>
    <row r="625" spans="1:6" ht="15" customHeight="1">
      <c r="A625" s="3185">
        <v>409</v>
      </c>
      <c r="B625" s="3185">
        <v>289</v>
      </c>
      <c r="C625" s="3188">
        <v>31.83</v>
      </c>
      <c r="D625" s="3185" t="s">
        <v>3643</v>
      </c>
      <c r="E625" s="3185" t="s">
        <v>3453</v>
      </c>
      <c r="F625" s="3185">
        <v>-3</v>
      </c>
    </row>
    <row r="626" spans="1:6" ht="15" customHeight="1">
      <c r="A626" s="3185">
        <v>410</v>
      </c>
      <c r="B626" s="3185">
        <v>290</v>
      </c>
      <c r="C626" s="3188">
        <v>31.83</v>
      </c>
      <c r="D626" s="3185" t="s">
        <v>3643</v>
      </c>
      <c r="E626" s="3185" t="s">
        <v>3453</v>
      </c>
      <c r="F626" s="3185">
        <v>-3</v>
      </c>
    </row>
    <row r="627" spans="1:6" ht="15" customHeight="1">
      <c r="A627" s="3185">
        <v>411</v>
      </c>
      <c r="B627" s="3185">
        <v>291</v>
      </c>
      <c r="C627" s="3188">
        <f>48.05-7.21</f>
        <v>40.839999999999996</v>
      </c>
      <c r="D627" s="3185" t="s">
        <v>3643</v>
      </c>
      <c r="E627" s="3185" t="s">
        <v>3453</v>
      </c>
      <c r="F627" s="3185">
        <v>-3</v>
      </c>
    </row>
    <row r="628" spans="1:6" ht="15" customHeight="1">
      <c r="A628" s="3185">
        <v>412</v>
      </c>
      <c r="B628" s="3185">
        <v>301</v>
      </c>
      <c r="C628" s="3188">
        <v>31.83</v>
      </c>
      <c r="D628" s="3185" t="s">
        <v>3643</v>
      </c>
      <c r="E628" s="3185" t="s">
        <v>3453</v>
      </c>
      <c r="F628" s="3185">
        <v>-3</v>
      </c>
    </row>
    <row r="629" spans="1:6" ht="15" customHeight="1">
      <c r="A629" s="3185">
        <v>413</v>
      </c>
      <c r="B629" s="3194">
        <v>302</v>
      </c>
      <c r="C629" s="3188">
        <v>31.83</v>
      </c>
      <c r="D629" s="3185" t="s">
        <v>3643</v>
      </c>
      <c r="E629" s="3185" t="s">
        <v>3453</v>
      </c>
      <c r="F629" s="3185">
        <v>-3</v>
      </c>
    </row>
    <row r="630" spans="1:6" ht="15" customHeight="1">
      <c r="A630" s="3185">
        <v>414</v>
      </c>
      <c r="B630" s="3194">
        <v>303</v>
      </c>
      <c r="C630" s="3188">
        <v>31.83</v>
      </c>
      <c r="D630" s="3185" t="s">
        <v>3643</v>
      </c>
      <c r="E630" s="3185" t="s">
        <v>3453</v>
      </c>
      <c r="F630" s="3185">
        <v>-3</v>
      </c>
    </row>
    <row r="631" spans="1:6" ht="15" customHeight="1">
      <c r="A631" s="3185">
        <v>415</v>
      </c>
      <c r="B631" s="3194">
        <v>305</v>
      </c>
      <c r="C631" s="3188">
        <v>31.83</v>
      </c>
      <c r="D631" s="3185" t="s">
        <v>3643</v>
      </c>
      <c r="E631" s="3185" t="s">
        <v>3453</v>
      </c>
      <c r="F631" s="3185">
        <v>-3</v>
      </c>
    </row>
    <row r="632" spans="1:6" ht="15" customHeight="1">
      <c r="A632" s="3185">
        <v>416</v>
      </c>
      <c r="B632" s="3194">
        <v>306</v>
      </c>
      <c r="C632" s="3188">
        <v>31.83</v>
      </c>
      <c r="D632" s="3185" t="s">
        <v>3643</v>
      </c>
      <c r="E632" s="3185" t="s">
        <v>3453</v>
      </c>
      <c r="F632" s="3185">
        <v>-3</v>
      </c>
    </row>
    <row r="633" spans="1:6" ht="15" customHeight="1">
      <c r="A633" s="3185">
        <v>417</v>
      </c>
      <c r="B633" s="3194">
        <v>307</v>
      </c>
      <c r="C633" s="3188">
        <v>31.83</v>
      </c>
      <c r="D633" s="3185" t="s">
        <v>3643</v>
      </c>
      <c r="E633" s="3185" t="s">
        <v>3453</v>
      </c>
      <c r="F633" s="3185">
        <v>-3</v>
      </c>
    </row>
    <row r="634" spans="1:6" ht="15" customHeight="1">
      <c r="A634" s="3185">
        <v>418</v>
      </c>
      <c r="B634" s="3194">
        <v>308</v>
      </c>
      <c r="C634" s="3188">
        <v>31.83</v>
      </c>
      <c r="D634" s="3185" t="s">
        <v>3643</v>
      </c>
      <c r="E634" s="3185" t="s">
        <v>3453</v>
      </c>
      <c r="F634" s="3185">
        <v>-3</v>
      </c>
    </row>
    <row r="635" spans="1:6" ht="15" customHeight="1">
      <c r="A635" s="3185">
        <v>419</v>
      </c>
      <c r="B635" s="3194">
        <v>309</v>
      </c>
      <c r="C635" s="3188">
        <v>31.83</v>
      </c>
      <c r="D635" s="3185" t="s">
        <v>3643</v>
      </c>
      <c r="E635" s="3185" t="s">
        <v>3453</v>
      </c>
      <c r="F635" s="3185">
        <v>-3</v>
      </c>
    </row>
    <row r="636" spans="1:6" ht="15" customHeight="1">
      <c r="A636" s="3185">
        <v>420</v>
      </c>
      <c r="B636" s="3194">
        <v>310</v>
      </c>
      <c r="C636" s="3188">
        <v>31.83</v>
      </c>
      <c r="D636" s="3185" t="s">
        <v>3643</v>
      </c>
      <c r="E636" s="3185" t="s">
        <v>3453</v>
      </c>
      <c r="F636" s="3185">
        <v>-3</v>
      </c>
    </row>
    <row r="637" spans="1:6" ht="15" customHeight="1">
      <c r="A637" s="3185">
        <v>421</v>
      </c>
      <c r="B637" s="3194">
        <v>311</v>
      </c>
      <c r="C637" s="3188">
        <v>31.83</v>
      </c>
      <c r="D637" s="3185" t="s">
        <v>3643</v>
      </c>
      <c r="E637" s="3185" t="s">
        <v>3453</v>
      </c>
      <c r="F637" s="3185">
        <v>-3</v>
      </c>
    </row>
    <row r="638" spans="1:6" ht="15" customHeight="1">
      <c r="A638" s="3185">
        <v>422</v>
      </c>
      <c r="B638" s="3194">
        <v>312</v>
      </c>
      <c r="C638" s="3188">
        <v>31.83</v>
      </c>
      <c r="D638" s="3185" t="s">
        <v>3643</v>
      </c>
      <c r="E638" s="3185" t="s">
        <v>3453</v>
      </c>
      <c r="F638" s="3185">
        <v>-3</v>
      </c>
    </row>
    <row r="639" spans="1:6" ht="15" customHeight="1">
      <c r="A639" s="3185">
        <v>423</v>
      </c>
      <c r="B639" s="3194">
        <v>315</v>
      </c>
      <c r="C639" s="3188">
        <v>31.83</v>
      </c>
      <c r="D639" s="3185" t="s">
        <v>3643</v>
      </c>
      <c r="E639" s="3185" t="s">
        <v>3453</v>
      </c>
      <c r="F639" s="3185">
        <v>-3</v>
      </c>
    </row>
    <row r="640" spans="1:6" ht="15" customHeight="1">
      <c r="A640" s="3185">
        <v>424</v>
      </c>
      <c r="B640" s="3189">
        <v>316</v>
      </c>
      <c r="C640" s="3188">
        <v>31.83</v>
      </c>
      <c r="D640" s="3185" t="s">
        <v>3643</v>
      </c>
      <c r="E640" s="3185" t="s">
        <v>3453</v>
      </c>
      <c r="F640" s="3185">
        <v>-3</v>
      </c>
    </row>
    <row r="641" spans="1:6" ht="15" customHeight="1">
      <c r="A641" s="3185">
        <v>425</v>
      </c>
      <c r="B641" s="3189">
        <v>317</v>
      </c>
      <c r="C641" s="3188">
        <v>31.83</v>
      </c>
      <c r="D641" s="3185" t="s">
        <v>3643</v>
      </c>
      <c r="E641" s="3185" t="s">
        <v>3453</v>
      </c>
      <c r="F641" s="3185">
        <v>-3</v>
      </c>
    </row>
    <row r="642" spans="1:6" ht="15" customHeight="1">
      <c r="A642" s="3185">
        <v>426</v>
      </c>
      <c r="B642" s="3189">
        <v>318</v>
      </c>
      <c r="C642" s="3188">
        <v>31.83</v>
      </c>
      <c r="D642" s="3185" t="s">
        <v>3643</v>
      </c>
      <c r="E642" s="3185" t="s">
        <v>3453</v>
      </c>
      <c r="F642" s="3185">
        <v>-3</v>
      </c>
    </row>
    <row r="643" spans="1:6" ht="15" customHeight="1">
      <c r="A643" s="3185">
        <v>427</v>
      </c>
      <c r="B643" s="3189">
        <v>319</v>
      </c>
      <c r="C643" s="3188">
        <v>31.83</v>
      </c>
      <c r="D643" s="3185" t="s">
        <v>3643</v>
      </c>
      <c r="E643" s="3185" t="s">
        <v>3453</v>
      </c>
      <c r="F643" s="3185">
        <v>-3</v>
      </c>
    </row>
    <row r="644" spans="1:6" ht="15" customHeight="1">
      <c r="A644" s="3185">
        <v>428</v>
      </c>
      <c r="B644" s="3189">
        <v>320</v>
      </c>
      <c r="C644" s="3188">
        <v>31.83</v>
      </c>
      <c r="D644" s="3185" t="s">
        <v>3643</v>
      </c>
      <c r="E644" s="3185" t="s">
        <v>3453</v>
      </c>
      <c r="F644" s="3185">
        <v>-3</v>
      </c>
    </row>
    <row r="645" spans="1:6" ht="15" customHeight="1">
      <c r="A645" s="3185">
        <v>429</v>
      </c>
      <c r="B645" s="3189">
        <v>321</v>
      </c>
      <c r="C645" s="3188">
        <v>31.83</v>
      </c>
      <c r="D645" s="3185" t="s">
        <v>3643</v>
      </c>
      <c r="E645" s="3185" t="s">
        <v>3453</v>
      </c>
      <c r="F645" s="3185">
        <v>-3</v>
      </c>
    </row>
    <row r="646" spans="1:6" ht="15" customHeight="1">
      <c r="A646" s="3185">
        <v>430</v>
      </c>
      <c r="B646" s="3189">
        <v>322</v>
      </c>
      <c r="C646" s="3188">
        <v>31.83</v>
      </c>
      <c r="D646" s="3185" t="s">
        <v>3643</v>
      </c>
      <c r="E646" s="3185" t="s">
        <v>3453</v>
      </c>
      <c r="F646" s="3185">
        <v>-3</v>
      </c>
    </row>
    <row r="647" spans="1:6" ht="15" customHeight="1">
      <c r="A647" s="3185">
        <v>431</v>
      </c>
      <c r="B647" s="3189">
        <v>323</v>
      </c>
      <c r="C647" s="3188">
        <v>31.83</v>
      </c>
      <c r="D647" s="3185" t="s">
        <v>3643</v>
      </c>
      <c r="E647" s="3185" t="s">
        <v>3453</v>
      </c>
      <c r="F647" s="3185">
        <v>-3</v>
      </c>
    </row>
    <row r="648" spans="1:6" ht="15" customHeight="1">
      <c r="A648" s="3185">
        <v>432</v>
      </c>
      <c r="B648" s="3189">
        <v>325</v>
      </c>
      <c r="C648" s="3188">
        <v>31.83</v>
      </c>
      <c r="D648" s="3185" t="s">
        <v>3643</v>
      </c>
      <c r="E648" s="3185" t="s">
        <v>3453</v>
      </c>
      <c r="F648" s="3185">
        <v>-3</v>
      </c>
    </row>
    <row r="649" spans="1:6" ht="15" customHeight="1">
      <c r="A649" s="3185">
        <v>433</v>
      </c>
      <c r="B649" s="3189">
        <v>326</v>
      </c>
      <c r="C649" s="3188">
        <v>31.83</v>
      </c>
      <c r="D649" s="3185" t="s">
        <v>3643</v>
      </c>
      <c r="E649" s="3185" t="s">
        <v>3453</v>
      </c>
      <c r="F649" s="3185">
        <v>-3</v>
      </c>
    </row>
    <row r="650" spans="1:6" ht="15" customHeight="1">
      <c r="A650" s="3185">
        <v>434</v>
      </c>
      <c r="B650" s="3189">
        <v>327</v>
      </c>
      <c r="C650" s="3188">
        <v>31.83</v>
      </c>
      <c r="D650" s="3185" t="s">
        <v>3643</v>
      </c>
      <c r="E650" s="3185" t="s">
        <v>3453</v>
      </c>
      <c r="F650" s="3185">
        <v>-3</v>
      </c>
    </row>
    <row r="651" spans="1:6" ht="15" customHeight="1">
      <c r="A651" s="3288" t="s">
        <v>3644</v>
      </c>
      <c r="B651" s="3288"/>
      <c r="C651" s="3188">
        <f>SUM(C217:C650)</f>
        <v>14298.869999999975</v>
      </c>
      <c r="D651" s="3193" t="s">
        <v>3642</v>
      </c>
      <c r="E651" s="3193" t="s">
        <v>3642</v>
      </c>
      <c r="F651" s="3193" t="s">
        <v>3642</v>
      </c>
    </row>
    <row r="652" spans="1:6" ht="15" customHeight="1">
      <c r="A652" s="3288" t="s">
        <v>3645</v>
      </c>
      <c r="B652" s="3288"/>
      <c r="C652" s="3188">
        <f>C651+C216</f>
        <v>27067.119999999995</v>
      </c>
      <c r="D652" s="3193" t="s">
        <v>3642</v>
      </c>
      <c r="E652" s="3193" t="s">
        <v>3642</v>
      </c>
      <c r="F652" s="3193" t="s">
        <v>3642</v>
      </c>
    </row>
  </sheetData>
  <mergeCells count="4">
    <mergeCell ref="A1:F1"/>
    <mergeCell ref="A216:B216"/>
    <mergeCell ref="A651:B651"/>
    <mergeCell ref="A652:B652"/>
  </mergeCells>
  <phoneticPr fontId="134" type="noConversion"/>
  <pageMargins left="0.75" right="0.75" top="1" bottom="1" header="0.51180555555555551" footer="0.51180555555555551"/>
  <pageSetup paperSize="9" orientation="portrait" horizontalDpi="0" verticalDpi="0"/>
  <headerFooter scaleWithDoc="0"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89" t="s">
        <v>2286</v>
      </c>
      <c r="B1" s="3290"/>
      <c r="C1" s="3290"/>
      <c r="D1" s="3290"/>
      <c r="E1" s="3290"/>
      <c r="F1" s="3290"/>
      <c r="G1" s="3290"/>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K13" sqref="K13"/>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27067.119999999988</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45748</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53085</v>
      </c>
      <c r="C5" s="2300">
        <f ca="1">IF(B5=D14,结果表!H102,ROUND(B5*10000/$B$1,0))</f>
        <v>19612</v>
      </c>
      <c r="D5" s="2300" t="e">
        <f ca="1">ROUND(B5*10000/$B$2,0)</f>
        <v>#DIV/0!</v>
      </c>
      <c r="E5" s="2462"/>
      <c r="F5" s="2463"/>
      <c r="G5" s="2463"/>
      <c r="H5" s="2463"/>
      <c r="I5" s="2463"/>
      <c r="J5" s="2463"/>
      <c r="K5" s="2463"/>
    </row>
    <row r="6" spans="1:11" ht="16.5">
      <c r="A6" s="2300" t="s">
        <v>656</v>
      </c>
      <c r="B6" s="2300">
        <f ca="1">SUM(G14:G23)</f>
        <v>53085</v>
      </c>
      <c r="C6" s="2300">
        <f ca="1">IF(B6=G14,结果表!H108,ROUND(B6*10000/$B$1,0))</f>
        <v>19612</v>
      </c>
      <c r="D6" s="2300" t="e">
        <f ca="1">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3355</v>
      </c>
      <c r="D10" s="2300" t="s">
        <v>3356</v>
      </c>
      <c r="E10" s="3137"/>
      <c r="F10" s="3141" t="s">
        <v>3357</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'数据-汇总表'!E31</f>
        <v>27067.119999999988</v>
      </c>
      <c r="C14" s="2306"/>
      <c r="D14" s="2306">
        <f ca="1">结果表!G19</f>
        <v>53085</v>
      </c>
      <c r="E14" s="2306">
        <f ca="1">ROUND(D14*10000/B14,0)</f>
        <v>19612</v>
      </c>
      <c r="F14" s="2306" t="e">
        <f ca="1">ROUND(D14*10000/C14,0)</f>
        <v>#DIV/0!</v>
      </c>
      <c r="G14" s="2306">
        <f ca="1">D14</f>
        <v>53085</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I27" sqref="I27"/>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58" t="str">
        <f>项目基本情况!S2</f>
        <v>北京市房地产</v>
      </c>
      <c r="B2" s="3359"/>
      <c r="C2" s="3359"/>
      <c r="D2" s="3359"/>
      <c r="E2" s="3359"/>
      <c r="F2" s="3359"/>
      <c r="G2" s="3359"/>
      <c r="H2" s="3359"/>
      <c r="I2" s="3360"/>
    </row>
    <row r="3" spans="1:12" ht="12.75">
      <c r="A3" s="3362" t="s">
        <v>1264</v>
      </c>
      <c r="B3" s="3363"/>
      <c r="C3" s="3363"/>
      <c r="D3" s="3363"/>
      <c r="E3" s="3363"/>
      <c r="F3" s="3363"/>
      <c r="G3" s="3363"/>
      <c r="H3" s="3363"/>
      <c r="I3" s="3363"/>
    </row>
    <row r="4" spans="1:12" ht="14.25">
      <c r="A4" s="1624" t="s">
        <v>1265</v>
      </c>
      <c r="B4" s="1625" t="s">
        <v>1266</v>
      </c>
      <c r="C4" s="1626" t="s">
        <v>3690</v>
      </c>
      <c r="D4" s="1626" t="s">
        <v>3691</v>
      </c>
      <c r="E4" s="3367" t="s">
        <v>1267</v>
      </c>
      <c r="F4" s="3368"/>
      <c r="G4" s="3368"/>
      <c r="H4" s="3368"/>
      <c r="I4" s="3369"/>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306" t="s">
        <v>1268</v>
      </c>
      <c r="B5" s="3361">
        <v>25</v>
      </c>
      <c r="C5" s="3364"/>
      <c r="D5" s="3352"/>
      <c r="E5" s="123" t="s">
        <v>1269</v>
      </c>
      <c r="F5" s="1627"/>
      <c r="G5" s="1627"/>
      <c r="H5" s="1627"/>
      <c r="I5" s="1281"/>
    </row>
    <row r="6" spans="1:12" ht="12.75">
      <c r="A6" s="3306"/>
      <c r="B6" s="3361"/>
      <c r="C6" s="3366"/>
      <c r="D6" s="3352"/>
      <c r="E6" s="123" t="s">
        <v>1270</v>
      </c>
      <c r="F6" s="1627"/>
      <c r="G6" s="1627"/>
      <c r="H6" s="1627"/>
      <c r="I6" s="1281"/>
    </row>
    <row r="7" spans="1:12" ht="12.75">
      <c r="A7" s="3306"/>
      <c r="B7" s="3361"/>
      <c r="C7" s="3365"/>
      <c r="D7" s="3352"/>
      <c r="E7" s="123" t="s">
        <v>1271</v>
      </c>
      <c r="F7" s="1627"/>
      <c r="G7" s="1627"/>
      <c r="H7" s="1627"/>
      <c r="I7" s="1281"/>
    </row>
    <row r="8" spans="1:12" ht="12.75">
      <c r="A8" s="3306" t="s">
        <v>1272</v>
      </c>
      <c r="B8" s="3361">
        <v>15</v>
      </c>
      <c r="C8" s="3364"/>
      <c r="D8" s="3352"/>
      <c r="E8" s="123" t="s">
        <v>1273</v>
      </c>
      <c r="F8" s="1627"/>
      <c r="G8" s="1627"/>
      <c r="H8" s="1627"/>
      <c r="I8" s="1281"/>
    </row>
    <row r="9" spans="1:12" ht="12.75">
      <c r="A9" s="3306"/>
      <c r="B9" s="3361"/>
      <c r="C9" s="3365"/>
      <c r="D9" s="3352"/>
      <c r="E9" s="123" t="s">
        <v>1274</v>
      </c>
      <c r="F9" s="1627"/>
      <c r="G9" s="1627"/>
      <c r="H9" s="1627"/>
      <c r="I9" s="1281"/>
    </row>
    <row r="10" spans="1:12" ht="12.75">
      <c r="A10" s="3306" t="s">
        <v>1275</v>
      </c>
      <c r="B10" s="3361">
        <v>15</v>
      </c>
      <c r="C10" s="3364"/>
      <c r="D10" s="3352"/>
      <c r="E10" s="123" t="s">
        <v>1276</v>
      </c>
      <c r="F10" s="1627"/>
      <c r="G10" s="1627"/>
      <c r="H10" s="1627"/>
      <c r="I10" s="1281"/>
    </row>
    <row r="11" spans="1:12" ht="12.75">
      <c r="A11" s="3306"/>
      <c r="B11" s="3361"/>
      <c r="C11" s="3365"/>
      <c r="D11" s="3352"/>
      <c r="E11" s="123" t="s">
        <v>1277</v>
      </c>
      <c r="F11" s="1627"/>
      <c r="G11" s="1627"/>
      <c r="H11" s="1627"/>
      <c r="I11" s="1281"/>
    </row>
    <row r="12" spans="1:12" ht="12.75">
      <c r="A12" s="3306" t="s">
        <v>1278</v>
      </c>
      <c r="B12" s="3361">
        <v>15</v>
      </c>
      <c r="C12" s="3364"/>
      <c r="D12" s="3352"/>
      <c r="E12" s="123" t="s">
        <v>1279</v>
      </c>
      <c r="F12" s="1627"/>
      <c r="G12" s="1627"/>
      <c r="H12" s="1627"/>
      <c r="I12" s="1281"/>
    </row>
    <row r="13" spans="1:12" ht="12.75">
      <c r="A13" s="3306"/>
      <c r="B13" s="3361"/>
      <c r="C13" s="3365"/>
      <c r="D13" s="3352"/>
      <c r="E13" s="123" t="s">
        <v>1280</v>
      </c>
      <c r="F13" s="1627"/>
      <c r="G13" s="1627"/>
      <c r="H13" s="1627"/>
      <c r="I13" s="1281"/>
    </row>
    <row r="14" spans="1:12" ht="12.75">
      <c r="A14" s="3306" t="s">
        <v>1281</v>
      </c>
      <c r="B14" s="3361">
        <v>30</v>
      </c>
      <c r="C14" s="3364">
        <v>6</v>
      </c>
      <c r="D14" s="3352">
        <v>4</v>
      </c>
      <c r="E14" s="123" t="s">
        <v>1282</v>
      </c>
      <c r="F14" s="1627"/>
      <c r="G14" s="1627"/>
      <c r="H14" s="1627"/>
      <c r="I14" s="1281"/>
    </row>
    <row r="15" spans="1:12" ht="12.75">
      <c r="A15" s="3306"/>
      <c r="B15" s="3361"/>
      <c r="C15" s="3366"/>
      <c r="D15" s="3352"/>
      <c r="E15" s="123" t="s">
        <v>1283</v>
      </c>
      <c r="F15" s="1627"/>
      <c r="G15" s="1627"/>
      <c r="H15" s="1627"/>
      <c r="I15" s="1281"/>
    </row>
    <row r="16" spans="1:12" ht="12.75">
      <c r="A16" s="3306"/>
      <c r="B16" s="3361"/>
      <c r="C16" s="3365"/>
      <c r="D16" s="3352"/>
      <c r="E16" s="123" t="s">
        <v>1284</v>
      </c>
      <c r="F16" s="1627"/>
      <c r="G16" s="1627"/>
      <c r="H16" s="1627"/>
      <c r="I16" s="1281"/>
    </row>
    <row r="17" spans="1:36" ht="15">
      <c r="A17" s="1628" t="s">
        <v>1285</v>
      </c>
      <c r="B17" s="54"/>
      <c r="C17" s="124">
        <f>SUM(C5:C16)</f>
        <v>6</v>
      </c>
      <c r="D17" s="124">
        <f>SUM(D5:D16)</f>
        <v>4</v>
      </c>
      <c r="E17" s="121"/>
      <c r="F17" s="121"/>
      <c r="G17" s="121"/>
      <c r="H17" s="121"/>
      <c r="I17" s="121"/>
      <c r="K17" s="294"/>
      <c r="L17" s="294" t="s">
        <v>1286</v>
      </c>
      <c r="M17" s="294" t="s">
        <v>1287</v>
      </c>
    </row>
    <row r="18" spans="1:36" ht="31.9" customHeight="1" thickBot="1">
      <c r="A18" s="1629" t="s">
        <v>1288</v>
      </c>
      <c r="B18" s="1542"/>
      <c r="C18" s="125">
        <f>ROUND(C17/SUM(C17:D17),2)</f>
        <v>0.6</v>
      </c>
      <c r="D18" s="125">
        <f>1-C18</f>
        <v>0.4</v>
      </c>
      <c r="E18" s="3383" t="s">
        <v>2131</v>
      </c>
      <c r="F18" s="3384"/>
      <c r="G18" s="3384"/>
      <c r="H18" s="3384"/>
      <c r="I18" s="3384"/>
      <c r="K18" s="294" t="s">
        <v>1289</v>
      </c>
      <c r="L18" s="294">
        <f>IF(C1="",'数据-汇总表'!E3,SUMIF(项目类型,C1,'数据-汇总表'!E17:E26)+SUMIF(项目类型,C1,'数据-汇总表'!I17:I26))</f>
        <v>27067.119999999988</v>
      </c>
      <c r="M18" s="294">
        <f>IF(C1="",'数据-汇总表'!E3,SUMIF(项目类型,C1,'数据-汇总表'!E17:E26))</f>
        <v>27067.119999999988</v>
      </c>
    </row>
    <row r="19" spans="1:36" ht="15">
      <c r="A19" s="1630" t="s">
        <v>1290</v>
      </c>
      <c r="B19" s="1631" t="s">
        <v>1291</v>
      </c>
      <c r="C19" s="126">
        <f ca="1">SUMIF(INDIRECT("'"&amp;C4&amp;"'"&amp;"!A:A"),结果表!B19,INDIRECT("'"&amp;C4&amp;"'"&amp;"!B:B"))</f>
        <v>62897</v>
      </c>
      <c r="D19" s="127">
        <f ca="1">SUMIF(INDIRECT("'"&amp;D4&amp;"'"&amp;"!A:A"),结果表!B19,INDIRECT("'"&amp;D4&amp;"'"&amp;"!B:B"))</f>
        <v>38368</v>
      </c>
      <c r="E19" s="1630" t="s">
        <v>1292</v>
      </c>
      <c r="F19" s="1631" t="s">
        <v>1291</v>
      </c>
      <c r="G19" s="128">
        <f ca="1">ROUND(C19*$C$18+D19*$D$18,0)</f>
        <v>53085</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23237</v>
      </c>
      <c r="D20" s="130">
        <f ca="1">SUMIF(INDIRECT("'"&amp;D4&amp;"'"&amp;"!A:A"),结果表!B20,INDIRECT("'"&amp;D4&amp;"'"&amp;"!B:B"))</f>
        <v>14175</v>
      </c>
      <c r="E20" s="1633"/>
      <c r="F20" s="43" t="s">
        <v>1295</v>
      </c>
      <c r="G20" s="131">
        <f ca="1">ROUND(C20*$C$18+D20*$D$18,0)</f>
        <v>19612</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c r="J21" s="684">
        <f ca="1">G19*'收益法（汇总）'!D16</f>
        <v>9664.2703555045864</v>
      </c>
      <c r="K21" s="684">
        <f ca="1">J21/'数据-取费表'!AH7</f>
        <v>22.267904044941442</v>
      </c>
    </row>
    <row r="22" spans="1:36" ht="15" thickBot="1">
      <c r="A22" s="1564" t="s">
        <v>1298</v>
      </c>
      <c r="B22" s="1635"/>
      <c r="C22" s="1636"/>
      <c r="D22" s="680">
        <f ca="1">IF(C19&lt;D19,D19/C19-1,C19/D19-1)</f>
        <v>0.63930879899916593</v>
      </c>
      <c r="E22" s="121"/>
      <c r="F22" s="121"/>
      <c r="G22" s="121"/>
      <c r="H22" s="121"/>
      <c r="I22" s="121"/>
      <c r="J22" s="684">
        <f ca="1">G19-J21</f>
        <v>43420.729644495412</v>
      </c>
      <c r="K22" s="684">
        <f ca="1">J22/'数据-汇总表'!F31</f>
        <v>3.4006797834077007</v>
      </c>
    </row>
    <row r="23" spans="1:36" ht="13.5" thickBot="1">
      <c r="A23" s="646"/>
      <c r="B23" s="646"/>
      <c r="C23" s="646"/>
      <c r="D23" s="646"/>
      <c r="E23" s="121"/>
      <c r="F23" s="121"/>
      <c r="G23" s="121"/>
      <c r="H23" s="121"/>
      <c r="I23" s="121"/>
    </row>
    <row r="24" spans="1:36" ht="14.25">
      <c r="A24" s="3376" t="s">
        <v>1299</v>
      </c>
      <c r="B24" s="1631" t="s">
        <v>1291</v>
      </c>
      <c r="C24" s="128">
        <f>IF(B30=0,0,D30)</f>
        <v>0</v>
      </c>
      <c r="D24" s="1637"/>
      <c r="E24" s="121"/>
      <c r="F24" s="121"/>
      <c r="G24" s="121"/>
      <c r="H24" s="121"/>
      <c r="I24" s="121"/>
      <c r="J24" s="684">
        <f ca="1">G19*基准地价修正!K46</f>
        <v>6924.6914413806135</v>
      </c>
      <c r="K24" s="684">
        <f ca="1">J24/'数据-取费表'!AH7</f>
        <v>15.955510233595884</v>
      </c>
      <c r="L24" s="684">
        <f ca="1">J24/'数据-汇总表'!G31</f>
        <v>0.48428242521126674</v>
      </c>
    </row>
    <row r="25" spans="1:36" ht="14.25">
      <c r="A25" s="3377"/>
      <c r="B25" s="43" t="s">
        <v>1295</v>
      </c>
      <c r="C25" s="133">
        <f>IF(B30=0,0,C30)</f>
        <v>0</v>
      </c>
      <c r="D25" s="1638"/>
      <c r="E25" s="121"/>
      <c r="F25" s="121"/>
      <c r="G25" s="121"/>
      <c r="H25" s="121"/>
      <c r="I25" s="121"/>
      <c r="J25" s="684">
        <f ca="1">G19-J24</f>
        <v>46160.308558619385</v>
      </c>
      <c r="K25" s="684">
        <f ca="1">J25/'数据-汇总表'!F31</f>
        <v>3.6152415999545235</v>
      </c>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53085</v>
      </c>
      <c r="D32" s="1641" t="s">
        <v>3692</v>
      </c>
      <c r="E32" s="121"/>
      <c r="F32" s="121"/>
      <c r="G32" s="121"/>
      <c r="H32" s="121"/>
      <c r="I32" s="121"/>
    </row>
    <row r="33" spans="1:15" ht="15">
      <c r="A33" s="740" t="s">
        <v>1306</v>
      </c>
      <c r="B33" s="123"/>
      <c r="C33" s="1642" t="s">
        <v>3693</v>
      </c>
      <c r="D33" s="1643" t="s">
        <v>3690</v>
      </c>
      <c r="E33" s="1644" t="s">
        <v>1307</v>
      </c>
      <c r="F33" s="1645" t="str">
        <f>IF(D32="楼面单价","取值（单价）","取值（总价）")</f>
        <v>取值（总价）</v>
      </c>
      <c r="G33" s="121"/>
      <c r="H33" s="121"/>
      <c r="I33" s="121"/>
    </row>
    <row r="34" spans="1:15" ht="15">
      <c r="A34" s="1646"/>
      <c r="B34" s="1647" t="s">
        <v>1308</v>
      </c>
      <c r="C34" s="140">
        <f ca="1">IF(C33="自定义",F34,C32-C35)</f>
        <v>41884</v>
      </c>
      <c r="D34" s="808">
        <f ca="1">IF(C33="自定义",ROUND(C34/C32,3),IF(C33="收益比率",SUMIF(INDIRECT("'"&amp;D33&amp;"'"&amp;"!b:b"),"土地收益比率",INDIRECT("'"&amp;D33&amp;"'"&amp;"!c:c")),SUMIF(INDIRECT("'"&amp;D33&amp;"'"&amp;"!b:b"),"土地成本比率",INDIRECT("'"&amp;D33&amp;"'"&amp;"!c:c"))))</f>
        <v>0.78900000000000003</v>
      </c>
      <c r="E34" s="1648" t="s">
        <v>1309</v>
      </c>
      <c r="F34" s="1243"/>
      <c r="G34" s="121"/>
      <c r="H34" s="121"/>
      <c r="I34" s="121"/>
    </row>
    <row r="35" spans="1:15" ht="15.75" thickBot="1">
      <c r="A35" s="1649"/>
      <c r="B35" s="1650" t="s">
        <v>1310</v>
      </c>
      <c r="C35" s="1090">
        <f ca="1">IF(C33="自定义",F35,ROUND(C32*D35,0))</f>
        <v>11201</v>
      </c>
      <c r="D35" s="1091">
        <f ca="1">IF(C33="自定义",ROUND(C35/C32,3),IF(C33="收益比率",SUMIF(INDIRECT("'"&amp;D33&amp;"'"&amp;"!b:b"),"建筑物收益比率",INDIRECT("'"&amp;D33&amp;"'"&amp;"!c:c")),SUMIF(INDIRECT("'"&amp;D33&amp;"'"&amp;"!b:b"),"建筑物成本比率",INDIRECT("'"&amp;D33&amp;"'"&amp;"!c:c"))))</f>
        <v>0.21099999999999999</v>
      </c>
      <c r="E35" s="1651" t="s">
        <v>1311</v>
      </c>
      <c r="F35" s="146"/>
      <c r="G35" s="121"/>
      <c r="H35" s="121"/>
      <c r="I35" s="121"/>
    </row>
    <row r="36" spans="1:15" ht="15.75" thickBot="1">
      <c r="A36" s="3353" t="s">
        <v>1312</v>
      </c>
      <c r="B36" s="1652" t="s">
        <v>1313</v>
      </c>
      <c r="C36" s="137"/>
      <c r="D36" s="1653"/>
      <c r="E36" s="1567"/>
      <c r="F36" s="1654"/>
      <c r="G36" s="121"/>
      <c r="H36" s="121"/>
      <c r="I36" s="121"/>
    </row>
    <row r="37" spans="1:15" ht="15.75" thickBot="1">
      <c r="A37" s="3354"/>
      <c r="B37" s="1555" t="s">
        <v>1314</v>
      </c>
      <c r="C37" s="139"/>
      <c r="D37" s="1071"/>
      <c r="E37" s="1071"/>
      <c r="F37" s="1654"/>
      <c r="G37" s="121"/>
      <c r="H37" s="121"/>
      <c r="I37" s="121"/>
    </row>
    <row r="38" spans="1:15" ht="15.75" thickBot="1">
      <c r="A38" s="3355"/>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73" t="s">
        <v>1326</v>
      </c>
      <c r="B45" s="3374"/>
      <c r="C45" s="3375"/>
      <c r="D45" s="147">
        <f ca="1">ROUND(H101*F45,0)</f>
        <v>53085</v>
      </c>
      <c r="E45" s="148" t="s">
        <v>1327</v>
      </c>
      <c r="F45" s="149">
        <v>1</v>
      </c>
      <c r="G45" s="150" t="s">
        <v>1328</v>
      </c>
      <c r="H45" s="121"/>
      <c r="I45" s="121"/>
      <c r="J45" s="3293" t="s">
        <v>1329</v>
      </c>
      <c r="K45" s="3293"/>
      <c r="L45" s="3293"/>
      <c r="M45" s="3293"/>
      <c r="N45" s="3293"/>
      <c r="O45" s="3293"/>
    </row>
    <row r="46" spans="1:15" ht="14.25" customHeight="1">
      <c r="A46" s="3370" t="s">
        <v>1330</v>
      </c>
      <c r="B46" s="3371"/>
      <c r="C46" s="3371"/>
      <c r="D46" s="3371"/>
      <c r="E46" s="3371"/>
      <c r="F46" s="3371"/>
      <c r="G46" s="3372"/>
      <c r="H46" s="1668"/>
      <c r="I46" s="151"/>
      <c r="J46" s="2310">
        <v>1</v>
      </c>
      <c r="K46" s="3294" t="s">
        <v>1331</v>
      </c>
      <c r="L46" s="3294"/>
      <c r="M46" s="3295"/>
      <c r="N46" s="3295"/>
      <c r="O46" s="3295"/>
    </row>
    <row r="47" spans="1:15" ht="12" customHeight="1">
      <c r="A47" s="152" t="s">
        <v>1332</v>
      </c>
      <c r="B47" s="153"/>
      <c r="C47" s="154"/>
      <c r="D47" s="1024" t="s">
        <v>1333</v>
      </c>
      <c r="E47" s="294" t="s">
        <v>1334</v>
      </c>
      <c r="F47" s="155" t="s">
        <v>1335</v>
      </c>
      <c r="G47" s="2333" t="s">
        <v>1336</v>
      </c>
      <c r="H47" s="2334"/>
      <c r="I47" s="151"/>
      <c r="J47" s="2310">
        <v>2</v>
      </c>
      <c r="K47" s="3294" t="s">
        <v>1337</v>
      </c>
      <c r="L47" s="3294"/>
      <c r="M47" s="3296">
        <f>'数据-取费表'!B2</f>
        <v>45748</v>
      </c>
      <c r="N47" s="3296"/>
      <c r="O47" s="3296"/>
    </row>
    <row r="48" spans="1:15" ht="25.5">
      <c r="A48" s="3356" t="s">
        <v>1338</v>
      </c>
      <c r="B48" s="3357"/>
      <c r="C48" s="3357"/>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294" t="s">
        <v>1340</v>
      </c>
      <c r="L48" s="3294"/>
      <c r="M48" s="3297">
        <f ca="1">H101</f>
        <v>53085</v>
      </c>
      <c r="N48" s="3297"/>
      <c r="O48" s="3297"/>
    </row>
    <row r="49" spans="1:35" ht="25.5" customHeight="1">
      <c r="A49" s="2152" t="s">
        <v>1341</v>
      </c>
      <c r="B49" s="3342" t="s">
        <v>1342</v>
      </c>
      <c r="C49" s="3342"/>
      <c r="D49" s="1478">
        <v>0</v>
      </c>
      <c r="E49" s="316" t="s">
        <v>1343</v>
      </c>
      <c r="F49" s="2233" t="s">
        <v>28</v>
      </c>
      <c r="G49" s="3325"/>
      <c r="H49" s="2134" t="s">
        <v>2134</v>
      </c>
      <c r="I49" s="2135"/>
      <c r="J49" s="2310">
        <v>4</v>
      </c>
      <c r="K49" s="3294" t="str">
        <f>IF(项目基本情况!E8="房地产抵押价值","房地产抵押价值","抵押担保权已注销时的房地产抵押价值")</f>
        <v>房地产抵押价值</v>
      </c>
      <c r="L49" s="3294"/>
      <c r="M49" s="3297">
        <f ca="1">IF(项目基本情况!E8="房地产抵押价值",H107,H109)</f>
        <v>53085</v>
      </c>
      <c r="N49" s="3297"/>
      <c r="O49" s="3297"/>
    </row>
    <row r="50" spans="1:35" ht="25.5" customHeight="1">
      <c r="A50" s="2338"/>
      <c r="B50" s="3342" t="s">
        <v>1344</v>
      </c>
      <c r="C50" s="3342"/>
      <c r="D50" s="2189"/>
      <c r="E50" s="323"/>
      <c r="F50" s="2233"/>
      <c r="G50" s="3326"/>
      <c r="H50" s="2136" t="s">
        <v>2135</v>
      </c>
      <c r="I50" s="2135"/>
      <c r="J50" s="3293" t="s">
        <v>1345</v>
      </c>
      <c r="K50" s="3293"/>
      <c r="L50" s="3293"/>
      <c r="M50" s="3293"/>
      <c r="N50" s="3293"/>
      <c r="O50" s="3293"/>
    </row>
    <row r="51" spans="1:35" ht="20.45" customHeight="1">
      <c r="A51" s="2339"/>
      <c r="B51" s="3342" t="s">
        <v>1346</v>
      </c>
      <c r="C51" s="3342"/>
      <c r="D51" s="1024"/>
      <c r="E51" s="319"/>
      <c r="F51" s="2233"/>
      <c r="G51" s="3327"/>
      <c r="H51" s="2136" t="s">
        <v>2136</v>
      </c>
      <c r="I51" s="2135"/>
      <c r="J51" s="2311" t="s">
        <v>1347</v>
      </c>
      <c r="K51" s="3294" t="s">
        <v>1348</v>
      </c>
      <c r="L51" s="3294"/>
      <c r="M51" s="2311" t="s">
        <v>1349</v>
      </c>
      <c r="N51" s="2311" t="s">
        <v>1350</v>
      </c>
      <c r="O51" s="2311" t="s">
        <v>1351</v>
      </c>
    </row>
    <row r="52" spans="1:35" ht="24" customHeight="1">
      <c r="A52" s="2153" t="s">
        <v>1352</v>
      </c>
      <c r="B52" s="3342" t="s">
        <v>1353</v>
      </c>
      <c r="C52" s="3342"/>
      <c r="D52" s="1024">
        <f ca="1">ROUND(D45*'数据-取费表'!B41/(1+'数据-取费表'!C42),0)</f>
        <v>2831</v>
      </c>
      <c r="E52" s="1256" t="s">
        <v>1354</v>
      </c>
      <c r="F52" s="2340">
        <f>'数据-取费表'!B41</f>
        <v>5.6000000000000001E-2</v>
      </c>
      <c r="G52" s="2341"/>
      <c r="H52" s="2331"/>
      <c r="I52" s="1669"/>
      <c r="J52" s="2310">
        <v>1</v>
      </c>
      <c r="K52" s="3319" t="s">
        <v>1355</v>
      </c>
      <c r="L52" s="3319"/>
      <c r="M52" s="2312" t="b">
        <f>D48</f>
        <v>0</v>
      </c>
      <c r="N52" s="2310" t="str">
        <f>E48</f>
        <v>销售额×税（费）率</v>
      </c>
      <c r="O52" s="2313">
        <f>F48</f>
        <v>5.6000000000000001E-2</v>
      </c>
    </row>
    <row r="53" spans="1:35" ht="12" customHeight="1">
      <c r="A53" s="2153" t="s">
        <v>1356</v>
      </c>
      <c r="B53" s="3343" t="s">
        <v>2291</v>
      </c>
      <c r="C53" s="3344"/>
      <c r="D53" s="1024">
        <f ca="1">ROUND(D45*'数据-取费表'!B41/(1+'数据-取费表'!C42),0)</f>
        <v>2831</v>
      </c>
      <c r="E53" s="1256" t="s">
        <v>1354</v>
      </c>
      <c r="F53" s="2340">
        <f>'数据-取费表'!B41</f>
        <v>5.6000000000000001E-2</v>
      </c>
      <c r="G53" s="2341"/>
      <c r="H53" s="2331"/>
      <c r="I53" s="1669"/>
      <c r="J53" s="2310">
        <v>2</v>
      </c>
      <c r="K53" s="3319" t="s">
        <v>1357</v>
      </c>
      <c r="L53" s="3319"/>
      <c r="M53" s="2312">
        <f t="shared" ref="M53:O54" ca="1" si="0">D55</f>
        <v>27</v>
      </c>
      <c r="N53" s="2310" t="str">
        <f t="shared" si="0"/>
        <v>销售额×税（费）率</v>
      </c>
      <c r="O53" s="2313" t="str">
        <f t="shared" si="0"/>
        <v>免征</v>
      </c>
    </row>
    <row r="54" spans="1:35" ht="12" customHeight="1">
      <c r="A54" s="2153" t="s">
        <v>1358</v>
      </c>
      <c r="B54" s="3343" t="s">
        <v>2292</v>
      </c>
      <c r="C54" s="3344"/>
      <c r="D54" s="1024">
        <f ca="1">C68</f>
        <v>2831</v>
      </c>
      <c r="E54" s="319" t="s">
        <v>1359</v>
      </c>
      <c r="F54" s="2340">
        <f>'数据-取费表'!B41</f>
        <v>5.6000000000000001E-2</v>
      </c>
      <c r="G54" s="2341"/>
      <c r="H54" s="2342"/>
      <c r="I54" s="1669"/>
      <c r="J54" s="2310">
        <v>3</v>
      </c>
      <c r="K54" s="3319" t="s">
        <v>1360</v>
      </c>
      <c r="L54" s="3319"/>
      <c r="M54" s="2312">
        <f t="shared" ca="1" si="0"/>
        <v>30046</v>
      </c>
      <c r="N54" s="2310" t="str">
        <f t="shared" si="0"/>
        <v>增值额×税（费）率</v>
      </c>
      <c r="O54" s="2314" t="str">
        <f t="shared" si="0"/>
        <v>免征</v>
      </c>
    </row>
    <row r="55" spans="1:35" ht="24" customHeight="1">
      <c r="A55" s="3379" t="s">
        <v>1361</v>
      </c>
      <c r="B55" s="3357"/>
      <c r="C55" s="3357"/>
      <c r="D55" s="12">
        <f ca="1">IF(H55="个人住宅",0,ROUND(D45*I55,0))</f>
        <v>27</v>
      </c>
      <c r="E55" s="1256" t="s">
        <v>1362</v>
      </c>
      <c r="F55" s="2340" t="str">
        <f>IF(H55="正常",I55,"免征")</f>
        <v>免征</v>
      </c>
      <c r="G55" s="2341"/>
      <c r="H55" s="2337"/>
      <c r="I55" s="157">
        <f>'数据-取费表'!B49</f>
        <v>5.0000000000000001E-4</v>
      </c>
      <c r="J55" s="2310">
        <f>IF(H59="非个人房产","",4)</f>
        <v>4</v>
      </c>
      <c r="K55" s="3319" t="str">
        <f>IF(H59="非个人房产","——","个人所得税")</f>
        <v>个人所得税</v>
      </c>
      <c r="L55" s="3319"/>
      <c r="M55" s="2315">
        <f ca="1">D59</f>
        <v>506</v>
      </c>
      <c r="N55" s="1883" t="str">
        <f>E59</f>
        <v>差额计税</v>
      </c>
      <c r="O55" s="2316">
        <f>F59</f>
        <v>0.01</v>
      </c>
    </row>
    <row r="56" spans="1:35" ht="24.75">
      <c r="A56" s="3379" t="s">
        <v>1363</v>
      </c>
      <c r="B56" s="3357"/>
      <c r="C56" s="3357"/>
      <c r="D56" s="12">
        <f ca="1">IF(H56="个人住宅",D57,D58)</f>
        <v>30046</v>
      </c>
      <c r="E56" s="1256" t="s">
        <v>1364</v>
      </c>
      <c r="F56" s="2340" t="str">
        <f>IF(H56="正常",F58,"免征")</f>
        <v>免征</v>
      </c>
      <c r="G56" s="2343" t="s">
        <v>1365</v>
      </c>
      <c r="H56" s="2344"/>
      <c r="I56" s="1670"/>
      <c r="J56" s="2310" t="str">
        <f>IF(项目基本情况!K6="上海银行",IF(J55="",4,J55+1),"")</f>
        <v/>
      </c>
      <c r="K56" s="3300" t="str">
        <f>IF(项目基本情况!K6="上海银行","其他处置费用","")</f>
        <v/>
      </c>
      <c r="L56" s="3301"/>
      <c r="M56" s="2312" t="str">
        <f>IF(项目基本情况!K6="上海银行",M69,"")</f>
        <v/>
      </c>
      <c r="N56" s="3300" t="str">
        <f>IF(项目基本情况!K6="上海银行","包含处置中涉及的律师、诉讼、拍卖、评估等费用","")</f>
        <v/>
      </c>
      <c r="O56" s="3303"/>
    </row>
    <row r="57" spans="1:35" ht="12.75">
      <c r="A57" s="2153" t="s">
        <v>1341</v>
      </c>
      <c r="B57" s="3343" t="s">
        <v>1366</v>
      </c>
      <c r="C57" s="3344"/>
      <c r="D57" s="1478">
        <v>0</v>
      </c>
      <c r="E57" s="316" t="s">
        <v>1343</v>
      </c>
      <c r="F57" s="294"/>
      <c r="G57" s="2341"/>
      <c r="H57" s="2345"/>
      <c r="I57" s="1670"/>
      <c r="J57" s="3319">
        <f>IF(AND(J55="",J56=""),4,IF(项目基本情况!K6="上海银行",结果表!J56+1,结果表!J55+1))</f>
        <v>5</v>
      </c>
      <c r="K57" s="3319" t="s">
        <v>1367</v>
      </c>
      <c r="L57" s="2317" t="s">
        <v>1368</v>
      </c>
      <c r="M57" s="2318"/>
      <c r="N57" s="2319">
        <f ca="1">SUMIF(M52:M56,"&lt;9e307")</f>
        <v>30579</v>
      </c>
      <c r="O57" s="2320"/>
      <c r="P57" s="2465">
        <f ca="1">N57/M49</f>
        <v>0.57603842893472734</v>
      </c>
    </row>
    <row r="58" spans="1:35" ht="24.75">
      <c r="A58" s="2153" t="s">
        <v>1352</v>
      </c>
      <c r="B58" s="3343" t="s">
        <v>1369</v>
      </c>
      <c r="C58" s="3342"/>
      <c r="D58" s="12">
        <f ca="1">IF(H58="转让取得",C81,C97)</f>
        <v>30046</v>
      </c>
      <c r="E58" s="1256" t="s">
        <v>1364</v>
      </c>
      <c r="F58" s="294" t="s">
        <v>28</v>
      </c>
      <c r="G58" s="2341"/>
      <c r="H58" s="2344"/>
      <c r="I58" s="1670"/>
      <c r="J58" s="3319"/>
      <c r="K58" s="3319"/>
      <c r="L58" s="2317" t="s">
        <v>1370</v>
      </c>
      <c r="M58" s="2321"/>
      <c r="N58" s="2322" t="str">
        <f ca="1">NUMBERSTRING(INT(N57*10000),2)&amp;"元整"</f>
        <v>叁亿零伍佰柒拾玖万元整</v>
      </c>
      <c r="O58" s="2323"/>
    </row>
    <row r="59" spans="1:35" ht="24.75" thickBot="1">
      <c r="A59" s="3323" t="s">
        <v>1371</v>
      </c>
      <c r="B59" s="3324"/>
      <c r="C59" s="3324"/>
      <c r="D59" s="2346">
        <f ca="1">IF(H59="非个人房产","——",IF(H59="个人住宅（满五唯一有凭证）",0,IF(H59="个人其他（无凭证）",ROUND(D45*F59,0),ROUND(C67*F59,0))))</f>
        <v>506</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21">
        <f>J57+1</f>
        <v>6</v>
      </c>
      <c r="K59" s="3319" t="s">
        <v>1372</v>
      </c>
      <c r="L59" s="2310" t="s">
        <v>1368</v>
      </c>
      <c r="M59" s="2324"/>
      <c r="N59" s="2325">
        <f ca="1">M49-N57</f>
        <v>22506</v>
      </c>
      <c r="O59" s="2326"/>
    </row>
    <row r="60" spans="1:35" ht="12" customHeight="1">
      <c r="A60" s="1671"/>
      <c r="B60" s="646"/>
      <c r="C60" s="646"/>
      <c r="D60" s="646"/>
      <c r="E60" s="1466"/>
      <c r="F60" s="1670"/>
      <c r="G60" s="1670"/>
      <c r="H60" s="151"/>
      <c r="I60" s="121"/>
      <c r="J60" s="3322"/>
      <c r="K60" s="3319"/>
      <c r="L60" s="2317" t="s">
        <v>1370</v>
      </c>
      <c r="M60" s="2321"/>
      <c r="N60" s="2322" t="str">
        <f ca="1">NUMBERSTRING(INT(N59*10000),2)&amp;"元整"</f>
        <v>贰亿贰仟伍佰零陆万元整</v>
      </c>
      <c r="O60" s="2323"/>
    </row>
    <row r="61" spans="1:35" ht="13.5" thickBot="1">
      <c r="A61" s="3378" t="s">
        <v>1373</v>
      </c>
      <c r="B61" s="3378"/>
      <c r="C61" s="3378"/>
      <c r="D61" s="3378"/>
      <c r="E61" s="3378"/>
      <c r="F61" s="1670"/>
      <c r="G61" s="1670"/>
      <c r="H61" s="151"/>
      <c r="I61" s="121"/>
      <c r="J61" s="2310">
        <f>J59+1</f>
        <v>7</v>
      </c>
      <c r="K61" s="3319" t="s">
        <v>1374</v>
      </c>
      <c r="L61" s="3319"/>
      <c r="M61" s="2327"/>
      <c r="N61" s="2328">
        <f ca="1">ROUND(N59*10000/'数据-汇总表'!E3,0)</f>
        <v>8315</v>
      </c>
      <c r="O61" s="2329"/>
    </row>
    <row r="62" spans="1:35" ht="12.75">
      <c r="A62" s="3338" t="s">
        <v>1375</v>
      </c>
      <c r="B62" s="3339"/>
      <c r="C62" s="1865"/>
      <c r="D62" s="1865" t="s">
        <v>1376</v>
      </c>
      <c r="E62" s="158" t="s">
        <v>1377</v>
      </c>
      <c r="F62" s="1670"/>
      <c r="G62" s="1670"/>
      <c r="H62" s="151"/>
      <c r="I62" s="121"/>
    </row>
    <row r="63" spans="1:35" ht="12.75">
      <c r="A63" s="165" t="s">
        <v>330</v>
      </c>
      <c r="B63" s="159" t="s">
        <v>1378</v>
      </c>
      <c r="C63" s="2350">
        <f ca="1">ROUND((C64+C65)/(1+'数据-取费表'!C42),0)</f>
        <v>50557</v>
      </c>
      <c r="D63" s="159"/>
      <c r="E63" s="160"/>
      <c r="F63" s="1670"/>
      <c r="G63" s="1670"/>
      <c r="H63" s="151"/>
      <c r="I63" s="121"/>
      <c r="J63" s="3302" t="s">
        <v>1379</v>
      </c>
      <c r="K63" s="1245" t="s">
        <v>1380</v>
      </c>
      <c r="L63" s="1245">
        <f ca="1">IF(M49&gt;10000,M49*0.5%,IF(AND(M49&gt;1000,M49&lt;=10000),M49*1%,IF(AND(M49&gt;100,M49&lt;=1000),M49*3%,IF(AND(M49&gt;10,M49&lt;=100),M49*5%,M49*8%))))</f>
        <v>265.42500000000001</v>
      </c>
      <c r="M63" s="294">
        <f ca="1">ROUND(L63,1)</f>
        <v>265.39999999999998</v>
      </c>
      <c r="N63" s="2330"/>
      <c r="Z63" s="1623"/>
      <c r="AI63" s="1561"/>
    </row>
    <row r="64" spans="1:35" ht="14.25" customHeight="1">
      <c r="A64" s="161" t="s">
        <v>325</v>
      </c>
      <c r="B64" s="162" t="s">
        <v>1381</v>
      </c>
      <c r="C64" s="2351">
        <f ca="1">D45</f>
        <v>53085</v>
      </c>
      <c r="D64" s="162" t="s">
        <v>26</v>
      </c>
      <c r="E64" s="164"/>
      <c r="F64" s="1670"/>
      <c r="G64" s="1670"/>
      <c r="H64" s="151"/>
      <c r="I64" s="121"/>
      <c r="J64" s="3302"/>
      <c r="K64" s="1245" t="s">
        <v>1382</v>
      </c>
      <c r="L64" s="1245">
        <f ca="1">IF(M49&gt;2000,M49*0.5%,IF(AND(M49&gt;1000,M49&lt;=2000),M49*0.6%,IF(AND(M49&gt;500,M49&lt;=1000),M49*0.7%,IF(AND(M49&gt;200,M49&lt;=500),M49*0.8%,IF(AND(M49&gt;100,M49&lt;=200),M49*0.9%,IF(AND(M49&gt;50,M49&lt;=100),M49*1%,IF(AND(M49&gt;20,M49&lt;=50),M49*1.5%,IF(AND(M49&gt;10,M49&lt;=20),M49*2%,IF(AND(M49&gt;1,M49&lt;=10),M49*2.5%)))))))))</f>
        <v>265.42500000000001</v>
      </c>
      <c r="M64" s="294">
        <f t="shared" ref="M64:M65" ca="1" si="1">ROUND(L64,1)</f>
        <v>265.39999999999998</v>
      </c>
      <c r="N64" s="2331" t="s">
        <v>1383</v>
      </c>
      <c r="Z64" s="1623"/>
      <c r="AI64" s="1561"/>
    </row>
    <row r="65" spans="1:35" ht="14.25" customHeight="1">
      <c r="A65" s="161" t="s">
        <v>326</v>
      </c>
      <c r="B65" s="162" t="s">
        <v>1384</v>
      </c>
      <c r="C65" s="2352"/>
      <c r="D65" s="162"/>
      <c r="E65" s="164"/>
      <c r="F65" s="1670"/>
      <c r="G65" s="1670"/>
      <c r="H65" s="151"/>
      <c r="I65" s="121"/>
      <c r="J65" s="3302"/>
      <c r="K65" s="1245" t="s">
        <v>1385</v>
      </c>
      <c r="L65" s="1245">
        <f ca="1">IF(M49&gt;1000,M49*0.1%,IF(AND(M49&gt;500,M49&lt;=1000),M49*0.5%,IF(AND(M49&gt;50,M49&lt;=500),M49*1%,IF(AND(M49&gt;1,M49&lt;=50),M49*1.5%))))</f>
        <v>53.085000000000001</v>
      </c>
      <c r="M65" s="294">
        <f t="shared" ca="1" si="1"/>
        <v>53.1</v>
      </c>
      <c r="N65" s="2331" t="s">
        <v>1383</v>
      </c>
      <c r="Z65" s="1623"/>
      <c r="AI65" s="1561"/>
    </row>
    <row r="66" spans="1:35" ht="14.25" customHeight="1">
      <c r="A66" s="165" t="s">
        <v>327</v>
      </c>
      <c r="B66" s="166" t="s">
        <v>1386</v>
      </c>
      <c r="C66" s="2353"/>
      <c r="D66" s="166" t="s">
        <v>26</v>
      </c>
      <c r="E66" s="1251" t="s">
        <v>671</v>
      </c>
      <c r="F66" s="1670"/>
      <c r="G66" s="1670"/>
      <c r="H66" s="151"/>
      <c r="I66" s="121"/>
      <c r="J66" s="3302"/>
      <c r="K66" s="1245" t="s">
        <v>1387</v>
      </c>
      <c r="L66" s="1245">
        <f ca="1">M49*0.5%</f>
        <v>265.42500000000001</v>
      </c>
      <c r="M66" s="294">
        <f ca="1">IF(L66&gt;0.5,0.5,ROUND(L66,0))</f>
        <v>0.5</v>
      </c>
      <c r="N66" s="2331" t="s">
        <v>1388</v>
      </c>
      <c r="Z66" s="1623"/>
      <c r="AI66" s="1561"/>
    </row>
    <row r="67" spans="1:35" ht="14.25" customHeight="1">
      <c r="A67" s="165" t="s">
        <v>328</v>
      </c>
      <c r="B67" s="166" t="s">
        <v>1389</v>
      </c>
      <c r="C67" s="2354">
        <f ca="1">C63-C66</f>
        <v>50557</v>
      </c>
      <c r="D67" s="162" t="s">
        <v>26</v>
      </c>
      <c r="E67" s="164"/>
      <c r="F67" s="1670"/>
      <c r="G67" s="1670"/>
      <c r="H67" s="151"/>
      <c r="I67" s="121"/>
      <c r="J67" s="3302"/>
      <c r="K67" s="1245" t="s">
        <v>1390</v>
      </c>
      <c r="L67" s="1245">
        <f ca="1">IF(M49&gt;=10000,(8.25+(M49-10000)*0.01%),IF(AND(M49&gt;=8000,M49&lt;10000),(7.85+(M49-8000)*0.02%),IF(AND(M49&gt;=5000,M49&lt;8000),(6.65+(M49-5000)*0.04%),IF(AND(M49&gt;=2000,M49&lt;5000),(4.25+(PM49-2000)*0.08%),IF(AND(M49&gt;=1000,M49&lt;2000),(2.75+(M49-1000)*0.15%),IF(AND(M49&gt;=100,M49&lt;1000),(0.5+(M49-100)*0.25%),IF(AND(M49&gt;0,M49&lt;100),M49*0.5%)))))))</f>
        <v>12.5585</v>
      </c>
      <c r="M67" s="294">
        <f ca="1">ROUND(L67*0.9,1)</f>
        <v>11.3</v>
      </c>
      <c r="N67" s="2330"/>
      <c r="Z67" s="1623"/>
      <c r="AI67" s="1561"/>
    </row>
    <row r="68" spans="1:35" ht="14.25" customHeight="1" thickBot="1">
      <c r="A68" s="168" t="s">
        <v>329</v>
      </c>
      <c r="B68" s="169" t="s">
        <v>1391</v>
      </c>
      <c r="C68" s="2355">
        <f ca="1">IF(C67&lt;=0,0,ROUND(C67*D68,0))</f>
        <v>2831</v>
      </c>
      <c r="D68" s="2356">
        <f>'数据-取费表'!B41</f>
        <v>5.6000000000000001E-2</v>
      </c>
      <c r="E68" s="170"/>
      <c r="F68" s="1670"/>
      <c r="G68" s="1670"/>
      <c r="H68" s="151"/>
      <c r="I68" s="121"/>
      <c r="J68" s="3302"/>
      <c r="K68" s="1245" t="s">
        <v>1392</v>
      </c>
      <c r="L68" s="1245">
        <f ca="1">IF(M49&gt;10000,M49*0.5%,IF(AND(M49&gt;5000,M49&lt;=10000),M49*1%,IF(AND(M49&gt;1000,M49&lt;=5000),M49*2%,IF(AND(M49&gt;200,M49&lt;=1000),M49*3%,M49*5%))))</f>
        <v>265.42500000000001</v>
      </c>
      <c r="M68" s="294">
        <f ca="1">ROUND(L68,1)</f>
        <v>265.39999999999998</v>
      </c>
      <c r="N68" s="2330"/>
      <c r="Z68" s="1623"/>
      <c r="AI68" s="1561"/>
    </row>
    <row r="69" spans="1:35" ht="16.5" customHeight="1">
      <c r="A69" s="1672"/>
      <c r="B69" s="1673"/>
      <c r="C69" s="1674"/>
      <c r="D69" s="1675"/>
      <c r="E69" s="1676"/>
      <c r="F69" s="1466"/>
      <c r="G69" s="1466"/>
      <c r="H69" s="1467"/>
      <c r="I69" s="646"/>
      <c r="J69" s="3302"/>
      <c r="K69" s="1245" t="s">
        <v>1393</v>
      </c>
      <c r="L69" s="1245"/>
      <c r="M69" s="294">
        <f ca="1">ROUND(SUM(M63:M68),0)</f>
        <v>861</v>
      </c>
      <c r="N69" s="2332">
        <f ca="1">M69/M49</f>
        <v>1.6219270980502968E-2</v>
      </c>
      <c r="Z69" s="1623"/>
      <c r="AI69" s="1561"/>
    </row>
    <row r="70" spans="1:35" s="642" customFormat="1" ht="15" thickBot="1">
      <c r="A70" s="3346" t="s">
        <v>1394</v>
      </c>
      <c r="B70" s="3347"/>
      <c r="C70" s="3347"/>
      <c r="D70" s="3347"/>
      <c r="E70" s="3347"/>
      <c r="F70" s="3347"/>
      <c r="G70" s="3347"/>
      <c r="H70" s="334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38" t="s">
        <v>1375</v>
      </c>
      <c r="B71" s="3339"/>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50557</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303</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43" t="s">
        <v>1402</v>
      </c>
      <c r="F76" s="3342"/>
      <c r="G76" s="3342"/>
      <c r="H76" s="334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303</v>
      </c>
      <c r="D78" s="2363">
        <f>'数据-取费表'!B43</f>
        <v>6.000000000000001E-3</v>
      </c>
      <c r="E78" s="3335" t="s">
        <v>1406</v>
      </c>
      <c r="F78" s="3336"/>
      <c r="G78" s="3336"/>
      <c r="H78" s="333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50254</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165.85478547854785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30046</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46" t="s">
        <v>1410</v>
      </c>
      <c r="B83" s="3347"/>
      <c r="C83" s="3347"/>
      <c r="D83" s="3347"/>
      <c r="E83" s="3347"/>
      <c r="F83" s="3347"/>
      <c r="G83" s="3347"/>
      <c r="H83" s="334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38" t="s">
        <v>1375</v>
      </c>
      <c r="B84" s="3339"/>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50557</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303</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04" t="s">
        <v>2129</v>
      </c>
      <c r="H90" s="3305"/>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335" t="s">
        <v>1419</v>
      </c>
      <c r="F91" s="3336"/>
      <c r="G91" s="333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335" t="s">
        <v>1422</v>
      </c>
      <c r="F92" s="3336"/>
      <c r="G92" s="3336"/>
      <c r="H92" s="3337"/>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303</v>
      </c>
      <c r="D93" s="2363">
        <f>'数据-取费表'!B43</f>
        <v>6.000000000000001E-3</v>
      </c>
      <c r="E93" s="3335" t="s">
        <v>1406</v>
      </c>
      <c r="F93" s="3336"/>
      <c r="G93" s="3336"/>
      <c r="H93" s="333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80" t="s">
        <v>1426</v>
      </c>
      <c r="F94" s="3381"/>
      <c r="G94" s="3381"/>
      <c r="H94" s="338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50254</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165.85478547854785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30046</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81" t="s">
        <v>1428</v>
      </c>
      <c r="B100" s="3282"/>
      <c r="C100" s="3282"/>
      <c r="D100" s="3320"/>
      <c r="E100" s="3282" t="s">
        <v>1429</v>
      </c>
      <c r="F100" s="3282"/>
      <c r="G100" s="3282"/>
      <c r="H100" s="3320"/>
      <c r="I100" s="121"/>
    </row>
    <row r="101" spans="1:35" ht="18.75" customHeight="1">
      <c r="A101" s="3328" t="s">
        <v>1430</v>
      </c>
      <c r="B101" s="3329"/>
      <c r="C101" s="2371" t="str">
        <f>C4</f>
        <v>成本法</v>
      </c>
      <c r="D101" s="2372" t="str">
        <f>D4</f>
        <v>收益法（汇总）</v>
      </c>
      <c r="E101" s="3298" t="s">
        <v>1431</v>
      </c>
      <c r="F101" s="3299"/>
      <c r="G101" s="1687" t="s">
        <v>1432</v>
      </c>
      <c r="H101" s="2381">
        <f ca="1">H118</f>
        <v>53085</v>
      </c>
      <c r="I101" s="121"/>
    </row>
    <row r="102" spans="1:35" ht="18.75" customHeight="1">
      <c r="A102" s="3330" t="s">
        <v>1433</v>
      </c>
      <c r="B102" s="2370" t="s">
        <v>1432</v>
      </c>
      <c r="C102" s="2371">
        <f ca="1">IF(D32="楼面单价",ROUND(C19,0),C19)</f>
        <v>62897</v>
      </c>
      <c r="D102" s="2372">
        <f ca="1">IF(D32="楼面单价",ROUND(D19,0),D19)</f>
        <v>38368</v>
      </c>
      <c r="E102" s="3298"/>
      <c r="F102" s="3299"/>
      <c r="G102" s="1687" t="s">
        <v>1434</v>
      </c>
      <c r="H102" s="2341">
        <f ca="1">I118</f>
        <v>19612</v>
      </c>
      <c r="I102" s="121"/>
    </row>
    <row r="103" spans="1:35" ht="42.75" customHeight="1">
      <c r="A103" s="3330"/>
      <c r="B103" s="2370" t="s">
        <v>1434</v>
      </c>
      <c r="C103" s="2373">
        <f ca="1">C20</f>
        <v>23237</v>
      </c>
      <c r="D103" s="2374">
        <f ca="1">D20</f>
        <v>14175</v>
      </c>
      <c r="E103" s="3291" t="s">
        <v>1435</v>
      </c>
      <c r="F103" s="3292"/>
      <c r="G103" s="1688" t="s">
        <v>1436</v>
      </c>
      <c r="H103" s="2381">
        <f>IF(D36="正常操作",H104+H105+H106,H105+H106)</f>
        <v>0</v>
      </c>
      <c r="I103" s="121"/>
    </row>
    <row r="104" spans="1:35" ht="18.75" customHeight="1">
      <c r="A104" s="3330" t="s">
        <v>1437</v>
      </c>
      <c r="B104" s="2375" t="s">
        <v>1432</v>
      </c>
      <c r="C104" s="2376">
        <f ca="1">H118</f>
        <v>53085</v>
      </c>
      <c r="D104" s="2377"/>
      <c r="E104" s="1555" t="s">
        <v>1438</v>
      </c>
      <c r="F104" s="1548"/>
      <c r="G104" s="1688" t="s">
        <v>1436</v>
      </c>
      <c r="H104" s="2382">
        <f>IF(D36="同一抵押权人同一抵押物续贷",C36&amp;"（续贷，未扣减，详见特别提示）",C36)</f>
        <v>0</v>
      </c>
      <c r="I104" s="121"/>
    </row>
    <row r="105" spans="1:35" ht="18.75" customHeight="1" thickBot="1">
      <c r="A105" s="3340"/>
      <c r="B105" s="2378" t="s">
        <v>1434</v>
      </c>
      <c r="C105" s="2379">
        <f ca="1">I118</f>
        <v>19612</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31" t="str">
        <f>IF(项目基本情况!E8="已注销","——","3.房地产抵押价值")</f>
        <v>3.房地产抵押价值</v>
      </c>
      <c r="F107" s="3299"/>
      <c r="G107" s="1687" t="s">
        <v>1432</v>
      </c>
      <c r="H107" s="2381">
        <f ca="1">IF(E107="——","——",H101-H103)</f>
        <v>53085</v>
      </c>
      <c r="I107" s="121"/>
    </row>
    <row r="108" spans="1:35" ht="18.75" customHeight="1">
      <c r="A108" s="121"/>
      <c r="B108" s="121"/>
      <c r="C108" s="121"/>
      <c r="D108" s="121"/>
      <c r="E108" s="3331"/>
      <c r="F108" s="3299"/>
      <c r="G108" s="1687" t="s">
        <v>1434</v>
      </c>
      <c r="H108" s="2341">
        <f ca="1">IF(H107=H101,H102,ROUND(H107*10000/'数据-汇总表'!E3,0))</f>
        <v>19612</v>
      </c>
      <c r="I108" s="121"/>
    </row>
    <row r="109" spans="1:35" ht="18.75" customHeight="1">
      <c r="A109" s="121"/>
      <c r="B109" s="121"/>
      <c r="C109" s="121"/>
      <c r="D109" s="121"/>
      <c r="E109" s="3331" t="str">
        <f>IF(项目基本情况!E8="已注销及未注销","4.抵押担保权已注销时的房地产抵押价值",IF(项目基本情况!E8="已注销","3.抵押担保权已注销时的房地产抵押价值","——"))</f>
        <v>——</v>
      </c>
      <c r="F109" s="3299"/>
      <c r="G109" s="1687" t="s">
        <v>1432</v>
      </c>
      <c r="H109" s="2384" t="str">
        <f>IF(E109="——","——",H101-H105-H106)</f>
        <v>——</v>
      </c>
      <c r="I109" s="121"/>
    </row>
    <row r="110" spans="1:35" ht="18.75" customHeight="1">
      <c r="A110" s="121"/>
      <c r="B110" s="121"/>
      <c r="C110" s="121"/>
      <c r="D110" s="121"/>
      <c r="E110" s="3331"/>
      <c r="F110" s="3299"/>
      <c r="G110" s="1687" t="s">
        <v>1434</v>
      </c>
      <c r="H110" s="2341" t="str">
        <f>IF(H109="——","——",ROUND(H109*10000/'数据-汇总表'!E3,0))</f>
        <v>——</v>
      </c>
      <c r="I110" s="121"/>
    </row>
    <row r="111" spans="1:35" ht="18.75" customHeight="1">
      <c r="A111" s="121"/>
      <c r="B111" s="121"/>
      <c r="C111" s="121"/>
      <c r="D111" s="121"/>
      <c r="E111" s="3332" t="str">
        <f>IF(项目基本情况!E9="抵押净值",IF(OR(项目基本情况!E8="已注销",项目基本情况!E8="房地产抵押价值"),"4.抵押净值","5.抵押净值"),"——")</f>
        <v>——</v>
      </c>
      <c r="F111" s="3318"/>
      <c r="G111" s="1687" t="s">
        <v>1432</v>
      </c>
      <c r="H111" s="2381" t="str">
        <f>IF(E111="——","——",N59)</f>
        <v>——</v>
      </c>
      <c r="I111" s="121"/>
    </row>
    <row r="112" spans="1:35" ht="18.75" customHeight="1" thickBot="1">
      <c r="A112" s="121"/>
      <c r="B112" s="121"/>
      <c r="C112" s="121"/>
      <c r="D112" s="121"/>
      <c r="E112" s="3333"/>
      <c r="F112" s="3334"/>
      <c r="G112" s="1690" t="s">
        <v>1434</v>
      </c>
      <c r="H112" s="2385" t="str">
        <f>IF(E111="——","——",N61)</f>
        <v>——</v>
      </c>
      <c r="I112" s="121"/>
    </row>
    <row r="113" spans="1:27" ht="18.75" customHeight="1">
      <c r="A113" s="121"/>
      <c r="B113" s="121"/>
      <c r="C113" s="121"/>
      <c r="D113" s="121"/>
      <c r="E113" s="3341" t="s">
        <v>1440</v>
      </c>
      <c r="F113" s="3341"/>
      <c r="G113" s="3341"/>
      <c r="H113" s="3341"/>
      <c r="I113" s="121"/>
    </row>
    <row r="114" spans="1:27" ht="3.75" customHeight="1">
      <c r="A114" s="646"/>
      <c r="B114" s="646"/>
      <c r="C114" s="646"/>
      <c r="D114" s="646"/>
      <c r="E114" s="1671"/>
      <c r="F114" s="1671"/>
      <c r="G114" s="1671"/>
      <c r="H114" s="1671"/>
      <c r="I114" s="646"/>
    </row>
    <row r="115" spans="1:27" ht="18.75" customHeight="1">
      <c r="A115" s="3349" t="s">
        <v>1442</v>
      </c>
      <c r="B115" s="3350"/>
      <c r="C115" s="3350"/>
      <c r="D115" s="3350"/>
      <c r="E115" s="3350"/>
      <c r="F115" s="3350"/>
      <c r="G115" s="3350"/>
      <c r="H115" s="3350"/>
      <c r="I115" s="3351"/>
    </row>
    <row r="116" spans="1:27" ht="27" customHeight="1">
      <c r="A116" s="3306" t="s">
        <v>1443</v>
      </c>
      <c r="B116" s="3310" t="s">
        <v>1444</v>
      </c>
      <c r="C116" s="3310" t="s">
        <v>1445</v>
      </c>
      <c r="D116" s="3316" t="s">
        <v>1446</v>
      </c>
      <c r="E116" s="3317"/>
      <c r="F116" s="3348" t="s">
        <v>1447</v>
      </c>
      <c r="G116" s="3348"/>
      <c r="H116" s="3306" t="s">
        <v>1448</v>
      </c>
      <c r="I116" s="3306"/>
    </row>
    <row r="117" spans="1:27" ht="18.75" customHeight="1">
      <c r="A117" s="3306"/>
      <c r="B117" s="3311"/>
      <c r="C117" s="3311"/>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27067.119999999988</v>
      </c>
      <c r="C118" s="2150">
        <f>M19</f>
        <v>0</v>
      </c>
      <c r="D118" s="2150">
        <f ca="1">ROUND(IF(D32="总价",C34,E118*B118/10000),0)</f>
        <v>41884</v>
      </c>
      <c r="E118" s="2150">
        <f ca="1">ROUND(IF(C33="自定义",IF(D32="楼面单价",C34,D118*10000/B118),I118-G118),0)</f>
        <v>15474</v>
      </c>
      <c r="F118" s="2150">
        <f ca="1">ROUND(IF(D32="总价",C35,G118*B118/10000),0)</f>
        <v>11201</v>
      </c>
      <c r="G118" s="2150">
        <f ca="1">ROUND(IF(D32="楼面单价",C35,F118*10000/B118),0)</f>
        <v>4138</v>
      </c>
      <c r="H118" s="2150">
        <f ca="1">ROUND(IF(D32="总价",C32,I118*B118/10000),0)</f>
        <v>53085</v>
      </c>
      <c r="I118" s="2150">
        <f ca="1">ROUND(IF(D32="楼面单价",C32,H118*10000/B118),0)</f>
        <v>19612</v>
      </c>
    </row>
    <row r="119" spans="1:27" ht="18.75" customHeight="1">
      <c r="A119" s="3306" t="s">
        <v>1452</v>
      </c>
      <c r="B119" s="3306"/>
      <c r="C119" s="3306"/>
      <c r="D119" s="3312" t="str">
        <f ca="1">NUMBERSTRING(INT(D118*10000),2)&amp;"元整"</f>
        <v>肆亿壹仟捌佰捌拾肆万元整</v>
      </c>
      <c r="E119" s="3313"/>
      <c r="F119" s="3312" t="str">
        <f ca="1">NUMBERSTRING(INT(F118*10000),2)&amp;"元整"</f>
        <v>壹亿壹仟贰佰零壹万元整</v>
      </c>
      <c r="G119" s="3313"/>
      <c r="H119" s="3312" t="str">
        <f ca="1">NUMBERSTRING(INT(H118*10000),2)&amp;"元整"</f>
        <v>伍亿叁仟零捌拾伍万元整</v>
      </c>
      <c r="I119" s="3313"/>
    </row>
    <row r="120" spans="1:27" ht="18.75" customHeight="1">
      <c r="A120" s="3307" t="str">
        <f>IF(项目基本情况!B9="房地产市场价值","",MID(E103,3,LEN(E103)-2))</f>
        <v>估价师知悉的法定优先受偿款</v>
      </c>
      <c r="B120" s="3308"/>
      <c r="C120" s="3309"/>
      <c r="D120" s="3307">
        <f>H103</f>
        <v>0</v>
      </c>
      <c r="E120" s="3308"/>
      <c r="F120" s="3308"/>
      <c r="G120" s="3308"/>
      <c r="H120" s="3308"/>
      <c r="I120" s="330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2" t="s">
        <v>1452</v>
      </c>
      <c r="B121" s="3314"/>
      <c r="C121" s="3313"/>
      <c r="D121" s="3312" t="str">
        <f>IF(D120=0,"零元整",NUMBERSTRING(INT(D120*10000),2)&amp;"元整")</f>
        <v>零元整</v>
      </c>
      <c r="E121" s="3314"/>
      <c r="F121" s="3314"/>
      <c r="G121" s="3314"/>
      <c r="H121" s="3314"/>
      <c r="I121" s="3313"/>
      <c r="AA121" s="684"/>
    </row>
    <row r="122" spans="1:27" ht="18.75" customHeight="1">
      <c r="A122" s="3318" t="str">
        <f>IF(项目基本情况!B9="房地产市场价值","",MID(E107,3,LEN(E107)-2))</f>
        <v>房地产抵押价值</v>
      </c>
      <c r="B122" s="3318"/>
      <c r="C122" s="3318"/>
      <c r="D122" s="3307">
        <f ca="1">H107</f>
        <v>53085</v>
      </c>
      <c r="E122" s="3308"/>
      <c r="F122" s="3308"/>
      <c r="G122" s="3308"/>
      <c r="H122" s="3308"/>
      <c r="I122" s="3309"/>
      <c r="AA122" s="684"/>
    </row>
    <row r="123" spans="1:27" ht="18.75" customHeight="1">
      <c r="A123" s="3306" t="s">
        <v>1452</v>
      </c>
      <c r="B123" s="3306"/>
      <c r="C123" s="3306"/>
      <c r="D123" s="3312" t="str">
        <f ca="1">NUMBERSTRING(INT(D122*10000),2)&amp;"元整"</f>
        <v>伍亿叁仟零捌拾伍万元整</v>
      </c>
      <c r="E123" s="3314"/>
      <c r="F123" s="3314"/>
      <c r="G123" s="3314"/>
      <c r="H123" s="3314"/>
      <c r="I123" s="3313"/>
      <c r="AA123" s="684"/>
    </row>
    <row r="124" spans="1:27" ht="18.75" customHeight="1">
      <c r="A124" s="3318" t="str">
        <f>IF(项目基本情况!B9="房地产市场价值","",MID(E109,3,LEN(E109)-2))</f>
        <v/>
      </c>
      <c r="B124" s="3318"/>
      <c r="C124" s="3318"/>
      <c r="D124" s="3307" t="str">
        <f>H109</f>
        <v>——</v>
      </c>
      <c r="E124" s="3308"/>
      <c r="F124" s="3308"/>
      <c r="G124" s="3308"/>
      <c r="H124" s="3308"/>
      <c r="I124" s="3309"/>
      <c r="AA124" s="684"/>
    </row>
    <row r="125" spans="1:27" ht="18.75" customHeight="1">
      <c r="A125" s="3306" t="s">
        <v>1452</v>
      </c>
      <c r="B125" s="3306"/>
      <c r="C125" s="3306"/>
      <c r="D125" s="3312" t="e">
        <f>NUMBERSTRING(INT(D124*10000),2)&amp;"元整"</f>
        <v>#VALUE!</v>
      </c>
      <c r="E125" s="3314"/>
      <c r="F125" s="3314"/>
      <c r="G125" s="3314"/>
      <c r="H125" s="3314"/>
      <c r="I125" s="3313"/>
      <c r="AA125" s="684"/>
    </row>
    <row r="126" spans="1:27" ht="18.75" customHeight="1">
      <c r="A126" s="3318" t="str">
        <f>IF(项目基本情况!B9="房地产市场价值","",MID(E111,3,LEN(E111)-2))</f>
        <v/>
      </c>
      <c r="B126" s="3318"/>
      <c r="C126" s="3318"/>
      <c r="D126" s="3307" t="str">
        <f>H111</f>
        <v>——</v>
      </c>
      <c r="E126" s="3308"/>
      <c r="F126" s="3308"/>
      <c r="G126" s="3308"/>
      <c r="H126" s="3308"/>
      <c r="I126" s="3309"/>
      <c r="AA126" s="684"/>
    </row>
    <row r="127" spans="1:27" ht="18.75" customHeight="1">
      <c r="A127" s="3306" t="s">
        <v>1452</v>
      </c>
      <c r="B127" s="3306"/>
      <c r="C127" s="3306"/>
      <c r="D127" s="3312" t="e">
        <f>NUMBERSTRING(INT(D126*10000),2)&amp;"元整"</f>
        <v>#VALUE!</v>
      </c>
      <c r="E127" s="3314"/>
      <c r="F127" s="3314"/>
      <c r="G127" s="3314"/>
      <c r="H127" s="3314"/>
      <c r="I127" s="3313"/>
      <c r="AA127" s="684"/>
    </row>
    <row r="128" spans="1:27" ht="21.75" customHeight="1">
      <c r="A128" s="3315" t="s">
        <v>1453</v>
      </c>
      <c r="B128" s="3315"/>
      <c r="C128" s="3315"/>
      <c r="D128" s="3315"/>
      <c r="E128" s="3315"/>
      <c r="F128" s="3315"/>
      <c r="G128" s="3315"/>
      <c r="H128" s="3315"/>
      <c r="I128" s="3315"/>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99" t="str">
        <f>项目基本情况!B1</f>
        <v>北京市房地产抵押价值预评估</v>
      </c>
      <c r="C37" s="3199"/>
      <c r="D37" s="3199"/>
      <c r="E37" s="3199"/>
      <c r="F37" s="3199"/>
      <c r="G37" s="3199"/>
      <c r="H37" s="3199"/>
      <c r="I37" s="3199"/>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 ca="1">项目基本情况!K4</f>
        <v>吴薇（注册号：1419970001)、郑燚（注册号：1120070131)</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K27" sqref="K27"/>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8</v>
      </c>
    </row>
    <row r="2" spans="1:9" s="192" customFormat="1" ht="18" customHeight="1">
      <c r="A2" s="193" t="s">
        <v>1462</v>
      </c>
      <c r="B2" s="194">
        <f ca="1">IF(D2="——",C52,C52-E2)</f>
        <v>62897</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23237</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38697</v>
      </c>
      <c r="D5" s="203" t="s">
        <v>1469</v>
      </c>
      <c r="E5" s="204" t="s">
        <v>1470</v>
      </c>
      <c r="F5" s="204" t="s">
        <v>1471</v>
      </c>
      <c r="G5" s="205"/>
    </row>
    <row r="6" spans="1:9" s="206" customFormat="1" ht="13.5" customHeight="1">
      <c r="A6" s="732" t="s">
        <v>1472</v>
      </c>
      <c r="B6" s="207" t="s">
        <v>1473</v>
      </c>
      <c r="C6" s="208">
        <f>基准地价修正!B2</f>
        <v>37027</v>
      </c>
      <c r="D6" s="209"/>
      <c r="E6" s="210"/>
      <c r="F6" s="210"/>
      <c r="G6" s="211"/>
    </row>
    <row r="7" spans="1:9" s="206" customFormat="1" ht="13.5" customHeight="1">
      <c r="A7" s="732" t="s">
        <v>1474</v>
      </c>
      <c r="B7" s="207" t="s">
        <v>1475</v>
      </c>
      <c r="C7" s="212">
        <f>ROUND(C6*F7,0)</f>
        <v>1129</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541</v>
      </c>
      <c r="D8" s="214"/>
      <c r="E8" s="212"/>
      <c r="F8" s="213"/>
      <c r="G8" s="1714" t="s">
        <v>3687</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t="s">
        <v>3688</v>
      </c>
      <c r="H9" s="1070"/>
      <c r="I9" s="1716" t="s">
        <v>1479</v>
      </c>
    </row>
    <row r="10" spans="1:9" s="206" customFormat="1" ht="13.5" customHeight="1">
      <c r="A10" s="733" t="s">
        <v>356</v>
      </c>
      <c r="B10" s="216" t="s">
        <v>1480</v>
      </c>
      <c r="C10" s="217">
        <f ca="1">ROUND(D10*E10/10000,0)</f>
        <v>541</v>
      </c>
      <c r="D10" s="795">
        <f ca="1">IF(B1="",'数据-汇总表'!E6,IF(INDIRECT("'数据-取费表'!c"&amp;$G$1)="住宅",INDIRECT("'数据-取费表'!s"&amp;$G$1),INDIRECT("'数据-取费表'!k"&amp;$G$1)+INDIRECT("'数据-取费表'!s"&amp;$G$1)))</f>
        <v>27067.119999999988</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27067.119999999988</v>
      </c>
      <c r="E19" s="203">
        <f>'数据-取费表'!B31</f>
        <v>200</v>
      </c>
      <c r="F19" s="223"/>
      <c r="G19" s="1714" t="s">
        <v>3689</v>
      </c>
    </row>
    <row r="20" spans="1:7" s="206" customFormat="1" ht="13.5" customHeight="1">
      <c r="A20" s="247" t="s">
        <v>1493</v>
      </c>
      <c r="B20" s="202" t="s">
        <v>1494</v>
      </c>
      <c r="C20" s="224">
        <f ca="1">ROUND((C5+C19)*F20,0)</f>
        <v>774</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2460</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2436</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24</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3947</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3947</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49646</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14152</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12721</v>
      </c>
      <c r="D34" s="209"/>
      <c r="E34" s="212"/>
      <c r="F34" s="249">
        <f ca="1">IF('数据-取费表'!B24=0,1,IF(B1="",'数据-取费表'!N16,INDIRECT("'数据-取费表'!n"&amp;$G$1)))</f>
        <v>1</v>
      </c>
      <c r="G34" s="211" t="s">
        <v>1526</v>
      </c>
    </row>
    <row r="35" spans="1:7" ht="13.5" customHeight="1">
      <c r="A35" s="734" t="s">
        <v>351</v>
      </c>
      <c r="B35" s="207" t="s">
        <v>1527</v>
      </c>
      <c r="C35" s="212">
        <f ca="1">ROUND(C34*F35,0)</f>
        <v>636</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541</v>
      </c>
      <c r="D37" s="209">
        <f ca="1">D19</f>
        <v>27067.119999999988</v>
      </c>
      <c r="E37" s="241">
        <f>'数据-取费表'!B35</f>
        <v>200</v>
      </c>
      <c r="F37" s="251"/>
      <c r="G37" s="253" t="s">
        <v>1532</v>
      </c>
    </row>
    <row r="38" spans="1:7" ht="13.5" customHeight="1">
      <c r="A38" s="734" t="s">
        <v>354</v>
      </c>
      <c r="B38" s="207" t="s">
        <v>1533</v>
      </c>
      <c r="C38" s="212">
        <f ca="1">ROUND(C34*F38,0)</f>
        <v>254</v>
      </c>
      <c r="D38" s="212"/>
      <c r="E38" s="212"/>
      <c r="F38" s="251">
        <f>'数据-取费表'!B36</f>
        <v>0.02</v>
      </c>
      <c r="G38" s="211" t="s">
        <v>1528</v>
      </c>
    </row>
    <row r="39" spans="1:7" s="206" customFormat="1" ht="13.5" customHeight="1">
      <c r="A39" s="247" t="s">
        <v>1534</v>
      </c>
      <c r="B39" s="202" t="s">
        <v>1535</v>
      </c>
      <c r="C39" s="224">
        <f ca="1">ROUND(C33*F20,0)</f>
        <v>283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448</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439</v>
      </c>
      <c r="D42" s="230"/>
      <c r="E42" s="230"/>
      <c r="F42" s="231"/>
      <c r="G42" s="3385" t="s">
        <v>1544</v>
      </c>
    </row>
    <row r="43" spans="1:7" ht="13.5" customHeight="1">
      <c r="A43" s="734" t="s">
        <v>347</v>
      </c>
      <c r="B43" s="207" t="s">
        <v>1545</v>
      </c>
      <c r="C43" s="230">
        <f ca="1">ROUND(IF('数据-取费表'!B22&lt;=1,C39*F22*'数据-取费表'!B21/2,C39*(POWER((1+F22),'数据-取费表'!B21/2)-1)),0)</f>
        <v>9</v>
      </c>
      <c r="D43" s="230"/>
      <c r="E43" s="230"/>
      <c r="F43" s="231"/>
      <c r="G43" s="3386"/>
    </row>
    <row r="44" spans="1:7" ht="13.5" customHeight="1">
      <c r="A44" s="734" t="s">
        <v>348</v>
      </c>
      <c r="B44" s="207" t="s">
        <v>1546</v>
      </c>
      <c r="C44" s="230">
        <f ca="1">ROUND(IF('数据-取费表'!B22&lt;=1,C40*F22*'数据-取费表'!B21/2,C40*(POWER((1+F22),'数据-取费表'!B21/2)-1)),4)</f>
        <v>5.9999999999999995E-4</v>
      </c>
      <c r="D44" s="230"/>
      <c r="E44" s="230"/>
      <c r="F44" s="231"/>
      <c r="G44" s="3387"/>
    </row>
    <row r="45" spans="1:7" s="206" customFormat="1" ht="13.5" customHeight="1">
      <c r="A45" s="247" t="s">
        <v>1547</v>
      </c>
      <c r="B45" s="236" t="s">
        <v>1513</v>
      </c>
      <c r="C45" s="237">
        <f ca="1">C46</f>
        <v>1444</v>
      </c>
      <c r="D45" s="227">
        <f ca="1">C47</f>
        <v>2E-3</v>
      </c>
      <c r="E45" s="228" t="s">
        <v>1539</v>
      </c>
      <c r="F45" s="238">
        <f ca="1">F27</f>
        <v>0.1</v>
      </c>
      <c r="G45" s="239" t="s">
        <v>1548</v>
      </c>
    </row>
    <row r="46" spans="1:7" s="206" customFormat="1" ht="13.5" customHeight="1">
      <c r="A46" s="734" t="s">
        <v>346</v>
      </c>
      <c r="B46" s="240" t="s">
        <v>1549</v>
      </c>
      <c r="C46" s="241">
        <f ca="1">ROUND((C33+C39)*F27,0)</f>
        <v>1444</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17668</v>
      </c>
      <c r="D49" s="224"/>
      <c r="E49" s="224"/>
      <c r="F49" s="256"/>
      <c r="G49" s="226" t="s">
        <v>1554</v>
      </c>
    </row>
    <row r="50" spans="1:7" s="250" customFormat="1" ht="24">
      <c r="A50" s="247" t="s">
        <v>1555</v>
      </c>
      <c r="B50" s="202" t="s">
        <v>1556</v>
      </c>
      <c r="C50" s="224"/>
      <c r="D50" s="224"/>
      <c r="E50" s="224"/>
      <c r="F50" s="256">
        <f>IF('数据-取费表'!B24=0,'数据-取费表'!N16,1)</f>
        <v>0.75</v>
      </c>
      <c r="G50" s="239" t="s">
        <v>1557</v>
      </c>
    </row>
    <row r="51" spans="1:7" ht="16.5" customHeight="1">
      <c r="A51" s="247" t="s">
        <v>1558</v>
      </c>
      <c r="B51" s="202" t="s">
        <v>1559</v>
      </c>
      <c r="C51" s="224">
        <f ca="1">ROUND(C49*F50,0)</f>
        <v>13251</v>
      </c>
      <c r="D51" s="224"/>
      <c r="E51" s="224"/>
      <c r="F51" s="256"/>
      <c r="G51" s="226" t="s">
        <v>1560</v>
      </c>
    </row>
    <row r="52" spans="1:7" s="200" customFormat="1" ht="16.5" thickBot="1">
      <c r="A52" s="257" t="s">
        <v>1561</v>
      </c>
      <c r="B52" s="258"/>
      <c r="C52" s="259">
        <f ca="1">C31+C51</f>
        <v>62897</v>
      </c>
      <c r="D52" s="258"/>
      <c r="E52" s="258"/>
      <c r="F52" s="258"/>
      <c r="G52" s="260"/>
    </row>
    <row r="55" spans="1:7" ht="15">
      <c r="B55" s="262" t="s">
        <v>1562</v>
      </c>
      <c r="C55" s="263"/>
    </row>
    <row r="56" spans="1:7">
      <c r="B56" s="265" t="s">
        <v>802</v>
      </c>
      <c r="C56" s="267">
        <f ca="1">1-C57</f>
        <v>0.78900000000000003</v>
      </c>
    </row>
    <row r="57" spans="1:7">
      <c r="B57" s="265" t="s">
        <v>803</v>
      </c>
      <c r="C57" s="266">
        <f ca="1">ROUND(C51/C52,3)</f>
        <v>0.21099999999999999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8</v>
      </c>
      <c r="H1" s="998" t="str">
        <f>IF(ISERROR(FIND("住宅",B1)),"非住宅","住宅")</f>
        <v>非住宅</v>
      </c>
    </row>
    <row r="2" spans="1:8" s="192" customFormat="1" ht="18" customHeight="1">
      <c r="A2" s="193" t="s">
        <v>1462</v>
      </c>
      <c r="B2" s="3123">
        <f ca="1">ROUND(IF(D2="——",C52/10000,C52/10000-E2),4)</f>
        <v>14640.560600000001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5409</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5413424</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5413424</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5413424</v>
      </c>
      <c r="D10" s="795">
        <f ca="1">IF(B1="",'数据-汇总表'!E6,IF(INDIRECT("'数据-取费表'!c"&amp;$G$1)="住宅",INDIRECT("'数据-取费表'!s"&amp;$G$1),INDIRECT("'数据-取费表'!k"&amp;$G$1)+INDIRECT("'数据-取费表'!s"&amp;$G$1)))</f>
        <v>27067.119999999988</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5413424</v>
      </c>
      <c r="D19" s="204">
        <f ca="1">D9+D10</f>
        <v>27067.119999999988</v>
      </c>
      <c r="E19" s="203">
        <f>'数据-取费表'!B31</f>
        <v>200</v>
      </c>
      <c r="F19" s="223"/>
      <c r="G19" s="1714"/>
    </row>
    <row r="20" spans="1:7" s="206" customFormat="1" ht="13.5" customHeight="1">
      <c r="A20" s="247" t="s">
        <v>1574</v>
      </c>
      <c r="B20" s="202" t="s">
        <v>1575</v>
      </c>
      <c r="C20" s="224">
        <f ca="1">ROUND((C5+C19)*F20,0)</f>
        <v>216537</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688383</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340835</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340835</v>
      </c>
      <c r="D24" s="230"/>
      <c r="E24" s="230"/>
      <c r="F24" s="231"/>
      <c r="G24" s="232" t="s">
        <v>1586</v>
      </c>
    </row>
    <row r="25" spans="1:7" s="206" customFormat="1" ht="24">
      <c r="A25" s="734" t="s">
        <v>1476</v>
      </c>
      <c r="B25" s="207" t="s">
        <v>1587</v>
      </c>
      <c r="C25" s="230">
        <f ca="1">ROUND(IF('数据-取费表'!B22&lt;=1,C20*F22*'数据-取费表'!B22/2,C20*(POWER((1+F22),'数据-取费表'!B22/2)-1)),0)</f>
        <v>6713</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1104339</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ROUND((C5+C19+C20)*F27,0)</f>
        <v>1104339</v>
      </c>
      <c r="D28" s="227"/>
      <c r="E28" s="228"/>
      <c r="F28" s="238"/>
      <c r="G28" s="239"/>
    </row>
    <row r="29" spans="1:7" s="206" customFormat="1" ht="13.5" customHeight="1">
      <c r="A29" s="734" t="s">
        <v>347</v>
      </c>
      <c r="B29" s="240" t="s">
        <v>1517</v>
      </c>
      <c r="C29" s="230">
        <f ca="1">ROUND(C21*F27,4)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13890387</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141533970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127215464</v>
      </c>
      <c r="D34" s="209"/>
      <c r="E34" s="212"/>
      <c r="F34" s="249"/>
      <c r="G34" s="211"/>
    </row>
    <row r="35" spans="1:7" ht="13.5" customHeight="1">
      <c r="A35" s="734" t="s">
        <v>351</v>
      </c>
      <c r="B35" s="207" t="s">
        <v>1527</v>
      </c>
      <c r="C35" s="212">
        <f ca="1">ROUND(C34*F35,0)</f>
        <v>6360773</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5413424</v>
      </c>
      <c r="D37" s="209">
        <f ca="1">D19</f>
        <v>27067.119999999988</v>
      </c>
      <c r="E37" s="241">
        <f>'数据-取费表'!B35</f>
        <v>200</v>
      </c>
      <c r="F37" s="251"/>
      <c r="G37" s="253"/>
    </row>
    <row r="38" spans="1:7" ht="13.5" customHeight="1">
      <c r="A38" s="734" t="s">
        <v>354</v>
      </c>
      <c r="B38" s="207" t="s">
        <v>1533</v>
      </c>
      <c r="C38" s="212">
        <f ca="1">ROUND(C34*F38,0)</f>
        <v>2544309</v>
      </c>
      <c r="D38" s="212"/>
      <c r="E38" s="212"/>
      <c r="F38" s="251">
        <f>'数据-取费表'!B36</f>
        <v>0.02</v>
      </c>
      <c r="G38" s="211" t="s">
        <v>1528</v>
      </c>
    </row>
    <row r="39" spans="1:7" s="206" customFormat="1" ht="13.5" customHeight="1">
      <c r="A39" s="247" t="s">
        <v>1534</v>
      </c>
      <c r="B39" s="202" t="s">
        <v>1535</v>
      </c>
      <c r="C39" s="224">
        <f ca="1">ROUND(C33*F20,0)</f>
        <v>2830679</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4475304</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4387553</v>
      </c>
      <c r="D42" s="230"/>
      <c r="E42" s="230"/>
      <c r="F42" s="231"/>
      <c r="G42" s="3385" t="s">
        <v>1591</v>
      </c>
    </row>
    <row r="43" spans="1:7" ht="13.5" customHeight="1">
      <c r="A43" s="734" t="s">
        <v>347</v>
      </c>
      <c r="B43" s="207" t="s">
        <v>1545</v>
      </c>
      <c r="C43" s="230">
        <f ca="1">ROUND(IF('数据-取费表'!B22&lt;=1,C39*F22*'数据-取费表'!B20/2,C39*(POWER((1+F22),'数据-取费表'!B20/2)-1)),0)</f>
        <v>87751</v>
      </c>
      <c r="D43" s="230"/>
      <c r="E43" s="230"/>
      <c r="F43" s="231"/>
      <c r="G43" s="3386"/>
    </row>
    <row r="44" spans="1:7" ht="13.5" customHeight="1">
      <c r="A44" s="734" t="s">
        <v>348</v>
      </c>
      <c r="B44" s="207" t="s">
        <v>1546</v>
      </c>
      <c r="C44" s="230">
        <f ca="1">ROUND(IF('数据-取费表'!B22&lt;=1,C40*F22*'数据-取费表'!B20/2,C40*(POWER((1+F22),'数据-取费表'!B20/2)-1)),4)</f>
        <v>5.9999999999999995E-4</v>
      </c>
      <c r="D44" s="230"/>
      <c r="E44" s="230"/>
      <c r="F44" s="231"/>
      <c r="G44" s="3387"/>
    </row>
    <row r="45" spans="1:7" s="206" customFormat="1" ht="13.5" customHeight="1">
      <c r="A45" s="247" t="s">
        <v>1547</v>
      </c>
      <c r="B45" s="236" t="s">
        <v>1513</v>
      </c>
      <c r="C45" s="237">
        <f ca="1">C46</f>
        <v>14436465</v>
      </c>
      <c r="D45" s="227">
        <f ca="1">C47</f>
        <v>2E-3</v>
      </c>
      <c r="E45" s="228" t="s">
        <v>1539</v>
      </c>
      <c r="F45" s="238">
        <f ca="1">F27</f>
        <v>0.1</v>
      </c>
      <c r="G45" s="239" t="s">
        <v>1548</v>
      </c>
    </row>
    <row r="46" spans="1:7" s="206" customFormat="1" ht="13.5" customHeight="1">
      <c r="A46" s="734" t="s">
        <v>346</v>
      </c>
      <c r="B46" s="240" t="s">
        <v>1549</v>
      </c>
      <c r="C46" s="241">
        <f ca="1">ROUND((C33+C39)*F27,0)</f>
        <v>14436465</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176686958</v>
      </c>
      <c r="D49" s="224"/>
      <c r="E49" s="224"/>
      <c r="F49" s="256"/>
      <c r="G49" s="226" t="s">
        <v>1554</v>
      </c>
    </row>
    <row r="50" spans="1:7" s="250" customFormat="1">
      <c r="A50" s="247" t="s">
        <v>1555</v>
      </c>
      <c r="B50" s="202" t="s">
        <v>1556</v>
      </c>
      <c r="C50" s="224"/>
      <c r="D50" s="224"/>
      <c r="E50" s="224"/>
      <c r="F50" s="256">
        <f>IF('数据-取费表'!B24=0,'数据-取费表'!N16,1)</f>
        <v>0.75</v>
      </c>
      <c r="G50" s="239"/>
    </row>
    <row r="51" spans="1:7" ht="16.5" customHeight="1">
      <c r="A51" s="247" t="s">
        <v>1558</v>
      </c>
      <c r="B51" s="202" t="s">
        <v>1593</v>
      </c>
      <c r="C51" s="224">
        <f ca="1">ROUND(C49*F50,0)</f>
        <v>132515219</v>
      </c>
      <c r="D51" s="224"/>
      <c r="E51" s="224"/>
      <c r="F51" s="256"/>
      <c r="G51" s="226" t="s">
        <v>1560</v>
      </c>
    </row>
    <row r="52" spans="1:7" s="200" customFormat="1" ht="16.5" thickBot="1">
      <c r="A52" s="257" t="s">
        <v>1561</v>
      </c>
      <c r="B52" s="258"/>
      <c r="C52" s="259">
        <f ca="1">C31+C51</f>
        <v>146405606</v>
      </c>
      <c r="D52" s="258"/>
      <c r="E52" s="258"/>
      <c r="F52" s="258"/>
      <c r="G52" s="260"/>
    </row>
    <row r="55" spans="1:7" ht="15">
      <c r="B55" s="262" t="s">
        <v>1562</v>
      </c>
      <c r="C55" s="263"/>
    </row>
    <row r="56" spans="1:7">
      <c r="B56" s="265" t="s">
        <v>802</v>
      </c>
      <c r="C56" s="267">
        <f ca="1">1-C57</f>
        <v>9.4999999999999973E-2</v>
      </c>
    </row>
    <row r="57" spans="1:7">
      <c r="B57" s="265" t="s">
        <v>803</v>
      </c>
      <c r="C57" s="266">
        <f ca="1">ROUND(C51/C52,3)</f>
        <v>0.90500000000000003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8</v>
      </c>
    </row>
    <row r="2" spans="1:33" ht="18" customHeight="1">
      <c r="A2" s="193" t="s">
        <v>1462</v>
      </c>
      <c r="B2" s="196">
        <f ca="1">C32</f>
        <v>0</v>
      </c>
      <c r="C2" s="268" t="s">
        <v>1595</v>
      </c>
      <c r="D2" s="268"/>
      <c r="E2" s="2568"/>
      <c r="F2" s="2568"/>
      <c r="G2" s="2568"/>
      <c r="H2" s="2568"/>
      <c r="I2" s="2568"/>
      <c r="J2" s="2568"/>
      <c r="K2" s="2568"/>
    </row>
    <row r="3" spans="1:33" ht="18" customHeight="1" thickBot="1">
      <c r="A3" s="195" t="s">
        <v>1464</v>
      </c>
      <c r="B3" s="196">
        <f ca="1">ROUND(B2*10000/IF(C1="",'数据-汇总表'!E3,INDIRECT("'数据-取费表'!K"&amp;$K$1)),0)</f>
        <v>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27067.119999999988</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27067.119999999988</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541</v>
      </c>
      <c r="D20" s="796">
        <f ca="1">IF(C1="",'数据-汇总表'!E6,IF(INDIRECT("'数据-取费表'!c"&amp;$K$1)="住宅",INDIRECT("'数据-取费表'!s"&amp;$K$1),INDIRECT("'数据-取费表'!k"&amp;$K$1)+INDIRECT("'数据-取费表'!s"&amp;$K$1)))</f>
        <v>27067.119999999988</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7" zoomScaleNormal="80" zoomScaleSheetLayoutView="100" workbookViewId="0">
      <selection activeCell="K46" sqref="K46"/>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27067.119999999988</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37027</v>
      </c>
      <c r="C2" s="1846" t="s">
        <v>1935</v>
      </c>
      <c r="D2" s="162" t="s">
        <v>1936</v>
      </c>
      <c r="E2" s="3121" t="s">
        <v>673</v>
      </c>
      <c r="F2" s="162" t="s">
        <v>1937</v>
      </c>
      <c r="G2" s="163" t="str">
        <f>IF(E2="商业",项目基本情况!B37,IF(E2="办公",项目基本情况!C37,IF(E2="住宅",项目基本情况!D37,IF(E2="工业",项目基本情况!E37,项目基本情况!F37))))</f>
        <v>三级</v>
      </c>
      <c r="H2" s="162" t="s">
        <v>1938</v>
      </c>
      <c r="I2" s="163" t="str">
        <f>IF(E2="商业",项目基本情况!B38,IF(E2="办公",项目基本情况!C38,IF(E2="住宅",项目基本情况!D38,IF(E2="工业",项目基本情况!E38,项目基本情况!F38))))</f>
        <v>Ⅲ—11</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1.5019</v>
      </c>
      <c r="T2" s="3064">
        <f t="shared" ref="T2:T16" si="0">ROUND($C$5*$C$22*$C$23*$C$24*S2*$C$28,0)</f>
        <v>29073</v>
      </c>
      <c r="U2" s="1130">
        <f>抵押物清单!H75</f>
        <v>4769.6500000000024</v>
      </c>
      <c r="V2" s="3064">
        <f>ROUND(T2*U2/10000,0)</f>
        <v>13867</v>
      </c>
      <c r="W2" s="1133"/>
      <c r="X2" s="1133"/>
      <c r="Y2" s="1133"/>
      <c r="Z2" s="1133"/>
      <c r="AA2" s="1133"/>
      <c r="AB2" s="1133"/>
      <c r="AC2" s="1134"/>
      <c r="AD2" s="1135"/>
      <c r="AE2" s="1135"/>
      <c r="AF2" s="1135"/>
      <c r="AG2" s="1135"/>
      <c r="AH2" s="1135"/>
      <c r="AI2" s="1135"/>
      <c r="AJ2" s="1136"/>
    </row>
    <row r="3" spans="1:36" ht="15.75">
      <c r="A3" s="195" t="s">
        <v>1940</v>
      </c>
      <c r="B3" s="196">
        <f>ROUND(B2*10000/D1,0)</f>
        <v>13680</v>
      </c>
      <c r="C3" s="1846" t="s">
        <v>1941</v>
      </c>
      <c r="D3" s="162" t="s">
        <v>1942</v>
      </c>
      <c r="E3" s="3119" t="s">
        <v>2439</v>
      </c>
      <c r="F3" s="1848" t="s">
        <v>3674</v>
      </c>
      <c r="G3" s="708">
        <f>IF(F3="宗地容积率",'数据-汇总表'!I4,IF(F3="估价对象容积率",'数据-汇总表'!I6,'数据-汇总表'!I7))</f>
        <v>2.5</v>
      </c>
      <c r="H3" s="162" t="s">
        <v>1943</v>
      </c>
      <c r="I3" s="729"/>
      <c r="J3" s="1842" t="s">
        <v>1944</v>
      </c>
      <c r="K3" s="1056"/>
      <c r="L3" s="1847" t="s">
        <v>1945</v>
      </c>
      <c r="M3" s="811">
        <f>SUMPRODUCT((区片价!B30:B54=I2)*(区片价!C3:G3=E2)*(区片价!C30:G54))</f>
        <v>24740</v>
      </c>
      <c r="N3" s="813">
        <f>SUMPRODUCT((因素修正幅度!B30:B54=I2)*(因素修正幅度!C3:G3=E2)*(因素修正幅度!C30:G54))</f>
        <v>7.6999999999999999E-2</v>
      </c>
      <c r="O3" s="1056"/>
      <c r="P3" s="1056"/>
      <c r="Q3" s="1056"/>
      <c r="R3" s="1129">
        <v>2</v>
      </c>
      <c r="S3" s="3064">
        <f>ROUND(SUMPRODUCT((B106:B110=R3)*(C105:N105=G2)*(C106:N110)),4)</f>
        <v>1.1838</v>
      </c>
      <c r="T3" s="3064">
        <f t="shared" si="0"/>
        <v>22916</v>
      </c>
      <c r="U3" s="1130">
        <f>抵押物清单!H76</f>
        <v>7998.6000000000095</v>
      </c>
      <c r="V3" s="3064">
        <f t="shared" ref="V3:V16" si="1">ROUND(T3*U3/10000,0)</f>
        <v>18330</v>
      </c>
      <c r="W3" s="1133"/>
      <c r="X3" s="1133"/>
      <c r="Y3" s="1133"/>
      <c r="Z3" s="1133"/>
      <c r="AA3" s="1133"/>
      <c r="AB3" s="1133"/>
      <c r="AC3" s="1134"/>
      <c r="AD3" s="1135"/>
      <c r="AE3" s="1135"/>
      <c r="AF3" s="1135"/>
      <c r="AG3" s="1135"/>
      <c r="AH3" s="1135"/>
      <c r="AI3" s="1135"/>
      <c r="AJ3" s="1136"/>
    </row>
    <row r="4" spans="1:36" ht="15.75">
      <c r="A4" s="3395"/>
      <c r="B4" s="3396"/>
      <c r="C4" s="3396"/>
      <c r="D4" s="3397"/>
      <c r="E4" s="3397"/>
      <c r="F4" s="3397"/>
      <c r="G4" s="3397"/>
      <c r="H4" s="3397"/>
      <c r="I4" s="3397"/>
      <c r="J4" s="3398"/>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1.0004999999999999</v>
      </c>
      <c r="T4" s="3064">
        <f t="shared" si="0"/>
        <v>19367</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24724</v>
      </c>
      <c r="D5" s="1252">
        <f>ROUND(C6*C17+C20,0)</f>
        <v>24724</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0.88239999999999996</v>
      </c>
      <c r="T5" s="3064">
        <f t="shared" si="0"/>
        <v>17081</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24740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0.84799999999999998</v>
      </c>
      <c r="T6" s="3064">
        <f t="shared" si="0"/>
        <v>16415</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三级</v>
      </c>
      <c r="Y7" s="1131" t="s">
        <v>1956</v>
      </c>
      <c r="Z7" s="1132">
        <f>G3</f>
        <v>2.5</v>
      </c>
      <c r="AA7" s="1133"/>
      <c r="AB7" s="1133"/>
      <c r="AC7" s="1134"/>
      <c r="AD7" s="1135"/>
      <c r="AE7" s="1135"/>
      <c r="AF7" s="1135"/>
      <c r="AG7" s="1135"/>
      <c r="AH7" s="1135"/>
      <c r="AI7" s="1135"/>
      <c r="AJ7" s="1136"/>
    </row>
    <row r="8" spans="1:36" ht="25.5">
      <c r="A8" s="3010"/>
      <c r="B8" s="162" t="s">
        <v>1957</v>
      </c>
      <c r="C8" s="1870" t="s">
        <v>3675</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392" t="s">
        <v>1960</v>
      </c>
      <c r="X8" s="3393"/>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394"/>
      <c r="X9" s="3065" t="s">
        <v>3268</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394"/>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3238</v>
      </c>
      <c r="B12" s="3014" t="s">
        <v>3239</v>
      </c>
      <c r="C12" s="3015"/>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3242</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3244</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3245</v>
      </c>
      <c r="B17" s="3028" t="s">
        <v>3246</v>
      </c>
      <c r="C17" s="3037">
        <f>ROUND(IF(OR(E2="工业",E2="公共服务"),1,IF(AND(E18=0,E19=0),1,IF(AND(E18=J24,E19=G19),0.8,IF(E19=0,1+E17*(-0.2),1+E17*G17*(-0.2))))),4)</f>
        <v>1</v>
      </c>
      <c r="D17" s="3029" t="s">
        <v>3247</v>
      </c>
      <c r="E17" s="3037">
        <f>ROUND(G18/I18,2)</f>
        <v>0</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3248</v>
      </c>
      <c r="E18" s="2357"/>
      <c r="F18" s="3031" t="s">
        <v>3251</v>
      </c>
      <c r="G18" s="3035">
        <f>ROUND(1-(1/(POWER(1+G24,E18))),4)</f>
        <v>0</v>
      </c>
      <c r="H18" s="3031" t="s">
        <v>3253</v>
      </c>
      <c r="I18" s="3035">
        <f>ROUND(1-(1/(POWER(1+G24,J24))),4)</f>
        <v>0.88249999999999995</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3249</v>
      </c>
      <c r="E19" s="3044"/>
      <c r="F19" s="3045" t="s">
        <v>3252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399" t="s">
        <v>3254</v>
      </c>
      <c r="B20" s="159" t="s">
        <v>1994</v>
      </c>
      <c r="C20" s="3032">
        <f>ROUND(IF(F21="与级别开发程度一致",0,(G21-E21)/C21),0)</f>
        <v>-16</v>
      </c>
      <c r="D20" s="3047" t="s">
        <v>1998</v>
      </c>
      <c r="E20" s="3048"/>
      <c r="F20" s="3405" t="s">
        <v>1995</v>
      </c>
      <c r="G20" s="3406"/>
      <c r="H20" s="3033" t="s">
        <v>3676</v>
      </c>
      <c r="I20" s="3033" t="s">
        <v>3677</v>
      </c>
      <c r="J20" s="3034" t="s">
        <v>3678</v>
      </c>
      <c r="K20" s="1889" t="s">
        <v>3679</v>
      </c>
      <c r="L20" s="1889" t="s">
        <v>3680</v>
      </c>
      <c r="M20" s="1889" t="s">
        <v>3682</v>
      </c>
      <c r="N20" s="1889"/>
      <c r="O20" s="1890" t="s">
        <v>3681</v>
      </c>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400"/>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c r="G21" s="1995">
        <f>SUM(H21:O21)</f>
        <v>275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50</v>
      </c>
      <c r="N21" s="2003">
        <f>SUMPRODUCT((七通一平=N20)*(修正!B1:M1=G2)*(修正!B8:M16))</f>
        <v>0</v>
      </c>
      <c r="O21" s="2005">
        <f>SUMPRODUCT((七通一平=O20)*(修正!B1:M1=G2)*(修正!B8:M16))</f>
        <v>15</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1896" t="s">
        <v>2002</v>
      </c>
      <c r="E23" s="717">
        <v>44197</v>
      </c>
      <c r="F23" s="1896" t="s">
        <v>2003</v>
      </c>
      <c r="G23" s="718">
        <f>'数据-取费表'!B2</f>
        <v>45748</v>
      </c>
      <c r="H23" s="3049" t="s">
        <v>3256</v>
      </c>
      <c r="I23" s="3050" t="str">
        <f>IF(H23="季度增幅（自定义）",SUMIF(N25:N28,E2,O25:O28),"")</f>
        <v/>
      </c>
      <c r="J23" s="3142" t="s">
        <v>3255</v>
      </c>
      <c r="K23" s="1061"/>
      <c r="L23" s="1897" t="s">
        <v>2004</v>
      </c>
      <c r="M23" s="1241">
        <f>ROUND(SUMIF(地价!B2:G2,E2,地价!B16:G16),0)</f>
        <v>350</v>
      </c>
      <c r="N23" s="1898" t="s">
        <v>2005</v>
      </c>
      <c r="O23" s="719">
        <f>ROUNDDOWN(DATEDIF(E23,G23,"M")/3,0)</f>
        <v>17</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0.73160000000000003</v>
      </c>
      <c r="D24" s="1902" t="s">
        <v>2007</v>
      </c>
      <c r="E24" s="1248">
        <f>存贷款利率!E27/100</f>
        <v>4.3499999999999997E-2</v>
      </c>
      <c r="F24" s="1902" t="s">
        <v>1999</v>
      </c>
      <c r="G24" s="724">
        <f>SUMIF(M30:Q30,E2,M33:Q33)</f>
        <v>5.5E-2</v>
      </c>
      <c r="H24" s="1902" t="s">
        <v>2008</v>
      </c>
      <c r="I24" s="725">
        <f>SUMIF('数据-取费表'!C6:C15,E2,'数据-取费表'!F6:F15)/COUNTIF('数据-取费表'!C6:C15,E2)</f>
        <v>19.38</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3683</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3257</v>
      </c>
      <c r="D26" s="1263">
        <f>IF(E26=G26,F26,IF(G3&lt;10,ROUND(F26+(H26-F26)*(G3-E26)/(G26-E26),4),"——"))</f>
        <v>1</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3258</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1.0350999999999999</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37027</v>
      </c>
      <c r="D30" s="1925"/>
      <c r="E30" s="1842"/>
      <c r="F30" s="1926"/>
      <c r="G30" s="1842"/>
      <c r="H30" s="1842"/>
      <c r="I30" s="1842"/>
      <c r="J30" s="1927"/>
      <c r="K30" s="1056"/>
      <c r="L30" s="3056" t="s">
        <v>1936</v>
      </c>
      <c r="M30" s="3057" t="s">
        <v>1990</v>
      </c>
      <c r="N30" s="3057" t="s">
        <v>1991</v>
      </c>
      <c r="O30" s="3057" t="s">
        <v>1992</v>
      </c>
      <c r="P30" s="3057" t="s">
        <v>1993</v>
      </c>
      <c r="Q30" s="3060"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1208</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0</v>
      </c>
      <c r="D33" s="1940">
        <f>U2+U3</f>
        <v>12768.250000000011</v>
      </c>
      <c r="E33" s="727">
        <f>ROUND(C33*D33/10000,0)</f>
        <v>0</v>
      </c>
      <c r="F33" s="3051" t="s">
        <v>3260</v>
      </c>
      <c r="G33" s="1941"/>
      <c r="H33" s="1941"/>
      <c r="I33" s="1941"/>
      <c r="J33" s="1942"/>
      <c r="K33" s="1056"/>
      <c r="L33" s="3054" t="s">
        <v>3263</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4" t="s">
        <v>3264</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3265</v>
      </c>
      <c r="L36" s="3143">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03"/>
      <c r="B37" s="1955" t="s">
        <v>2036</v>
      </c>
      <c r="C37" s="167">
        <f>ROUND(D5*C22*C23*C24*C28*F37,0)</f>
        <v>11615</v>
      </c>
      <c r="D37" s="1940"/>
      <c r="E37" s="163">
        <f>ROUND(C37*D37/10000,0)</f>
        <v>0</v>
      </c>
      <c r="F37" s="163">
        <f>SUMIF(修正!A57:A68,G2,修正!B57:B68)</f>
        <v>0.6</v>
      </c>
      <c r="G37" s="163">
        <f>ROUND(IF(E2="工业",C37*$M$42,C37*$M$41),0)</f>
        <v>2904</v>
      </c>
      <c r="H37" s="163">
        <f>D37</f>
        <v>0</v>
      </c>
      <c r="I37" s="163">
        <f>ROUND(G37*H37/10000,0)</f>
        <v>0</v>
      </c>
      <c r="J37" s="2755"/>
      <c r="K37" s="3062" t="s">
        <v>3266</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04"/>
      <c r="B38" s="1884" t="s">
        <v>2037</v>
      </c>
      <c r="C38" s="167">
        <f>ROUND(D5*C22*C23*C24*C28*F38,0)</f>
        <v>5807</v>
      </c>
      <c r="D38" s="1940"/>
      <c r="E38" s="163">
        <f t="shared" ref="E38:E42" si="4">ROUND(C38*D38/10000,0)</f>
        <v>0</v>
      </c>
      <c r="F38" s="163">
        <f>SUMIF(修正!A57:A68,G2,修正!C57:C68)</f>
        <v>0.3</v>
      </c>
      <c r="G38" s="163">
        <f>ROUND(IF(E2="工业",C38*$M$42,C38*$M$41),0)</f>
        <v>1452</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04"/>
      <c r="B39" s="1884" t="s">
        <v>3259</v>
      </c>
      <c r="C39" s="167">
        <f>ROUND(D5*C22*C23*C24*C28*F39,0)</f>
        <v>4839</v>
      </c>
      <c r="D39" s="1940"/>
      <c r="E39" s="163">
        <f t="shared" si="4"/>
        <v>0</v>
      </c>
      <c r="F39" s="163">
        <f>SUMIF(修正!A57:A68,G2,修正!D57:D68)</f>
        <v>0.25</v>
      </c>
      <c r="G39" s="163">
        <f>ROUND(IF(E2="工业",C39*$M$42,C39*$M$41),0)</f>
        <v>1210</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4839</v>
      </c>
      <c r="D40" s="1940"/>
      <c r="E40" s="163">
        <f t="shared" si="4"/>
        <v>0</v>
      </c>
      <c r="F40" s="167">
        <f>SUMIF(修正!A57:A68,G2,修正!E57:E68)</f>
        <v>0.25</v>
      </c>
      <c r="G40" s="163">
        <f>ROUND(IF(E2="工业",C40*$M$42,C40*$M$41),0)</f>
        <v>1210</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5630</v>
      </c>
      <c r="D41" s="1940"/>
      <c r="E41" s="163">
        <f t="shared" si="4"/>
        <v>0</v>
      </c>
      <c r="F41" s="167">
        <f>SUMIF(修正!A57:A68,G2,修正!F57:F68)</f>
        <v>0.25</v>
      </c>
      <c r="G41" s="163">
        <f>ROUND(IF(E2="工业",C41*$M$42,C41*$M$41),0)</f>
        <v>1408</v>
      </c>
      <c r="H41" s="163">
        <f t="shared" si="5"/>
        <v>0</v>
      </c>
      <c r="I41" s="163">
        <f t="shared" si="6"/>
        <v>0</v>
      </c>
      <c r="J41" s="939"/>
      <c r="L41" s="3063" t="s">
        <v>3267</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3378</v>
      </c>
      <c r="D42" s="1945">
        <f>抵押物清单!C651</f>
        <v>14298.869999999975</v>
      </c>
      <c r="E42" s="179">
        <f t="shared" si="4"/>
        <v>4830</v>
      </c>
      <c r="F42" s="723">
        <f>SUMIF(修正!A57:A68,G2,修正!G57:G68)</f>
        <v>0.15</v>
      </c>
      <c r="G42" s="179">
        <f>ROUND(IF(E2="工业",C42*$M$42,C42*$M$41),0)</f>
        <v>845</v>
      </c>
      <c r="H42" s="179">
        <f t="shared" si="5"/>
        <v>14298.869999999975</v>
      </c>
      <c r="I42" s="179">
        <f t="shared" si="6"/>
        <v>1208</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0.85109999999999997</v>
      </c>
      <c r="D44" s="163" t="s">
        <v>1999</v>
      </c>
      <c r="E44" s="1991">
        <f>G24</f>
        <v>5.5E-2</v>
      </c>
      <c r="F44" s="163" t="s">
        <v>2008</v>
      </c>
      <c r="G44" s="175">
        <f>项目基本情况!F15</f>
        <v>29.38</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K46" s="1056">
        <f>E42/B2</f>
        <v>0.13044535069003699</v>
      </c>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1.0350999999999999</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t="s">
        <v>3684</v>
      </c>
      <c r="D50" s="1002">
        <f t="shared" ref="D50:D58" si="7">SUMIF($J$49:$N$49,C50,J50:N50)</f>
        <v>1.15E-2</v>
      </c>
      <c r="E50" s="702">
        <f>ROUND(SUM(D50:D58),4)</f>
        <v>3.5099999999999999E-2</v>
      </c>
      <c r="F50" s="1675">
        <f>IF(E2="商业",SUMIF(L1:L12,G2,N1:N12),"——")</f>
        <v>7.6999999999999999E-2</v>
      </c>
      <c r="G50" s="1000">
        <f>H50</f>
        <v>1.15E-2</v>
      </c>
      <c r="H50" s="1003">
        <f t="shared" ref="H50:H58" si="8">IFERROR(ROUNDDOWN($F$50*I50/2,4),"——")</f>
        <v>1.15E-2</v>
      </c>
      <c r="I50" s="3069">
        <v>0.3</v>
      </c>
      <c r="J50" s="1001">
        <f t="shared" ref="J50:J58" si="9">K50+$G50</f>
        <v>2.3E-2</v>
      </c>
      <c r="K50" s="1001">
        <f t="shared" ref="K50:K58" si="10">$L50+$G50</f>
        <v>1.15E-2</v>
      </c>
      <c r="L50" s="1001">
        <v>0</v>
      </c>
      <c r="M50" s="1001">
        <f t="shared" ref="M50:N58" si="11">L50-$G50</f>
        <v>-1.15E-2</v>
      </c>
      <c r="N50" s="1001">
        <f t="shared" si="11"/>
        <v>-2.3E-2</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t="s">
        <v>3684</v>
      </c>
      <c r="D51" s="1002">
        <f t="shared" si="7"/>
        <v>8.3999999999999995E-3</v>
      </c>
      <c r="E51" s="703"/>
      <c r="F51" s="1675"/>
      <c r="G51" s="1000">
        <f t="shared" ref="G51:G58" si="12">H51</f>
        <v>8.3999999999999995E-3</v>
      </c>
      <c r="H51" s="1003">
        <f t="shared" si="8"/>
        <v>8.3999999999999995E-3</v>
      </c>
      <c r="I51" s="3069">
        <v>0.22</v>
      </c>
      <c r="J51" s="1001">
        <f t="shared" si="9"/>
        <v>1.6799999999999999E-2</v>
      </c>
      <c r="K51" s="1001">
        <f t="shared" si="10"/>
        <v>8.3999999999999995E-3</v>
      </c>
      <c r="L51" s="1001">
        <v>0</v>
      </c>
      <c r="M51" s="1001">
        <f t="shared" si="11"/>
        <v>-8.3999999999999995E-3</v>
      </c>
      <c r="N51" s="1001">
        <f t="shared" si="11"/>
        <v>-1.6799999999999999E-2</v>
      </c>
      <c r="AA51" s="1057"/>
      <c r="AB51" s="1057"/>
      <c r="AC51" s="1057"/>
      <c r="AD51" s="1057"/>
      <c r="AE51" s="1057"/>
      <c r="AF51" s="1057"/>
      <c r="AG51" s="1057"/>
      <c r="AH51" s="1057"/>
      <c r="AI51" s="1057"/>
      <c r="AJ51" s="1057"/>
      <c r="AK51" s="1057"/>
    </row>
    <row r="52" spans="1:37" s="1056" customFormat="1" ht="36">
      <c r="A52" s="3071" t="s">
        <v>3269</v>
      </c>
      <c r="B52" s="1262">
        <f>估价对象房地状况!C19</f>
        <v>0</v>
      </c>
      <c r="C52" s="1887" t="s">
        <v>3684</v>
      </c>
      <c r="D52" s="1002">
        <f t="shared" si="7"/>
        <v>4.5999999999999999E-3</v>
      </c>
      <c r="E52" s="703"/>
      <c r="F52" s="1675"/>
      <c r="G52" s="1000">
        <f t="shared" si="12"/>
        <v>4.5999999999999999E-3</v>
      </c>
      <c r="H52" s="1003">
        <f t="shared" si="8"/>
        <v>4.5999999999999999E-3</v>
      </c>
      <c r="I52" s="3069">
        <v>0.12</v>
      </c>
      <c r="J52" s="1001">
        <f t="shared" si="9"/>
        <v>9.1999999999999998E-3</v>
      </c>
      <c r="K52" s="1001">
        <f t="shared" si="10"/>
        <v>4.5999999999999999E-3</v>
      </c>
      <c r="L52" s="1001">
        <v>0</v>
      </c>
      <c r="M52" s="1001">
        <f t="shared" si="11"/>
        <v>-4.5999999999999999E-3</v>
      </c>
      <c r="N52" s="1001">
        <f t="shared" si="11"/>
        <v>-9.1999999999999998E-3</v>
      </c>
      <c r="AA52" s="1057"/>
      <c r="AB52" s="1057"/>
      <c r="AC52" s="1057"/>
      <c r="AD52" s="1057"/>
      <c r="AE52" s="1057"/>
      <c r="AF52" s="1057"/>
      <c r="AG52" s="1057"/>
      <c r="AH52" s="1057"/>
      <c r="AI52" s="1057"/>
      <c r="AJ52" s="1057"/>
      <c r="AK52" s="1057"/>
    </row>
    <row r="53" spans="1:37" s="1056" customFormat="1" ht="36.75">
      <c r="A53" s="1970" t="s">
        <v>2054</v>
      </c>
      <c r="B53" s="1974" t="s">
        <v>2055</v>
      </c>
      <c r="C53" s="1887" t="s">
        <v>3684</v>
      </c>
      <c r="D53" s="1002">
        <f t="shared" si="7"/>
        <v>1.9E-3</v>
      </c>
      <c r="E53" s="703"/>
      <c r="F53" s="1675"/>
      <c r="G53" s="1000">
        <f t="shared" si="12"/>
        <v>1.9E-3</v>
      </c>
      <c r="H53" s="1003">
        <f t="shared" si="8"/>
        <v>1.9E-3</v>
      </c>
      <c r="I53" s="3069">
        <v>0.05</v>
      </c>
      <c r="J53" s="1001">
        <f t="shared" si="9"/>
        <v>3.8E-3</v>
      </c>
      <c r="K53" s="1001">
        <f t="shared" si="10"/>
        <v>1.9E-3</v>
      </c>
      <c r="L53" s="1001">
        <v>0</v>
      </c>
      <c r="M53" s="1001">
        <f t="shared" si="11"/>
        <v>-1.9E-3</v>
      </c>
      <c r="N53" s="1001">
        <f t="shared" si="11"/>
        <v>-3.8E-3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3685</v>
      </c>
      <c r="D54" s="1002">
        <f t="shared" si="7"/>
        <v>-3.0000000000000001E-3</v>
      </c>
      <c r="E54" s="703"/>
      <c r="F54" s="1675"/>
      <c r="G54" s="1000">
        <f t="shared" si="12"/>
        <v>3.0000000000000001E-3</v>
      </c>
      <c r="H54" s="1003">
        <f t="shared" si="8"/>
        <v>3.0000000000000001E-3</v>
      </c>
      <c r="I54" s="3069">
        <v>0.08</v>
      </c>
      <c r="J54" s="1001">
        <f t="shared" si="9"/>
        <v>6.0000000000000001E-3</v>
      </c>
      <c r="K54" s="1001">
        <f t="shared" si="10"/>
        <v>3.0000000000000001E-3</v>
      </c>
      <c r="L54" s="1001">
        <v>0</v>
      </c>
      <c r="M54" s="1001">
        <f t="shared" si="11"/>
        <v>-3.0000000000000001E-3</v>
      </c>
      <c r="N54" s="1001">
        <f t="shared" si="11"/>
        <v>-6.0000000000000001E-3</v>
      </c>
      <c r="AA54" s="1057"/>
      <c r="AB54" s="1057"/>
      <c r="AC54" s="1057"/>
      <c r="AD54" s="1057"/>
      <c r="AE54" s="1057"/>
      <c r="AF54" s="1057"/>
      <c r="AG54" s="1057"/>
      <c r="AH54" s="1057"/>
      <c r="AI54" s="1057"/>
      <c r="AJ54" s="1057"/>
      <c r="AK54" s="1057"/>
    </row>
    <row r="55" spans="1:37" s="1056" customFormat="1" ht="24">
      <c r="A55" s="1970" t="s">
        <v>2057</v>
      </c>
      <c r="B55" s="1975" t="s">
        <v>2058</v>
      </c>
      <c r="C55" s="1887" t="s">
        <v>3684</v>
      </c>
      <c r="D55" s="1002">
        <f t="shared" si="7"/>
        <v>1.9E-3</v>
      </c>
      <c r="E55" s="703"/>
      <c r="F55" s="1675"/>
      <c r="G55" s="1000">
        <f t="shared" si="12"/>
        <v>1.9E-3</v>
      </c>
      <c r="H55" s="1003">
        <f t="shared" si="8"/>
        <v>1.9E-3</v>
      </c>
      <c r="I55" s="3069">
        <v>0.05</v>
      </c>
      <c r="J55" s="1001">
        <f t="shared" si="9"/>
        <v>3.8E-3</v>
      </c>
      <c r="K55" s="1001">
        <f t="shared" si="10"/>
        <v>1.9E-3</v>
      </c>
      <c r="L55" s="1001">
        <v>0</v>
      </c>
      <c r="M55" s="1001">
        <f t="shared" si="11"/>
        <v>-1.9E-3</v>
      </c>
      <c r="N55" s="1001">
        <f t="shared" si="11"/>
        <v>-3.8E-3</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t="s">
        <v>3684</v>
      </c>
      <c r="D56" s="1002">
        <f t="shared" si="7"/>
        <v>1.9E-3</v>
      </c>
      <c r="E56" s="703"/>
      <c r="F56" s="1675"/>
      <c r="G56" s="1000">
        <f t="shared" si="12"/>
        <v>1.9E-3</v>
      </c>
      <c r="H56" s="1003">
        <f t="shared" si="8"/>
        <v>1.9E-3</v>
      </c>
      <c r="I56" s="3069">
        <v>0.05</v>
      </c>
      <c r="J56" s="1001">
        <f t="shared" si="9"/>
        <v>3.8E-3</v>
      </c>
      <c r="K56" s="1001">
        <f t="shared" si="10"/>
        <v>1.9E-3</v>
      </c>
      <c r="L56" s="1001">
        <v>0</v>
      </c>
      <c r="M56" s="1001">
        <f t="shared" si="11"/>
        <v>-1.9E-3</v>
      </c>
      <c r="N56" s="1001">
        <f t="shared" si="11"/>
        <v>-3.8E-3</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t="s">
        <v>3686</v>
      </c>
      <c r="D57" s="1002">
        <f t="shared" si="7"/>
        <v>6.0000000000000001E-3</v>
      </c>
      <c r="E57" s="703"/>
      <c r="F57" s="1675"/>
      <c r="G57" s="1000">
        <f t="shared" si="12"/>
        <v>3.0000000000000001E-3</v>
      </c>
      <c r="H57" s="1003">
        <f t="shared" si="8"/>
        <v>3.0000000000000001E-3</v>
      </c>
      <c r="I57" s="3069">
        <v>0.08</v>
      </c>
      <c r="J57" s="1001">
        <f t="shared" si="9"/>
        <v>6.0000000000000001E-3</v>
      </c>
      <c r="K57" s="1001">
        <f t="shared" si="10"/>
        <v>3.0000000000000001E-3</v>
      </c>
      <c r="L57" s="1001">
        <v>0</v>
      </c>
      <c r="M57" s="1001">
        <f t="shared" si="11"/>
        <v>-3.0000000000000001E-3</v>
      </c>
      <c r="N57" s="1001">
        <f t="shared" si="11"/>
        <v>-6.0000000000000001E-3</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t="s">
        <v>3684</v>
      </c>
      <c r="D58" s="1002">
        <f t="shared" si="7"/>
        <v>1.9E-3</v>
      </c>
      <c r="E58" s="704"/>
      <c r="F58" s="1675"/>
      <c r="G58" s="1000">
        <f t="shared" si="12"/>
        <v>1.9E-3</v>
      </c>
      <c r="H58" s="1003">
        <f t="shared" si="8"/>
        <v>1.9E-3</v>
      </c>
      <c r="I58" s="3070">
        <v>0.05</v>
      </c>
      <c r="J58" s="1001">
        <f t="shared" si="9"/>
        <v>3.8E-3</v>
      </c>
      <c r="K58" s="1001">
        <f t="shared" si="10"/>
        <v>1.9E-3</v>
      </c>
      <c r="L58" s="1001">
        <v>0</v>
      </c>
      <c r="M58" s="1001">
        <f t="shared" si="11"/>
        <v>-1.9E-3</v>
      </c>
      <c r="N58" s="1001">
        <f t="shared" si="11"/>
        <v>-3.8E-3</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3">SUMIF($J$60:$N$60,C61,J61:N61)</f>
        <v>0</v>
      </c>
      <c r="E61" s="702">
        <f>ROUND(SUM(D61:D69),4)</f>
        <v>0</v>
      </c>
      <c r="F61" s="1675" t="str">
        <f>IF(E2="办公",SUMIF(L1:L12,G2,N1:N12),"——")</f>
        <v>——</v>
      </c>
      <c r="G61" s="1000"/>
      <c r="H61" s="1003" t="str">
        <f t="shared" ref="H61:H69" si="14">IFERROR(ROUNDDOWN($F$61*I61/2,4),"——")</f>
        <v>——</v>
      </c>
      <c r="I61" s="3069">
        <v>0.25</v>
      </c>
      <c r="J61" s="1001">
        <f t="shared" ref="J61:J69" si="15">K61+$G61</f>
        <v>0</v>
      </c>
      <c r="K61" s="1001">
        <f t="shared" ref="K61:K69" si="16">$L61+$G61</f>
        <v>0</v>
      </c>
      <c r="L61" s="1001">
        <v>0</v>
      </c>
      <c r="M61" s="1001">
        <f t="shared" ref="M61:N69" si="17">L61-$G61</f>
        <v>0</v>
      </c>
      <c r="N61" s="1001">
        <f t="shared" si="17"/>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3"/>
        <v>0</v>
      </c>
      <c r="E62" s="703"/>
      <c r="F62" s="1675"/>
      <c r="G62" s="1000"/>
      <c r="H62" s="1003" t="str">
        <f t="shared" si="14"/>
        <v>——</v>
      </c>
      <c r="I62" s="3069">
        <v>0.26</v>
      </c>
      <c r="J62" s="1001">
        <f t="shared" si="15"/>
        <v>0</v>
      </c>
      <c r="K62" s="1001">
        <f t="shared" si="16"/>
        <v>0</v>
      </c>
      <c r="L62" s="1001">
        <v>0</v>
      </c>
      <c r="M62" s="1001">
        <f t="shared" si="17"/>
        <v>0</v>
      </c>
      <c r="N62" s="1001">
        <f t="shared" si="17"/>
        <v>0</v>
      </c>
      <c r="AA62" s="1057"/>
      <c r="AB62" s="1057"/>
      <c r="AC62" s="1057"/>
      <c r="AD62" s="1057"/>
      <c r="AE62" s="1057"/>
      <c r="AF62" s="1057"/>
      <c r="AG62" s="1057"/>
      <c r="AH62" s="1057"/>
      <c r="AI62" s="1057"/>
      <c r="AJ62" s="1057"/>
      <c r="AK62" s="1057"/>
    </row>
    <row r="63" spans="1:37" s="1056" customFormat="1" ht="36">
      <c r="A63" s="3071" t="s">
        <v>3269</v>
      </c>
      <c r="B63" s="1262">
        <f>估价对象房地状况!C19</f>
        <v>0</v>
      </c>
      <c r="C63" s="1887"/>
      <c r="D63" s="1002">
        <f t="shared" si="13"/>
        <v>0</v>
      </c>
      <c r="E63" s="703"/>
      <c r="F63" s="1675"/>
      <c r="G63" s="1000"/>
      <c r="H63" s="1003" t="str">
        <f t="shared" si="14"/>
        <v>——</v>
      </c>
      <c r="I63" s="3069">
        <v>0.11</v>
      </c>
      <c r="J63" s="1001">
        <f t="shared" si="15"/>
        <v>0</v>
      </c>
      <c r="K63" s="1001">
        <f t="shared" si="16"/>
        <v>0</v>
      </c>
      <c r="L63" s="1001">
        <v>0</v>
      </c>
      <c r="M63" s="1001">
        <f t="shared" si="17"/>
        <v>0</v>
      </c>
      <c r="N63" s="1001">
        <f t="shared" si="17"/>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3"/>
        <v>0</v>
      </c>
      <c r="E64" s="703"/>
      <c r="F64" s="1675"/>
      <c r="G64" s="1000"/>
      <c r="H64" s="1003" t="str">
        <f t="shared" si="14"/>
        <v>——</v>
      </c>
      <c r="I64" s="3069">
        <v>0.05</v>
      </c>
      <c r="J64" s="1001">
        <f t="shared" si="15"/>
        <v>0</v>
      </c>
      <c r="K64" s="1001">
        <f t="shared" si="16"/>
        <v>0</v>
      </c>
      <c r="L64" s="1001">
        <v>0</v>
      </c>
      <c r="M64" s="1001">
        <f t="shared" si="17"/>
        <v>0</v>
      </c>
      <c r="N64" s="1001">
        <f t="shared" si="17"/>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3"/>
        <v>0</v>
      </c>
      <c r="E65" s="703"/>
      <c r="F65" s="1675"/>
      <c r="G65" s="1000"/>
      <c r="H65" s="1003" t="str">
        <f t="shared" si="14"/>
        <v>——</v>
      </c>
      <c r="I65" s="3069">
        <v>0.05</v>
      </c>
      <c r="J65" s="1001">
        <f t="shared" si="15"/>
        <v>0</v>
      </c>
      <c r="K65" s="1001">
        <f t="shared" si="16"/>
        <v>0</v>
      </c>
      <c r="L65" s="1001">
        <v>0</v>
      </c>
      <c r="M65" s="1001">
        <f t="shared" si="17"/>
        <v>0</v>
      </c>
      <c r="N65" s="1001">
        <f t="shared" si="17"/>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3"/>
        <v>0</v>
      </c>
      <c r="E66" s="703"/>
      <c r="F66" s="1675"/>
      <c r="G66" s="1000"/>
      <c r="H66" s="1003" t="str">
        <f t="shared" si="14"/>
        <v>——</v>
      </c>
      <c r="I66" s="3069">
        <v>0.06</v>
      </c>
      <c r="J66" s="1001">
        <f t="shared" si="15"/>
        <v>0</v>
      </c>
      <c r="K66" s="1001">
        <f t="shared" si="16"/>
        <v>0</v>
      </c>
      <c r="L66" s="1001">
        <v>0</v>
      </c>
      <c r="M66" s="1001">
        <f t="shared" si="17"/>
        <v>0</v>
      </c>
      <c r="N66" s="1001">
        <f t="shared" si="17"/>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3"/>
        <v>0</v>
      </c>
      <c r="E67" s="703"/>
      <c r="F67" s="1675"/>
      <c r="G67" s="1000"/>
      <c r="H67" s="1003" t="str">
        <f t="shared" si="14"/>
        <v>——</v>
      </c>
      <c r="I67" s="3069">
        <v>0.06</v>
      </c>
      <c r="J67" s="1001">
        <f t="shared" si="15"/>
        <v>0</v>
      </c>
      <c r="K67" s="1001">
        <f t="shared" si="16"/>
        <v>0</v>
      </c>
      <c r="L67" s="1001">
        <v>0</v>
      </c>
      <c r="M67" s="1001">
        <f t="shared" si="17"/>
        <v>0</v>
      </c>
      <c r="N67" s="1001">
        <f t="shared" si="17"/>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3"/>
        <v>0</v>
      </c>
      <c r="E68" s="703"/>
      <c r="F68" s="1675"/>
      <c r="G68" s="1000"/>
      <c r="H68" s="1003" t="str">
        <f t="shared" si="14"/>
        <v>——</v>
      </c>
      <c r="I68" s="3069">
        <v>0.09</v>
      </c>
      <c r="J68" s="1001">
        <f t="shared" si="15"/>
        <v>0</v>
      </c>
      <c r="K68" s="1001">
        <f t="shared" si="16"/>
        <v>0</v>
      </c>
      <c r="L68" s="1001">
        <v>0</v>
      </c>
      <c r="M68" s="1001">
        <f t="shared" si="17"/>
        <v>0</v>
      </c>
      <c r="N68" s="1001">
        <f t="shared" si="17"/>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3"/>
        <v>0</v>
      </c>
      <c r="E69" s="704"/>
      <c r="F69" s="1675"/>
      <c r="G69" s="1000"/>
      <c r="H69" s="1003" t="str">
        <f t="shared" si="14"/>
        <v>——</v>
      </c>
      <c r="I69" s="3070">
        <v>7.0000000000000007E-2</v>
      </c>
      <c r="J69" s="1001">
        <f t="shared" si="15"/>
        <v>0</v>
      </c>
      <c r="K69" s="1001">
        <f t="shared" si="16"/>
        <v>0</v>
      </c>
      <c r="L69" s="1001">
        <v>0</v>
      </c>
      <c r="M69" s="1001">
        <f t="shared" si="17"/>
        <v>0</v>
      </c>
      <c r="N69" s="1001">
        <f t="shared" si="17"/>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8">SUMIF($J$71:$N$71,C72,J72:N72)</f>
        <v>0</v>
      </c>
      <c r="E72" s="702">
        <f>ROUND(SUM(D72:D80),4)</f>
        <v>0</v>
      </c>
      <c r="F72" s="1675" t="str">
        <f>IF(E2="住宅",SUMIF(L1:L12,G2,N1:N12),"——")</f>
        <v>——</v>
      </c>
      <c r="G72" s="1000"/>
      <c r="H72" s="1003" t="str">
        <f t="shared" ref="H72:H80" si="19">IFERROR(ROUNDDOWN($F$72*I72/2,4),"——")</f>
        <v>——</v>
      </c>
      <c r="I72" s="3069">
        <v>0.2</v>
      </c>
      <c r="J72" s="1001">
        <f t="shared" ref="J72:J80" si="20">K72+$G72</f>
        <v>0</v>
      </c>
      <c r="K72" s="1001">
        <f t="shared" ref="K72:K80" si="21">$L72+$G72</f>
        <v>0</v>
      </c>
      <c r="L72" s="1001">
        <v>0</v>
      </c>
      <c r="M72" s="1001">
        <f t="shared" ref="M72:N80" si="22">L72-$G72</f>
        <v>0</v>
      </c>
      <c r="N72" s="1001">
        <f t="shared" si="22"/>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8"/>
        <v>0</v>
      </c>
      <c r="E73" s="705"/>
      <c r="F73" s="1675"/>
      <c r="G73" s="1000"/>
      <c r="H73" s="1003" t="str">
        <f t="shared" si="19"/>
        <v>——</v>
      </c>
      <c r="I73" s="3069">
        <v>0.26</v>
      </c>
      <c r="J73" s="1001">
        <f t="shared" si="20"/>
        <v>0</v>
      </c>
      <c r="K73" s="1001">
        <f t="shared" si="21"/>
        <v>0</v>
      </c>
      <c r="L73" s="1001">
        <v>0</v>
      </c>
      <c r="M73" s="1001">
        <f t="shared" si="22"/>
        <v>0</v>
      </c>
      <c r="N73" s="1001">
        <f t="shared" si="22"/>
        <v>0</v>
      </c>
      <c r="AA73" s="1057"/>
      <c r="AB73" s="1057"/>
      <c r="AC73" s="1057"/>
      <c r="AD73" s="1057"/>
      <c r="AE73" s="1057"/>
      <c r="AF73" s="1057"/>
      <c r="AG73" s="1057"/>
      <c r="AH73" s="1057"/>
      <c r="AI73" s="1057"/>
      <c r="AJ73" s="1057"/>
      <c r="AK73" s="1057"/>
    </row>
    <row r="74" spans="1:37" s="1844" customFormat="1" ht="36">
      <c r="A74" s="3071" t="s">
        <v>3269</v>
      </c>
      <c r="B74" s="1262">
        <f>估价对象房地状况!C19</f>
        <v>0</v>
      </c>
      <c r="C74" s="1887"/>
      <c r="D74" s="1002">
        <f t="shared" si="18"/>
        <v>0</v>
      </c>
      <c r="E74" s="705"/>
      <c r="F74" s="1675"/>
      <c r="G74" s="1000"/>
      <c r="H74" s="1003" t="str">
        <f t="shared" si="19"/>
        <v>——</v>
      </c>
      <c r="I74" s="3069">
        <v>0.1</v>
      </c>
      <c r="J74" s="1001">
        <f t="shared" si="20"/>
        <v>0</v>
      </c>
      <c r="K74" s="1001">
        <f t="shared" si="21"/>
        <v>0</v>
      </c>
      <c r="L74" s="1001">
        <v>0</v>
      </c>
      <c r="M74" s="1001">
        <f t="shared" si="22"/>
        <v>0</v>
      </c>
      <c r="N74" s="1001">
        <f t="shared" si="22"/>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8"/>
        <v>0</v>
      </c>
      <c r="E75" s="705"/>
      <c r="F75" s="1675"/>
      <c r="G75" s="1000"/>
      <c r="H75" s="1003" t="str">
        <f t="shared" si="19"/>
        <v>——</v>
      </c>
      <c r="I75" s="3069">
        <v>0.05</v>
      </c>
      <c r="J75" s="1001">
        <f t="shared" si="20"/>
        <v>0</v>
      </c>
      <c r="K75" s="1001">
        <f t="shared" si="21"/>
        <v>0</v>
      </c>
      <c r="L75" s="1001">
        <v>0</v>
      </c>
      <c r="M75" s="1001">
        <f t="shared" si="22"/>
        <v>0</v>
      </c>
      <c r="N75" s="1001">
        <f t="shared" si="22"/>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8"/>
        <v>0</v>
      </c>
      <c r="E76" s="705"/>
      <c r="F76" s="1675"/>
      <c r="G76" s="1000"/>
      <c r="H76" s="1003" t="str">
        <f t="shared" si="19"/>
        <v>——</v>
      </c>
      <c r="I76" s="3069">
        <v>0.08</v>
      </c>
      <c r="J76" s="1001">
        <f t="shared" si="20"/>
        <v>0</v>
      </c>
      <c r="K76" s="1001">
        <f t="shared" si="21"/>
        <v>0</v>
      </c>
      <c r="L76" s="1001">
        <v>0</v>
      </c>
      <c r="M76" s="1001">
        <f t="shared" si="22"/>
        <v>0</v>
      </c>
      <c r="N76" s="1001">
        <f t="shared" si="22"/>
        <v>0</v>
      </c>
      <c r="O76" s="1056"/>
      <c r="P76" s="1056"/>
      <c r="Z76" s="1845"/>
      <c r="AA76" s="1895"/>
      <c r="AG76" s="1058"/>
      <c r="AK76" s="1895"/>
    </row>
    <row r="77" spans="1:37" ht="25.5">
      <c r="A77" s="1970" t="s">
        <v>2060</v>
      </c>
      <c r="B77" s="1240" t="str">
        <f>估价对象房地状况!C22</f>
        <v>估价对象所在区域基础设施水平</v>
      </c>
      <c r="C77" s="1887"/>
      <c r="D77" s="1002">
        <f t="shared" si="18"/>
        <v>0</v>
      </c>
      <c r="E77" s="705"/>
      <c r="F77" s="1675"/>
      <c r="G77" s="1000"/>
      <c r="H77" s="1003" t="str">
        <f t="shared" si="19"/>
        <v>——</v>
      </c>
      <c r="I77" s="3069">
        <v>0.09</v>
      </c>
      <c r="J77" s="1001">
        <f t="shared" si="20"/>
        <v>0</v>
      </c>
      <c r="K77" s="1001">
        <f t="shared" si="21"/>
        <v>0</v>
      </c>
      <c r="L77" s="1001">
        <v>0</v>
      </c>
      <c r="M77" s="1001">
        <f t="shared" si="22"/>
        <v>0</v>
      </c>
      <c r="N77" s="1001">
        <f t="shared" si="22"/>
        <v>0</v>
      </c>
      <c r="O77" s="1056"/>
      <c r="P77" s="1056"/>
      <c r="Z77" s="1845"/>
      <c r="AA77" s="1895"/>
      <c r="AG77" s="1058"/>
      <c r="AK77" s="1895"/>
    </row>
    <row r="78" spans="1:37" ht="24">
      <c r="A78" s="1970" t="s">
        <v>2057</v>
      </c>
      <c r="B78" s="1975" t="s">
        <v>2058</v>
      </c>
      <c r="C78" s="1887"/>
      <c r="D78" s="1002">
        <f t="shared" si="18"/>
        <v>0</v>
      </c>
      <c r="E78" s="705"/>
      <c r="F78" s="1675"/>
      <c r="G78" s="1000"/>
      <c r="H78" s="1003" t="str">
        <f t="shared" si="19"/>
        <v>——</v>
      </c>
      <c r="I78" s="3069">
        <v>0.05</v>
      </c>
      <c r="J78" s="1001">
        <f t="shared" si="20"/>
        <v>0</v>
      </c>
      <c r="K78" s="1001">
        <f t="shared" si="21"/>
        <v>0</v>
      </c>
      <c r="L78" s="1001">
        <v>0</v>
      </c>
      <c r="M78" s="1001">
        <f t="shared" si="22"/>
        <v>0</v>
      </c>
      <c r="N78" s="1001">
        <f t="shared" si="22"/>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8"/>
        <v>0</v>
      </c>
      <c r="E79" s="705"/>
      <c r="F79" s="1675"/>
      <c r="G79" s="1000"/>
      <c r="H79" s="1003" t="str">
        <f t="shared" si="19"/>
        <v>——</v>
      </c>
      <c r="I79" s="3069">
        <v>0.12</v>
      </c>
      <c r="J79" s="1001">
        <f t="shared" si="20"/>
        <v>0</v>
      </c>
      <c r="K79" s="1001">
        <f t="shared" si="21"/>
        <v>0</v>
      </c>
      <c r="L79" s="1001">
        <v>0</v>
      </c>
      <c r="M79" s="1001">
        <f t="shared" si="22"/>
        <v>0</v>
      </c>
      <c r="N79" s="1001">
        <f t="shared" si="22"/>
        <v>0</v>
      </c>
      <c r="Z79" s="1845"/>
      <c r="AA79" s="1895"/>
      <c r="AG79" s="1058"/>
      <c r="AK79" s="1895"/>
    </row>
    <row r="80" spans="1:37" ht="24.75" thickBot="1">
      <c r="A80" s="1977" t="s">
        <v>2068</v>
      </c>
      <c r="B80" s="1981"/>
      <c r="C80" s="1887"/>
      <c r="D80" s="1002">
        <f t="shared" si="18"/>
        <v>0</v>
      </c>
      <c r="E80" s="706"/>
      <c r="F80" s="1675"/>
      <c r="G80" s="1000"/>
      <c r="H80" s="1003" t="str">
        <f t="shared" si="19"/>
        <v>——</v>
      </c>
      <c r="I80" s="3070">
        <v>0.05</v>
      </c>
      <c r="J80" s="1001">
        <f t="shared" si="20"/>
        <v>0</v>
      </c>
      <c r="K80" s="1001">
        <f t="shared" si="21"/>
        <v>0</v>
      </c>
      <c r="L80" s="1001">
        <v>0</v>
      </c>
      <c r="M80" s="1001">
        <f t="shared" si="22"/>
        <v>0</v>
      </c>
      <c r="N80" s="1001">
        <f t="shared" si="22"/>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3">SUMIF($J$82:$N$82,C83,J83:N83)</f>
        <v>0</v>
      </c>
      <c r="E83" s="702">
        <f>ROUND(SUM(D83:D90),4)</f>
        <v>0</v>
      </c>
      <c r="F83" s="1675" t="str">
        <f>IF(E2="工业",SUMIF(L1:L12,G2,N1:N12),"——")</f>
        <v>——</v>
      </c>
      <c r="G83" s="1000"/>
      <c r="H83" s="1003" t="str">
        <f t="shared" ref="H83:H90" si="24">IFERROR(ROUNDDOWN($F$83*I83/2,4),"——")</f>
        <v>——</v>
      </c>
      <c r="I83" s="3069">
        <v>0.26</v>
      </c>
      <c r="J83" s="1001">
        <f t="shared" ref="J83:J90" si="25">K83+$G83</f>
        <v>0</v>
      </c>
      <c r="K83" s="1001">
        <f t="shared" ref="K83:K90" si="26">$L83+$G83</f>
        <v>0</v>
      </c>
      <c r="L83" s="1001">
        <v>0</v>
      </c>
      <c r="M83" s="1001">
        <f t="shared" ref="M83:N90" si="27">L83-$G83</f>
        <v>0</v>
      </c>
      <c r="N83" s="1001">
        <f t="shared" si="27"/>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3"/>
        <v>0</v>
      </c>
      <c r="E84" s="705"/>
      <c r="F84" s="1675"/>
      <c r="G84" s="1000"/>
      <c r="H84" s="1003" t="str">
        <f t="shared" si="24"/>
        <v>——</v>
      </c>
      <c r="I84" s="3069">
        <v>0.3</v>
      </c>
      <c r="J84" s="1001">
        <f t="shared" si="25"/>
        <v>0</v>
      </c>
      <c r="K84" s="1001">
        <f t="shared" si="26"/>
        <v>0</v>
      </c>
      <c r="L84" s="1001">
        <v>0</v>
      </c>
      <c r="M84" s="1001">
        <f t="shared" si="27"/>
        <v>0</v>
      </c>
      <c r="N84" s="1001">
        <f t="shared" si="27"/>
        <v>0</v>
      </c>
      <c r="Z84" s="1845"/>
      <c r="AA84" s="1895"/>
      <c r="AG84" s="1058"/>
      <c r="AK84" s="1895"/>
    </row>
    <row r="85" spans="1:37" ht="36">
      <c r="A85" s="3071" t="s">
        <v>3270</v>
      </c>
      <c r="B85" s="1262">
        <f>估价对象房地状况!G17</f>
        <v>0</v>
      </c>
      <c r="C85" s="1887"/>
      <c r="D85" s="1002">
        <f t="shared" si="23"/>
        <v>0</v>
      </c>
      <c r="E85" s="705"/>
      <c r="F85" s="1675"/>
      <c r="G85" s="1000"/>
      <c r="H85" s="1003" t="str">
        <f t="shared" si="24"/>
        <v>——</v>
      </c>
      <c r="I85" s="3069">
        <v>0.1</v>
      </c>
      <c r="J85" s="1001">
        <f t="shared" si="25"/>
        <v>0</v>
      </c>
      <c r="K85" s="1001">
        <f t="shared" si="26"/>
        <v>0</v>
      </c>
      <c r="L85" s="1001">
        <v>0</v>
      </c>
      <c r="M85" s="1001">
        <f t="shared" si="27"/>
        <v>0</v>
      </c>
      <c r="N85" s="1001">
        <f t="shared" si="27"/>
        <v>0</v>
      </c>
      <c r="Z85" s="1845"/>
      <c r="AA85" s="1895"/>
      <c r="AG85" s="1058"/>
      <c r="AK85" s="1895"/>
    </row>
    <row r="86" spans="1:37" ht="14.25">
      <c r="A86" s="1970" t="s">
        <v>2067</v>
      </c>
      <c r="B86" s="1262">
        <f>估价对象房地状况!G22</f>
        <v>0</v>
      </c>
      <c r="C86" s="1887"/>
      <c r="D86" s="1002">
        <f t="shared" si="23"/>
        <v>0</v>
      </c>
      <c r="E86" s="705"/>
      <c r="F86" s="1675"/>
      <c r="G86" s="1000"/>
      <c r="H86" s="1003" t="str">
        <f t="shared" si="24"/>
        <v>——</v>
      </c>
      <c r="I86" s="3069">
        <v>0.05</v>
      </c>
      <c r="J86" s="1001">
        <f t="shared" si="25"/>
        <v>0</v>
      </c>
      <c r="K86" s="1001">
        <f t="shared" si="26"/>
        <v>0</v>
      </c>
      <c r="L86" s="1001">
        <v>0</v>
      </c>
      <c r="M86" s="1001">
        <f t="shared" si="27"/>
        <v>0</v>
      </c>
      <c r="N86" s="1001">
        <f t="shared" si="27"/>
        <v>0</v>
      </c>
      <c r="Z86" s="1845"/>
      <c r="AA86" s="1895"/>
      <c r="AG86" s="1058"/>
      <c r="AK86" s="1895"/>
    </row>
    <row r="87" spans="1:37" ht="25.5">
      <c r="A87" s="1970" t="s">
        <v>2059</v>
      </c>
      <c r="B87" s="1240" t="str">
        <f>估价对象房地状况!G19</f>
        <v>估价对象所在区域公共配套设施齐备情况</v>
      </c>
      <c r="C87" s="1887"/>
      <c r="D87" s="1002">
        <f t="shared" si="23"/>
        <v>0</v>
      </c>
      <c r="E87" s="705"/>
      <c r="F87" s="1675"/>
      <c r="G87" s="1000"/>
      <c r="H87" s="1003" t="str">
        <f t="shared" si="24"/>
        <v>——</v>
      </c>
      <c r="I87" s="3069">
        <v>0.06</v>
      </c>
      <c r="J87" s="1001">
        <f t="shared" si="25"/>
        <v>0</v>
      </c>
      <c r="K87" s="1001">
        <f t="shared" si="26"/>
        <v>0</v>
      </c>
      <c r="L87" s="1001">
        <v>0</v>
      </c>
      <c r="M87" s="1001">
        <f t="shared" si="27"/>
        <v>0</v>
      </c>
      <c r="N87" s="1001">
        <f t="shared" si="27"/>
        <v>0</v>
      </c>
    </row>
    <row r="88" spans="1:37" ht="25.5">
      <c r="A88" s="1970" t="s">
        <v>2060</v>
      </c>
      <c r="B88" s="1240" t="str">
        <f>估价对象房地状况!G20</f>
        <v>估价对象所在区域基础设施水平</v>
      </c>
      <c r="C88" s="1887"/>
      <c r="D88" s="1002">
        <f t="shared" si="23"/>
        <v>0</v>
      </c>
      <c r="E88" s="705"/>
      <c r="F88" s="1675"/>
      <c r="G88" s="1000"/>
      <c r="H88" s="1003" t="str">
        <f t="shared" si="24"/>
        <v>——</v>
      </c>
      <c r="I88" s="3069">
        <v>0.12</v>
      </c>
      <c r="J88" s="1001">
        <f t="shared" si="25"/>
        <v>0</v>
      </c>
      <c r="K88" s="1001">
        <f t="shared" si="26"/>
        <v>0</v>
      </c>
      <c r="L88" s="1001">
        <v>0</v>
      </c>
      <c r="M88" s="1001">
        <f t="shared" si="27"/>
        <v>0</v>
      </c>
      <c r="N88" s="1001">
        <f t="shared" si="27"/>
        <v>0</v>
      </c>
    </row>
    <row r="89" spans="1:37" ht="24">
      <c r="A89" s="1970" t="s">
        <v>2057</v>
      </c>
      <c r="B89" s="1975" t="s">
        <v>2071</v>
      </c>
      <c r="C89" s="1887"/>
      <c r="D89" s="1002">
        <f t="shared" si="23"/>
        <v>0</v>
      </c>
      <c r="E89" s="705"/>
      <c r="F89" s="1675"/>
      <c r="G89" s="1000"/>
      <c r="H89" s="1003" t="str">
        <f t="shared" si="24"/>
        <v>——</v>
      </c>
      <c r="I89" s="3069">
        <v>0.06</v>
      </c>
      <c r="J89" s="1001">
        <f t="shared" si="25"/>
        <v>0</v>
      </c>
      <c r="K89" s="1001">
        <f t="shared" si="26"/>
        <v>0</v>
      </c>
      <c r="L89" s="1001">
        <v>0</v>
      </c>
      <c r="M89" s="1001">
        <f t="shared" si="27"/>
        <v>0</v>
      </c>
      <c r="N89" s="1001">
        <f t="shared" si="27"/>
        <v>0</v>
      </c>
    </row>
    <row r="90" spans="1:37" ht="39" thickBot="1">
      <c r="A90" s="1977" t="s">
        <v>2072</v>
      </c>
      <c r="B90" s="1982" t="str">
        <f>估价对象房地状况!G18</f>
        <v>该园区内是否有污染型企业，绿化情况，卫生条件，整体环境状况判断</v>
      </c>
      <c r="C90" s="1887"/>
      <c r="D90" s="1002">
        <f t="shared" si="23"/>
        <v>0</v>
      </c>
      <c r="E90" s="706"/>
      <c r="F90" s="1675"/>
      <c r="G90" s="1000"/>
      <c r="H90" s="1003" t="str">
        <f t="shared" si="24"/>
        <v>——</v>
      </c>
      <c r="I90" s="3070">
        <v>0.05</v>
      </c>
      <c r="J90" s="1001">
        <f t="shared" si="25"/>
        <v>0</v>
      </c>
      <c r="K90" s="1001">
        <f t="shared" si="26"/>
        <v>0</v>
      </c>
      <c r="L90" s="1001">
        <v>0</v>
      </c>
      <c r="M90" s="1001">
        <f t="shared" si="27"/>
        <v>0</v>
      </c>
      <c r="N90" s="1001">
        <f t="shared" si="27"/>
        <v>0</v>
      </c>
    </row>
    <row r="91" spans="1:37" ht="15">
      <c r="A91" s="3079" t="s">
        <v>2612</v>
      </c>
      <c r="B91" s="3080">
        <f>1+E93</f>
        <v>1</v>
      </c>
      <c r="C91" s="3073"/>
      <c r="D91" s="3074"/>
      <c r="E91" s="1675"/>
      <c r="F91" s="1675"/>
      <c r="G91" s="3075"/>
      <c r="H91" s="3076"/>
      <c r="I91" s="3077"/>
      <c r="J91" s="3078"/>
      <c r="K91" s="3078"/>
      <c r="L91" s="3078"/>
      <c r="M91" s="3078"/>
      <c r="N91" s="3078"/>
    </row>
    <row r="92" spans="1:37" ht="24.75">
      <c r="A92" s="3081" t="s">
        <v>3271</v>
      </c>
      <c r="B92" s="2310"/>
      <c r="C92" s="2310" t="s">
        <v>3280</v>
      </c>
      <c r="D92" s="2310" t="s">
        <v>3281</v>
      </c>
      <c r="E92" s="3053" t="s">
        <v>3282</v>
      </c>
      <c r="F92" s="3083" t="s">
        <v>3283</v>
      </c>
      <c r="G92" s="2310" t="s">
        <v>3284</v>
      </c>
      <c r="H92" s="3090" t="s">
        <v>3287</v>
      </c>
      <c r="I92" s="2310" t="s">
        <v>3288</v>
      </c>
      <c r="J92" s="2150" t="s">
        <v>3289</v>
      </c>
      <c r="K92" s="2150" t="s">
        <v>3290</v>
      </c>
      <c r="L92" s="2150" t="s">
        <v>3291</v>
      </c>
      <c r="M92" s="2150" t="s">
        <v>3292</v>
      </c>
      <c r="N92" s="2150" t="s">
        <v>3293</v>
      </c>
    </row>
    <row r="93" spans="1:37" ht="24">
      <c r="A93" s="3071" t="s">
        <v>3272</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8">K93+$G93</f>
        <v>0</v>
      </c>
      <c r="K93" s="1912">
        <f t="shared" ref="K93:K101" si="29">$L93+$G93</f>
        <v>0</v>
      </c>
      <c r="L93" s="1912">
        <v>0</v>
      </c>
      <c r="M93" s="1912">
        <f t="shared" ref="M93:N101" si="30">L93-$G93</f>
        <v>0</v>
      </c>
      <c r="N93" s="1912">
        <f t="shared" si="30"/>
        <v>0</v>
      </c>
    </row>
    <row r="94" spans="1:37" ht="38.25">
      <c r="A94" s="3081" t="s">
        <v>3273</v>
      </c>
      <c r="B94" s="3072" t="str">
        <f>估价对象房地状况!C18</f>
        <v>估价对象周边道路状况、公共交通通达情况、停车便捷程度，综合评价交通便捷度较好</v>
      </c>
      <c r="C94" s="1887"/>
      <c r="D94" s="2310">
        <f t="shared" ref="D94:D101" si="31">SUMIF($J$60:$N$60,C94,J94:N94)</f>
        <v>0</v>
      </c>
      <c r="E94" s="3085"/>
      <c r="F94" s="1675"/>
      <c r="G94" s="3075"/>
      <c r="H94" s="3120" t="str">
        <f>IFERROR(ROUNDDOWN($F$93*I94/2,4),"——")</f>
        <v>——</v>
      </c>
      <c r="I94" s="3069">
        <v>0.26</v>
      </c>
      <c r="J94" s="1912">
        <f t="shared" si="28"/>
        <v>0</v>
      </c>
      <c r="K94" s="1912">
        <f t="shared" si="29"/>
        <v>0</v>
      </c>
      <c r="L94" s="1912">
        <v>0</v>
      </c>
      <c r="M94" s="1912">
        <f t="shared" si="30"/>
        <v>0</v>
      </c>
      <c r="N94" s="1912">
        <f t="shared" si="30"/>
        <v>0</v>
      </c>
    </row>
    <row r="95" spans="1:37" ht="36">
      <c r="A95" s="3071" t="s">
        <v>3269</v>
      </c>
      <c r="B95" s="3072">
        <f>估价对象房地状况!C19</f>
        <v>0</v>
      </c>
      <c r="C95" s="1887"/>
      <c r="D95" s="2310">
        <f t="shared" si="31"/>
        <v>0</v>
      </c>
      <c r="E95" s="3085"/>
      <c r="F95" s="1675"/>
      <c r="G95" s="3075"/>
      <c r="H95" s="3120" t="str">
        <f t="shared" ref="H95:H101" si="32">IFERROR(ROUNDDOWN($F$93*I95/2,4),"——")</f>
        <v>——</v>
      </c>
      <c r="I95" s="3069">
        <v>0.11</v>
      </c>
      <c r="J95" s="1912">
        <f t="shared" si="28"/>
        <v>0</v>
      </c>
      <c r="K95" s="1912">
        <f t="shared" si="29"/>
        <v>0</v>
      </c>
      <c r="L95" s="1912">
        <v>0</v>
      </c>
      <c r="M95" s="1912">
        <f t="shared" si="30"/>
        <v>0</v>
      </c>
      <c r="N95" s="1912">
        <f t="shared" si="30"/>
        <v>0</v>
      </c>
    </row>
    <row r="96" spans="1:37" ht="36.75">
      <c r="A96" s="3081" t="s">
        <v>3274</v>
      </c>
      <c r="B96" s="3087" t="s">
        <v>3285</v>
      </c>
      <c r="C96" s="1887"/>
      <c r="D96" s="2310">
        <f t="shared" si="31"/>
        <v>0</v>
      </c>
      <c r="E96" s="3085"/>
      <c r="F96" s="1675"/>
      <c r="G96" s="3075"/>
      <c r="H96" s="3120" t="str">
        <f t="shared" si="32"/>
        <v>——</v>
      </c>
      <c r="I96" s="3069">
        <v>0.05</v>
      </c>
      <c r="J96" s="1912">
        <f t="shared" si="28"/>
        <v>0</v>
      </c>
      <c r="K96" s="1912">
        <f t="shared" si="29"/>
        <v>0</v>
      </c>
      <c r="L96" s="1912">
        <v>0</v>
      </c>
      <c r="M96" s="1912">
        <f t="shared" si="30"/>
        <v>0</v>
      </c>
      <c r="N96" s="1912">
        <f t="shared" si="30"/>
        <v>0</v>
      </c>
    </row>
    <row r="97" spans="1:14" ht="24">
      <c r="A97" s="3081" t="s">
        <v>3275</v>
      </c>
      <c r="B97" s="3072">
        <f>估价对象房地状况!C24</f>
        <v>0</v>
      </c>
      <c r="C97" s="1887"/>
      <c r="D97" s="2310">
        <f t="shared" si="31"/>
        <v>0</v>
      </c>
      <c r="E97" s="3085"/>
      <c r="F97" s="1675"/>
      <c r="G97" s="3075"/>
      <c r="H97" s="3120" t="str">
        <f t="shared" si="32"/>
        <v>——</v>
      </c>
      <c r="I97" s="3069">
        <v>0.05</v>
      </c>
      <c r="J97" s="1912">
        <f t="shared" si="28"/>
        <v>0</v>
      </c>
      <c r="K97" s="1912">
        <f t="shared" si="29"/>
        <v>0</v>
      </c>
      <c r="L97" s="1912">
        <v>0</v>
      </c>
      <c r="M97" s="1912">
        <f t="shared" si="30"/>
        <v>0</v>
      </c>
      <c r="N97" s="1912">
        <f t="shared" si="30"/>
        <v>0</v>
      </c>
    </row>
    <row r="98" spans="1:14" ht="24">
      <c r="A98" s="3081" t="s">
        <v>3276</v>
      </c>
      <c r="B98" s="3088" t="s">
        <v>3286</v>
      </c>
      <c r="C98" s="1887"/>
      <c r="D98" s="2310">
        <f t="shared" si="31"/>
        <v>0</v>
      </c>
      <c r="E98" s="3085"/>
      <c r="F98" s="1675"/>
      <c r="G98" s="3075"/>
      <c r="H98" s="3120" t="str">
        <f t="shared" si="32"/>
        <v>——</v>
      </c>
      <c r="I98" s="3069">
        <v>0.06</v>
      </c>
      <c r="J98" s="1912">
        <f t="shared" si="28"/>
        <v>0</v>
      </c>
      <c r="K98" s="1912">
        <f t="shared" si="29"/>
        <v>0</v>
      </c>
      <c r="L98" s="1912">
        <v>0</v>
      </c>
      <c r="M98" s="1912">
        <f t="shared" si="30"/>
        <v>0</v>
      </c>
      <c r="N98" s="1912">
        <f t="shared" si="30"/>
        <v>0</v>
      </c>
    </row>
    <row r="99" spans="1:14" ht="25.5">
      <c r="A99" s="3081" t="s">
        <v>3277</v>
      </c>
      <c r="B99" s="3072" t="str">
        <f>估价对象房地状况!C21</f>
        <v>估价对象所在区域公共配套设施齐备情况</v>
      </c>
      <c r="C99" s="1887"/>
      <c r="D99" s="2310">
        <f t="shared" si="31"/>
        <v>0</v>
      </c>
      <c r="E99" s="3085"/>
      <c r="F99" s="1675"/>
      <c r="G99" s="3075"/>
      <c r="H99" s="3120" t="str">
        <f t="shared" si="32"/>
        <v>——</v>
      </c>
      <c r="I99" s="3069">
        <v>0.06</v>
      </c>
      <c r="J99" s="1912">
        <f t="shared" si="28"/>
        <v>0</v>
      </c>
      <c r="K99" s="1912">
        <f t="shared" si="29"/>
        <v>0</v>
      </c>
      <c r="L99" s="1912">
        <v>0</v>
      </c>
      <c r="M99" s="1912">
        <f t="shared" si="30"/>
        <v>0</v>
      </c>
      <c r="N99" s="1912">
        <f t="shared" si="30"/>
        <v>0</v>
      </c>
    </row>
    <row r="100" spans="1:14" ht="25.5">
      <c r="A100" s="3081" t="s">
        <v>3278</v>
      </c>
      <c r="B100" s="3072" t="str">
        <f>估价对象房地状况!C22</f>
        <v>估价对象所在区域基础设施水平</v>
      </c>
      <c r="C100" s="1887"/>
      <c r="D100" s="2310">
        <f t="shared" si="31"/>
        <v>0</v>
      </c>
      <c r="E100" s="3085"/>
      <c r="F100" s="1675"/>
      <c r="G100" s="3075"/>
      <c r="H100" s="3120" t="str">
        <f t="shared" si="32"/>
        <v>——</v>
      </c>
      <c r="I100" s="3069">
        <v>0.09</v>
      </c>
      <c r="J100" s="1912">
        <f t="shared" si="28"/>
        <v>0</v>
      </c>
      <c r="K100" s="1912">
        <f t="shared" si="29"/>
        <v>0</v>
      </c>
      <c r="L100" s="1912">
        <v>0</v>
      </c>
      <c r="M100" s="1912">
        <f t="shared" si="30"/>
        <v>0</v>
      </c>
      <c r="N100" s="1912">
        <f t="shared" si="30"/>
        <v>0</v>
      </c>
    </row>
    <row r="101" spans="1:14" ht="26.25" thickBot="1">
      <c r="A101" s="3082" t="s">
        <v>3279</v>
      </c>
      <c r="B101" s="3089" t="str">
        <f>估价对象房地状况!C20</f>
        <v>区域自然环境：；人文环境；综合评价环境状况一般</v>
      </c>
      <c r="C101" s="1887"/>
      <c r="D101" s="2310">
        <f t="shared" si="31"/>
        <v>0</v>
      </c>
      <c r="E101" s="3086"/>
      <c r="F101" s="1675"/>
      <c r="G101" s="3075"/>
      <c r="H101" s="3120" t="str">
        <f t="shared" si="32"/>
        <v>——</v>
      </c>
      <c r="I101" s="3070">
        <v>7.0000000000000007E-2</v>
      </c>
      <c r="J101" s="1912">
        <f t="shared" si="28"/>
        <v>0</v>
      </c>
      <c r="K101" s="1912">
        <f t="shared" si="29"/>
        <v>0</v>
      </c>
      <c r="L101" s="1912">
        <v>0</v>
      </c>
      <c r="M101" s="1912">
        <f t="shared" si="30"/>
        <v>0</v>
      </c>
      <c r="N101" s="1912">
        <f t="shared" si="30"/>
        <v>0</v>
      </c>
    </row>
    <row r="103" spans="1:14">
      <c r="A103" s="3401" t="s">
        <v>3294</v>
      </c>
      <c r="B103" s="3401"/>
      <c r="C103" s="3401"/>
      <c r="D103" s="3401"/>
      <c r="E103" s="3401"/>
      <c r="F103" s="3401"/>
      <c r="G103" s="3401"/>
      <c r="H103" s="3401"/>
      <c r="I103" s="3401"/>
      <c r="J103" s="3401"/>
      <c r="K103" s="1667"/>
      <c r="L103" s="1667"/>
      <c r="M103" s="1667"/>
      <c r="N103" s="1667"/>
    </row>
    <row r="104" spans="1:14">
      <c r="A104" s="3402" t="s">
        <v>3295</v>
      </c>
      <c r="B104" s="3402" t="s">
        <v>3296</v>
      </c>
      <c r="C104" s="3091" t="s">
        <v>3297</v>
      </c>
      <c r="D104" s="3092"/>
      <c r="E104" s="3092"/>
      <c r="F104" s="3092"/>
      <c r="G104" s="3092"/>
      <c r="H104" s="3092"/>
      <c r="I104" s="3092"/>
      <c r="J104" s="3093"/>
      <c r="K104" s="3094"/>
      <c r="L104" s="3094"/>
      <c r="M104" s="3094"/>
      <c r="N104" s="3094"/>
    </row>
    <row r="105" spans="1:14">
      <c r="A105" s="3402"/>
      <c r="B105" s="3402"/>
      <c r="C105" s="3095" t="s">
        <v>3298</v>
      </c>
      <c r="D105" s="3095" t="s">
        <v>3299</v>
      </c>
      <c r="E105" s="3095" t="s">
        <v>3300</v>
      </c>
      <c r="F105" s="3095" t="s">
        <v>3301</v>
      </c>
      <c r="G105" s="3095" t="s">
        <v>3302</v>
      </c>
      <c r="H105" s="3095" t="s">
        <v>3303</v>
      </c>
      <c r="I105" s="3095" t="s">
        <v>3304</v>
      </c>
      <c r="J105" s="3095" t="s">
        <v>3305</v>
      </c>
      <c r="K105" s="3095" t="s">
        <v>3306</v>
      </c>
      <c r="L105" s="3095" t="s">
        <v>3307</v>
      </c>
      <c r="M105" s="3095" t="s">
        <v>3308</v>
      </c>
      <c r="N105" s="3095" t="s">
        <v>3309</v>
      </c>
    </row>
    <row r="106" spans="1:14">
      <c r="A106" s="3388" t="s">
        <v>3310</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389"/>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389"/>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389"/>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389"/>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389"/>
      <c r="B111" s="3095" t="s">
        <v>3268</v>
      </c>
      <c r="C111" s="3096">
        <f>$I$3</f>
        <v>0</v>
      </c>
      <c r="D111" s="3096">
        <f t="shared" ref="D111:M111" si="33">$I$3</f>
        <v>0</v>
      </c>
      <c r="E111" s="3096">
        <f t="shared" si="33"/>
        <v>0</v>
      </c>
      <c r="F111" s="3096">
        <f t="shared" si="33"/>
        <v>0</v>
      </c>
      <c r="G111" s="3096">
        <f t="shared" si="33"/>
        <v>0</v>
      </c>
      <c r="H111" s="3096">
        <f t="shared" si="33"/>
        <v>0</v>
      </c>
      <c r="I111" s="3096">
        <f t="shared" si="33"/>
        <v>0</v>
      </c>
      <c r="J111" s="3096">
        <f t="shared" si="33"/>
        <v>0</v>
      </c>
      <c r="K111" s="3096">
        <f t="shared" si="33"/>
        <v>0</v>
      </c>
      <c r="L111" s="3096">
        <f t="shared" si="33"/>
        <v>0</v>
      </c>
      <c r="M111" s="3096">
        <f t="shared" si="33"/>
        <v>0</v>
      </c>
      <c r="N111" s="3096">
        <f>$I$3</f>
        <v>0</v>
      </c>
    </row>
    <row r="112" spans="1:14">
      <c r="A112" s="3390"/>
      <c r="B112" s="3095">
        <v>6</v>
      </c>
      <c r="C112" s="3090">
        <f>(-0.5556*(C111^2)-0.2719*C111+8944)*(10^(-4))</f>
        <v>0.89440000000000008</v>
      </c>
      <c r="D112" s="3090">
        <f>(-0.5556*(D111^2)-0.2719*D111+8944)*(10^(-4))</f>
        <v>0.89440000000000008</v>
      </c>
      <c r="E112" s="3090">
        <f>(-0.7912*(E111^2)-11.3794*E111+8482)*(10^(-4))</f>
        <v>0.84820000000000007</v>
      </c>
      <c r="F112" s="3090">
        <f t="shared" ref="F112:I112" si="34">(-0.7912*(F111^2)-11.3794*F111+8482)*(10^(-4))</f>
        <v>0.84820000000000007</v>
      </c>
      <c r="G112" s="3090">
        <f t="shared" si="34"/>
        <v>0.84820000000000007</v>
      </c>
      <c r="H112" s="3090">
        <f t="shared" si="34"/>
        <v>0.84820000000000007</v>
      </c>
      <c r="I112" s="3090">
        <f t="shared" si="34"/>
        <v>0.84820000000000007</v>
      </c>
      <c r="J112" s="3090">
        <f>(-0.989*(J111^2)-63.78*J111+7771)*(10^(-4))</f>
        <v>0.77710000000000001</v>
      </c>
      <c r="K112" s="3090">
        <f t="shared" ref="K112:N112" si="35">(-0.989*(K111^2)-63.78*K111+7771)*(10^(-4))</f>
        <v>0.77710000000000001</v>
      </c>
      <c r="L112" s="3090">
        <f t="shared" si="35"/>
        <v>0.77710000000000001</v>
      </c>
      <c r="M112" s="3090">
        <f t="shared" si="35"/>
        <v>0.77710000000000001</v>
      </c>
      <c r="N112" s="3090">
        <f t="shared" si="35"/>
        <v>0.77710000000000001</v>
      </c>
    </row>
    <row r="113" spans="1:14">
      <c r="A113" s="3391" t="s">
        <v>3311</v>
      </c>
      <c r="B113" s="3391"/>
      <c r="C113" s="3391"/>
      <c r="D113" s="3391"/>
      <c r="E113" s="3391"/>
      <c r="F113" s="3391"/>
      <c r="G113" s="3391"/>
      <c r="H113" s="3391"/>
      <c r="I113" s="3391"/>
      <c r="J113" s="3391"/>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3312</v>
      </c>
      <c r="B116" s="3115">
        <f>G3</f>
        <v>2.5</v>
      </c>
      <c r="C116" s="3100" t="s">
        <v>3313</v>
      </c>
      <c r="D116" s="3101">
        <f>SUMPRODUCT((A118:A122=F116)*(B117:M117=H116)*B118:M122)</f>
        <v>0.91400000000000003</v>
      </c>
      <c r="E116" s="162" t="s">
        <v>3314</v>
      </c>
      <c r="F116" s="3102" t="str">
        <f>E2</f>
        <v>商业</v>
      </c>
      <c r="G116" s="162" t="s">
        <v>3315</v>
      </c>
      <c r="H116" s="3102" t="str">
        <f>G2</f>
        <v>三级</v>
      </c>
      <c r="I116" s="162"/>
      <c r="J116" s="3103"/>
      <c r="K116" s="3103"/>
      <c r="L116" s="3103"/>
      <c r="M116" s="3103"/>
      <c r="N116" s="3098"/>
    </row>
    <row r="117" spans="1:14">
      <c r="A117" s="3104"/>
      <c r="B117" s="3105" t="s">
        <v>3316</v>
      </c>
      <c r="C117" s="3105" t="s">
        <v>3317</v>
      </c>
      <c r="D117" s="3105" t="s">
        <v>3318</v>
      </c>
      <c r="E117" s="3106" t="s">
        <v>3319</v>
      </c>
      <c r="F117" s="3106" t="s">
        <v>3320</v>
      </c>
      <c r="G117" s="3106" t="s">
        <v>3321</v>
      </c>
      <c r="H117" s="3107" t="s">
        <v>3322</v>
      </c>
      <c r="I117" s="3107" t="s">
        <v>3323</v>
      </c>
      <c r="J117" s="3108" t="s">
        <v>3324</v>
      </c>
      <c r="K117" s="3108" t="s">
        <v>3325</v>
      </c>
      <c r="L117" s="3108" t="s">
        <v>3326</v>
      </c>
      <c r="M117" s="3109" t="s">
        <v>3327</v>
      </c>
      <c r="N117" s="3098"/>
    </row>
    <row r="118" spans="1:14">
      <c r="A118" s="3058" t="s">
        <v>3328</v>
      </c>
      <c r="B118" s="3090">
        <f>ROUND(0.9968-0.011*B116,4)</f>
        <v>0.96930000000000005</v>
      </c>
      <c r="C118" s="3090">
        <f>B118</f>
        <v>0.96930000000000005</v>
      </c>
      <c r="D118" s="3090">
        <f>ROUND(0.949-0.014*B116,4)</f>
        <v>0.91400000000000003</v>
      </c>
      <c r="E118" s="3090">
        <f>D118</f>
        <v>0.91400000000000003</v>
      </c>
      <c r="F118" s="3090">
        <f>E118</f>
        <v>0.91400000000000003</v>
      </c>
      <c r="G118" s="3090">
        <f>F118</f>
        <v>0.91400000000000003</v>
      </c>
      <c r="H118" s="3090">
        <f>G118</f>
        <v>0.91400000000000003</v>
      </c>
      <c r="I118" s="3090">
        <f>ROUND(0.8486-0.018*B116,4)</f>
        <v>0.80359999999999998</v>
      </c>
      <c r="J118" s="3090">
        <f t="shared" ref="J118:M122" si="36">I118</f>
        <v>0.80359999999999998</v>
      </c>
      <c r="K118" s="3090">
        <f t="shared" si="36"/>
        <v>0.80359999999999998</v>
      </c>
      <c r="L118" s="3090">
        <f t="shared" si="36"/>
        <v>0.80359999999999998</v>
      </c>
      <c r="M118" s="3110">
        <f t="shared" si="36"/>
        <v>0.80359999999999998</v>
      </c>
      <c r="N118" s="3098"/>
    </row>
    <row r="119" spans="1:14">
      <c r="A119" s="3058" t="s">
        <v>3329</v>
      </c>
      <c r="B119" s="3090">
        <f>ROUND(0.993-0.0112*B116,4)</f>
        <v>0.96499999999999997</v>
      </c>
      <c r="C119" s="3090">
        <f>B119</f>
        <v>0.96499999999999997</v>
      </c>
      <c r="D119" s="3090">
        <f>ROUND(0.9415-0.0142*B116,4)</f>
        <v>0.90600000000000003</v>
      </c>
      <c r="E119" s="3090">
        <f t="shared" ref="E119:H120" si="37">D119</f>
        <v>0.90600000000000003</v>
      </c>
      <c r="F119" s="3090">
        <f t="shared" si="37"/>
        <v>0.90600000000000003</v>
      </c>
      <c r="G119" s="3090">
        <f t="shared" si="37"/>
        <v>0.90600000000000003</v>
      </c>
      <c r="H119" s="3090">
        <f t="shared" si="37"/>
        <v>0.90600000000000003</v>
      </c>
      <c r="I119" s="3090">
        <f>ROUND(0.838-0.0182*B116,4)</f>
        <v>0.79249999999999998</v>
      </c>
      <c r="J119" s="3090">
        <f t="shared" si="36"/>
        <v>0.79249999999999998</v>
      </c>
      <c r="K119" s="3090">
        <f t="shared" si="36"/>
        <v>0.79249999999999998</v>
      </c>
      <c r="L119" s="3090">
        <f t="shared" si="36"/>
        <v>0.79249999999999998</v>
      </c>
      <c r="M119" s="3110">
        <f t="shared" si="36"/>
        <v>0.79249999999999998</v>
      </c>
      <c r="N119" s="3098"/>
    </row>
    <row r="120" spans="1:14">
      <c r="A120" s="3058" t="s">
        <v>3330</v>
      </c>
      <c r="B120" s="3090">
        <f>ROUND(0.9448-0.0115*B116,4)</f>
        <v>0.91610000000000003</v>
      </c>
      <c r="C120" s="3090">
        <f>B120</f>
        <v>0.91610000000000003</v>
      </c>
      <c r="D120" s="3090">
        <f>ROUND(0.937-0.0145*B116,4)</f>
        <v>0.90080000000000005</v>
      </c>
      <c r="E120" s="3090">
        <f t="shared" si="37"/>
        <v>0.90080000000000005</v>
      </c>
      <c r="F120" s="3090">
        <f t="shared" si="37"/>
        <v>0.90080000000000005</v>
      </c>
      <c r="G120" s="3090">
        <f t="shared" si="37"/>
        <v>0.90080000000000005</v>
      </c>
      <c r="H120" s="3090">
        <f t="shared" si="37"/>
        <v>0.90080000000000005</v>
      </c>
      <c r="I120" s="3090">
        <f>ROUND(0.7965-0.0185*B116,4)</f>
        <v>0.75029999999999997</v>
      </c>
      <c r="J120" s="3090">
        <f t="shared" si="36"/>
        <v>0.75029999999999997</v>
      </c>
      <c r="K120" s="3090">
        <f t="shared" si="36"/>
        <v>0.75029999999999997</v>
      </c>
      <c r="L120" s="3090">
        <f t="shared" si="36"/>
        <v>0.75029999999999997</v>
      </c>
      <c r="M120" s="3110">
        <f t="shared" si="36"/>
        <v>0.75029999999999997</v>
      </c>
      <c r="N120" s="3098"/>
    </row>
    <row r="121" spans="1:14" ht="13.5" thickBot="1">
      <c r="A121" s="3111" t="s">
        <v>3331</v>
      </c>
      <c r="B121" s="3112">
        <f>ROUND(0.7836-0.012*B116,4)</f>
        <v>0.75360000000000005</v>
      </c>
      <c r="C121" s="3112">
        <f>B121</f>
        <v>0.75360000000000005</v>
      </c>
      <c r="D121" s="3112">
        <f>ROUND(0.753-0.015*B116,4)</f>
        <v>0.71550000000000002</v>
      </c>
      <c r="E121" s="3112">
        <f>D121</f>
        <v>0.71550000000000002</v>
      </c>
      <c r="F121" s="3112">
        <f>E121</f>
        <v>0.71550000000000002</v>
      </c>
      <c r="G121" s="3112">
        <f>ROUND(0.6612-0.018*B116,4)</f>
        <v>0.61619999999999997</v>
      </c>
      <c r="H121" s="3112">
        <f>G121</f>
        <v>0.61619999999999997</v>
      </c>
      <c r="I121" s="3112">
        <f>ROUND(0.5905-0.019*B116,4)</f>
        <v>0.54300000000000004</v>
      </c>
      <c r="J121" s="3112">
        <f t="shared" si="36"/>
        <v>0.54300000000000004</v>
      </c>
      <c r="K121" s="3112">
        <f t="shared" si="36"/>
        <v>0.54300000000000004</v>
      </c>
      <c r="L121" s="3112">
        <f t="shared" si="36"/>
        <v>0.54300000000000004</v>
      </c>
      <c r="M121" s="3113">
        <f t="shared" si="36"/>
        <v>0.54300000000000004</v>
      </c>
      <c r="N121" s="3098"/>
    </row>
    <row r="122" spans="1:14">
      <c r="A122" s="3114" t="s">
        <v>2612</v>
      </c>
      <c r="B122" s="3090">
        <f>ROUND(0.9404-0.0106*B116,4)</f>
        <v>0.91390000000000005</v>
      </c>
      <c r="C122" s="3090">
        <f>B122</f>
        <v>0.91390000000000005</v>
      </c>
      <c r="D122" s="3090">
        <f>ROUND(0.8955-0.0135*B116,4)</f>
        <v>0.86180000000000001</v>
      </c>
      <c r="E122" s="3090">
        <f t="shared" ref="E122:H122" si="38">D122</f>
        <v>0.86180000000000001</v>
      </c>
      <c r="F122" s="3090">
        <f t="shared" si="38"/>
        <v>0.86180000000000001</v>
      </c>
      <c r="G122" s="3090">
        <f t="shared" si="38"/>
        <v>0.86180000000000001</v>
      </c>
      <c r="H122" s="3090">
        <f t="shared" si="38"/>
        <v>0.86180000000000001</v>
      </c>
      <c r="I122" s="3090">
        <f>ROUND(0.7632-0.0166*B116,4)</f>
        <v>0.72170000000000001</v>
      </c>
      <c r="J122" s="3090">
        <f t="shared" si="36"/>
        <v>0.72170000000000001</v>
      </c>
      <c r="K122" s="3090">
        <f t="shared" si="36"/>
        <v>0.72170000000000001</v>
      </c>
      <c r="L122" s="3090">
        <f t="shared" si="36"/>
        <v>0.72170000000000001</v>
      </c>
      <c r="M122" s="3110">
        <f t="shared" si="36"/>
        <v>0.72170000000000001</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6" priority="6" stopIfTrue="1" operator="notEqual">
      <formula>"——"</formula>
    </cfRule>
  </conditionalFormatting>
  <conditionalFormatting sqref="F61">
    <cfRule type="cellIs" dxfId="135" priority="5" stopIfTrue="1" operator="notEqual">
      <formula>"——"</formula>
    </cfRule>
  </conditionalFormatting>
  <conditionalFormatting sqref="F72">
    <cfRule type="cellIs" dxfId="134" priority="4" stopIfTrue="1" operator="notEqual">
      <formula>"——"</formula>
    </cfRule>
  </conditionalFormatting>
  <conditionalFormatting sqref="F83">
    <cfRule type="cellIs" dxfId="133" priority="3" stopIfTrue="1" operator="notEqual">
      <formula>"——"</formula>
    </cfRule>
  </conditionalFormatting>
  <conditionalFormatting sqref="H50:H58 H61:H69 H72:H80 H83:H91">
    <cfRule type="cellIs" dxfId="132" priority="2" operator="notEqual">
      <formula>"——"</formula>
    </cfRule>
  </conditionalFormatting>
  <conditionalFormatting sqref="H93:H101">
    <cfRule type="cellIs" dxfId="13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D16" sqref="D16"/>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38368</v>
      </c>
      <c r="C2" s="1729" t="s">
        <v>1651</v>
      </c>
      <c r="D2" s="1730" t="s">
        <v>1652</v>
      </c>
      <c r="E2" s="2393">
        <f>SUM(E6:E13)</f>
        <v>27067.119999999988</v>
      </c>
      <c r="F2" s="2480"/>
      <c r="G2" s="459"/>
      <c r="H2" s="459"/>
      <c r="I2" s="459"/>
      <c r="J2" s="459"/>
      <c r="K2" s="459"/>
      <c r="L2" s="459"/>
      <c r="M2" s="459"/>
      <c r="N2" s="459"/>
      <c r="O2" s="459"/>
      <c r="P2" s="459"/>
      <c r="Q2" s="459"/>
      <c r="R2" s="459"/>
      <c r="S2" s="459"/>
    </row>
    <row r="3" spans="1:22" ht="15.75">
      <c r="A3" s="1728" t="s">
        <v>686</v>
      </c>
      <c r="B3" s="2387">
        <f ca="1">ROUND(B2*10000/E2,0)</f>
        <v>14175</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407" t="s">
        <v>1654</v>
      </c>
      <c r="C5" s="3408"/>
      <c r="D5" s="2481"/>
      <c r="E5" s="1731" t="s">
        <v>1655</v>
      </c>
      <c r="F5" s="129" t="s">
        <v>1656</v>
      </c>
      <c r="G5" s="459"/>
      <c r="H5" s="459"/>
      <c r="I5" s="459"/>
      <c r="J5" s="459"/>
      <c r="K5" s="459"/>
      <c r="L5" s="459"/>
      <c r="M5" s="459"/>
      <c r="N5" s="459"/>
      <c r="O5" s="459"/>
      <c r="P5" s="459"/>
      <c r="Q5" s="459"/>
      <c r="R5" s="459"/>
      <c r="S5" s="459"/>
    </row>
    <row r="6" spans="1:22">
      <c r="A6" s="2390" t="str">
        <f>'数据-取费表'!AN6</f>
        <v>收益法</v>
      </c>
      <c r="B6" s="2388">
        <f ca="1">IF(F6="是",'数据-取费表'!AO6,0)</f>
        <v>31383</v>
      </c>
      <c r="C6" s="1729" t="s">
        <v>1651</v>
      </c>
      <c r="D6" s="2480"/>
      <c r="E6" s="2392">
        <f>IF(OR(A6=0,F6="否"),0,'数据-取费表'!K6+'数据-取费表'!S6)</f>
        <v>12768.250000000011</v>
      </c>
      <c r="F6" s="1732" t="s">
        <v>1657</v>
      </c>
      <c r="G6" s="459"/>
      <c r="H6" s="459"/>
      <c r="I6" s="459"/>
      <c r="J6" s="459"/>
      <c r="K6" s="459"/>
      <c r="L6" s="459"/>
      <c r="M6" s="459"/>
      <c r="N6" s="459"/>
      <c r="O6" s="459"/>
      <c r="P6" s="459"/>
      <c r="Q6" s="459"/>
      <c r="R6" s="459"/>
      <c r="S6" s="459"/>
    </row>
    <row r="7" spans="1:22">
      <c r="A7" s="2390" t="str">
        <f>'数据-取费表'!AN7</f>
        <v>收益法车库</v>
      </c>
      <c r="B7" s="2388">
        <f ca="1">IF(F7="是",'数据-取费表'!AO7,0)</f>
        <v>6985</v>
      </c>
      <c r="C7" s="1729" t="s">
        <v>1651</v>
      </c>
      <c r="D7" s="2480"/>
      <c r="E7" s="2392">
        <f>IF(OR(A7=0,F7="否"),0,'数据-取费表'!K7+'数据-取费表'!S7)</f>
        <v>14298.869999999975</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f ca="1">B7/B2</f>
        <v>0.18205275229357798</v>
      </c>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56" sqref="J5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3657</v>
      </c>
      <c r="D1" s="1271" t="s">
        <v>43</v>
      </c>
      <c r="E1" s="1272" t="s">
        <v>678</v>
      </c>
      <c r="F1" s="999">
        <f ca="1">J53</f>
        <v>19.38</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31383</v>
      </c>
      <c r="C2" s="1289" t="s">
        <v>805</v>
      </c>
      <c r="D2" s="1289"/>
      <c r="E2" s="1295"/>
      <c r="F2" s="1296"/>
      <c r="G2" s="2479"/>
      <c r="H2" s="2469"/>
      <c r="I2" s="2469"/>
      <c r="J2" s="2469"/>
      <c r="K2" s="2470"/>
      <c r="L2" s="2469"/>
      <c r="M2" s="2469"/>
    </row>
    <row r="3" spans="1:37" ht="18" customHeight="1" thickBot="1">
      <c r="A3" s="1297" t="s">
        <v>806</v>
      </c>
      <c r="B3" s="1298">
        <f ca="1">IF(ISERROR(B2*10000/F43),0,ROUND(B2*10000/F43,0))</f>
        <v>24579</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2729</v>
      </c>
      <c r="D5" s="1273" t="s">
        <v>693</v>
      </c>
      <c r="E5" s="1008"/>
      <c r="F5" s="1009"/>
      <c r="G5" s="1292"/>
      <c r="H5" s="291">
        <v>1</v>
      </c>
      <c r="I5" s="292" t="s">
        <v>692</v>
      </c>
      <c r="J5" s="1007">
        <f ca="1">J6+J10+J12</f>
        <v>0</v>
      </c>
      <c r="K5" s="1273" t="s">
        <v>693</v>
      </c>
      <c r="L5" s="1008"/>
      <c r="M5" s="1009"/>
    </row>
    <row r="6" spans="1:37" ht="18" customHeight="1">
      <c r="A6" s="1006" t="s">
        <v>398</v>
      </c>
      <c r="B6" s="3411" t="s">
        <v>694</v>
      </c>
      <c r="C6" s="1011">
        <f ca="1">ROUND(F6*F8*F7*(1-F9)/10000,0)</f>
        <v>2726</v>
      </c>
      <c r="D6" s="147" t="s">
        <v>2109</v>
      </c>
      <c r="E6" s="294" t="s">
        <v>696</v>
      </c>
      <c r="F6" s="295">
        <f ca="1">INDIRECT("'数据-取费表'!u"&amp;$G$1)</f>
        <v>6.5</v>
      </c>
      <c r="G6" s="1292"/>
      <c r="H6" s="1006" t="s">
        <v>398</v>
      </c>
      <c r="I6" s="3411" t="s">
        <v>694</v>
      </c>
      <c r="J6" s="293">
        <f ca="1">ROUND(M6*M8*M7*(1-M9)/10000,0)</f>
        <v>0</v>
      </c>
      <c r="K6" s="147" t="s">
        <v>2108</v>
      </c>
      <c r="L6" s="294" t="s">
        <v>696</v>
      </c>
      <c r="M6" s="295">
        <f ca="1">INDIRECT("'数据-取费表'!z"&amp;$G$1)</f>
        <v>0</v>
      </c>
    </row>
    <row r="7" spans="1:37" ht="18" customHeight="1">
      <c r="A7" s="1010"/>
      <c r="B7" s="3412"/>
      <c r="C7" s="1012"/>
      <c r="D7" s="299"/>
      <c r="E7" s="1013" t="s">
        <v>697</v>
      </c>
      <c r="F7" s="295">
        <f ca="1">IF(INDIRECT("'数据-取费表'!ah"&amp;$G$1)="",INDIRECT("'数据-取费表'!k"&amp;$G$1),INDIRECT("'数据-取费表'!ah"&amp;$G$1))</f>
        <v>12768.250000000011</v>
      </c>
      <c r="G7" s="1292"/>
      <c r="H7" s="296"/>
      <c r="I7" s="3412"/>
      <c r="J7" s="298"/>
      <c r="K7" s="299"/>
      <c r="L7" s="294" t="s">
        <v>697</v>
      </c>
      <c r="M7" s="295">
        <f ca="1">F7</f>
        <v>12768.250000000011</v>
      </c>
    </row>
    <row r="8" spans="1:37" ht="18" customHeight="1">
      <c r="A8" s="296"/>
      <c r="B8" s="3412"/>
      <c r="C8" s="298"/>
      <c r="D8" s="299"/>
      <c r="E8" s="294" t="s">
        <v>698</v>
      </c>
      <c r="F8" s="295">
        <f ca="1">INDIRECT("'数据-取费表'!ai"&amp;$G$1)</f>
        <v>365</v>
      </c>
      <c r="G8" s="1292"/>
      <c r="H8" s="296"/>
      <c r="I8" s="3412"/>
      <c r="J8" s="298"/>
      <c r="K8" s="299"/>
      <c r="L8" s="294" t="s">
        <v>698</v>
      </c>
      <c r="M8" s="295">
        <f ca="1">INDIRECT("'数据-取费表'!ai"&amp;$G$1)</f>
        <v>365</v>
      </c>
    </row>
    <row r="9" spans="1:37" ht="18" customHeight="1">
      <c r="A9" s="296"/>
      <c r="B9" s="3413"/>
      <c r="C9" s="298"/>
      <c r="D9" s="299"/>
      <c r="E9" s="294" t="s">
        <v>699</v>
      </c>
      <c r="F9" s="304">
        <f ca="1">INDIRECT("'数据-取费表'!w"&amp;$G$1)</f>
        <v>0.1</v>
      </c>
      <c r="G9" s="1292"/>
      <c r="H9" s="296"/>
      <c r="I9" s="3413"/>
      <c r="J9" s="298"/>
      <c r="K9" s="299"/>
      <c r="L9" s="305" t="s">
        <v>699</v>
      </c>
      <c r="M9" s="306">
        <f ca="1">INDIRECT("'数据-取费表'!ab"&amp;$G$1)</f>
        <v>0</v>
      </c>
    </row>
    <row r="10" spans="1:37" ht="18" customHeight="1">
      <c r="A10" s="1006" t="s">
        <v>402</v>
      </c>
      <c r="B10" s="1274" t="s">
        <v>700</v>
      </c>
      <c r="C10" s="308">
        <f ca="1">ROUND(IF(F10="押一",C6/12*F11,IF(F10="押二",C6/12*2*F11,IF(F10="押三",C6/12*3*F11,C11*F11))),0)</f>
        <v>3</v>
      </c>
      <c r="D10" s="150" t="s">
        <v>2117</v>
      </c>
      <c r="E10" s="305" t="s">
        <v>701</v>
      </c>
      <c r="F10" s="1053" t="s">
        <v>3667</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6535</v>
      </c>
      <c r="D13" s="1018" t="s">
        <v>705</v>
      </c>
      <c r="E13" s="1018" t="s">
        <v>706</v>
      </c>
      <c r="F13" s="1019">
        <f ca="1">INDIRECT("'数据-取费表'!y"&amp;$G$1)</f>
        <v>0.75</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6001</v>
      </c>
      <c r="D14" s="1257" t="s">
        <v>708</v>
      </c>
      <c r="E14" s="1255"/>
      <c r="F14" s="311"/>
      <c r="G14" s="1292"/>
      <c r="H14" s="928" t="s">
        <v>398</v>
      </c>
      <c r="I14" s="294" t="s">
        <v>709</v>
      </c>
      <c r="J14" s="21">
        <f ca="1">C29</f>
        <v>8713</v>
      </c>
      <c r="K14" s="12"/>
      <c r="L14" s="759"/>
      <c r="M14" s="760"/>
    </row>
    <row r="15" spans="1:37" s="1304" customFormat="1" ht="18" customHeight="1" thickBot="1">
      <c r="A15" s="928" t="s">
        <v>399</v>
      </c>
      <c r="B15" s="294" t="s">
        <v>710</v>
      </c>
      <c r="C15" s="21">
        <f ca="1">ROUND(C14*F15,0)</f>
        <v>300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26</v>
      </c>
      <c r="K16" s="1024" t="s">
        <v>715</v>
      </c>
      <c r="L16" s="1025"/>
      <c r="M16" s="1009"/>
    </row>
    <row r="17" spans="1:37" s="1304" customFormat="1" ht="18" customHeight="1">
      <c r="A17" s="928" t="s">
        <v>681</v>
      </c>
      <c r="B17" s="294" t="s">
        <v>716</v>
      </c>
      <c r="C17" s="21">
        <f ca="1">ROUND(F17*(F43+INDIRECT("'数据-取费表'!S"&amp;$G$1))/10000,0)</f>
        <v>255</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120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6676</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134</v>
      </c>
      <c r="D20" s="315" t="s">
        <v>729</v>
      </c>
      <c r="E20" s="294" t="s">
        <v>712</v>
      </c>
      <c r="F20" s="314">
        <f>'数据-取费表'!B37</f>
        <v>0.02</v>
      </c>
      <c r="G20" s="1303"/>
      <c r="H20" s="928" t="s">
        <v>680</v>
      </c>
      <c r="I20" s="147" t="s">
        <v>730</v>
      </c>
      <c r="J20" s="22">
        <f ca="1">ROUND(M20*M21/10000,2)</f>
        <v>0</v>
      </c>
      <c r="K20" s="316" t="s">
        <v>731</v>
      </c>
      <c r="L20" s="294" t="s">
        <v>732</v>
      </c>
      <c r="M20" s="317">
        <f>'数据-取费表'!B52</f>
        <v>24</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26.14</v>
      </c>
      <c r="K22" s="1256" t="s">
        <v>739</v>
      </c>
      <c r="L22" s="294" t="s">
        <v>712</v>
      </c>
      <c r="M22" s="320">
        <f ca="1">INDIRECT("'数据-取费表'!Ak"&amp;$G$1)</f>
        <v>3.0000000000000001E-3</v>
      </c>
    </row>
    <row r="23" spans="1:37" s="1304" customFormat="1" ht="18" customHeight="1">
      <c r="A23" s="928" t="s">
        <v>397</v>
      </c>
      <c r="B23" s="294" t="s">
        <v>740</v>
      </c>
      <c r="C23" s="21">
        <f ca="1">IF('数据-取费表'!B22&lt;=1,ROUND(C19*F24*F23/2,0)+ROUND(C20*F24*F23/2,0),ROUND(C19*(POWER((1+F24),F23/2)-1),0)+ROUND(C20*(POWER((1+F24),F23/2)-1),0))</f>
        <v>211</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-26</v>
      </c>
      <c r="K25" s="1032" t="s">
        <v>753</v>
      </c>
      <c r="L25" s="1033"/>
      <c r="M25" s="1034"/>
    </row>
    <row r="26" spans="1:37">
      <c r="A26" s="928" t="s">
        <v>397</v>
      </c>
      <c r="B26" s="294" t="s">
        <v>754</v>
      </c>
      <c r="C26" s="21">
        <f ca="1">ROUND((C19+C20)*F26,0)</f>
        <v>1022</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8713</v>
      </c>
      <c r="D29" s="1029"/>
      <c r="E29" s="1027"/>
      <c r="F29" s="1030"/>
      <c r="G29" s="1303"/>
      <c r="H29" s="325" t="s">
        <v>396</v>
      </c>
      <c r="I29" s="326" t="s">
        <v>768</v>
      </c>
      <c r="J29" s="327">
        <f ca="1">ROUND(J26/(1+F40)^F41,0)</f>
        <v>0</v>
      </c>
      <c r="K29" s="328" t="s">
        <v>769</v>
      </c>
      <c r="L29" s="329"/>
      <c r="M29" s="330">
        <f ca="1">INDIRECT("'数据-取费表'!k"&amp;$G$1)</f>
        <v>12768.250000000011</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503</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456.93</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IF(项目基本情况!B11="自然人","——",ROUND(C6*F32/(1+'数据-取费表'!C42),2))</f>
        <v>145.38999999999999</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311.54000000000002</v>
      </c>
      <c r="D33" s="1278" t="s">
        <v>3335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24</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26.14</v>
      </c>
      <c r="D36" s="1256" t="s">
        <v>771</v>
      </c>
      <c r="E36" s="294" t="s">
        <v>712</v>
      </c>
      <c r="F36" s="320">
        <f ca="1">INDIRECT("'数据-取费表'!Ak"&amp;$G$1)</f>
        <v>3.0000000000000001E-3</v>
      </c>
      <c r="G36" s="1292"/>
      <c r="H36" s="2474"/>
      <c r="I36" s="1305"/>
      <c r="J36" s="1306"/>
      <c r="K36" s="2331"/>
      <c r="L36" s="2474"/>
      <c r="M36" s="2474"/>
    </row>
    <row r="37" spans="1:18" ht="18" customHeight="1">
      <c r="A37" s="928" t="s">
        <v>437</v>
      </c>
      <c r="B37" s="294" t="s">
        <v>742</v>
      </c>
      <c r="C37" s="21">
        <f ca="1">ROUND(C13*F37,2)</f>
        <v>6.54</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ROUND(C5*F38,2)</f>
        <v>13.65</v>
      </c>
      <c r="D38" s="1029" t="s">
        <v>748</v>
      </c>
      <c r="E38" s="1027" t="s">
        <v>744</v>
      </c>
      <c r="F38" s="1023">
        <f ca="1">INDIRECT("'数据-取费表'!Am"&amp;$G$1)</f>
        <v>5.0000000000000001E-3</v>
      </c>
      <c r="G38" s="1292"/>
      <c r="H38" s="2474"/>
      <c r="I38" s="1305"/>
      <c r="J38" s="1306"/>
      <c r="K38" s="2472"/>
      <c r="L38" s="2474"/>
      <c r="M38" s="2474"/>
    </row>
    <row r="39" spans="1:18" ht="24.6" customHeight="1" thickTop="1">
      <c r="A39" s="1016" t="s">
        <v>394</v>
      </c>
      <c r="B39" s="1031" t="s">
        <v>772</v>
      </c>
      <c r="C39" s="302">
        <f ca="1">C5-C30</f>
        <v>2226</v>
      </c>
      <c r="D39" s="1032" t="s">
        <v>773</v>
      </c>
      <c r="E39" s="1033"/>
      <c r="F39" s="1034"/>
      <c r="G39" s="1292"/>
      <c r="H39" s="2474"/>
      <c r="I39" s="1305"/>
      <c r="J39" s="1306"/>
      <c r="K39" s="2472"/>
      <c r="L39" s="2474"/>
      <c r="M39" s="2474"/>
    </row>
    <row r="40" spans="1:18" ht="18" customHeight="1">
      <c r="A40" s="291" t="s">
        <v>395</v>
      </c>
      <c r="B40" s="292" t="s">
        <v>774</v>
      </c>
      <c r="C40" s="293">
        <f ca="1">ROUND(C39*(1-((1+F42)/(1+F40))^F41)/(F40-F42),0)</f>
        <v>30525</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19.38</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ROUND(C40*10000/F43,0)</f>
        <v>23907</v>
      </c>
      <c r="D43" s="328" t="s">
        <v>777</v>
      </c>
      <c r="E43" s="329" t="s">
        <v>778</v>
      </c>
      <c r="F43" s="330">
        <f ca="1">INDIRECT("'数据-取费表'!k"&amp;$G$1)</f>
        <v>12768.250000000011</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-30912</v>
      </c>
      <c r="D46" s="1313" t="str">
        <f>C2</f>
        <v>万元</v>
      </c>
      <c r="E46" s="1307"/>
      <c r="F46" s="1307"/>
      <c r="I46" s="1314" t="s">
        <v>810</v>
      </c>
      <c r="J46" s="1315"/>
      <c r="K46" s="1316"/>
      <c r="L46" s="1317">
        <f ca="1">IF(M47="住宅",0,IF(L48&gt;J51,L60,J60))</f>
        <v>858</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3668</v>
      </c>
      <c r="K47" s="1323" t="s">
        <v>816</v>
      </c>
      <c r="L47" s="1324">
        <f ca="1">INDIRECT("'数据-取费表'!d"&amp;$G$1)</f>
        <v>40</v>
      </c>
      <c r="M47" s="1288" t="str">
        <f>IF(ISNUMBER(FIND("住宅",C1)),"住宅","非住宅")</f>
        <v>非住宅</v>
      </c>
      <c r="O47" s="1325" t="s">
        <v>403</v>
      </c>
      <c r="P47" s="1326" t="s">
        <v>817</v>
      </c>
      <c r="Q47" s="1327">
        <f ca="1">C40+J29</f>
        <v>30525</v>
      </c>
      <c r="R47" s="1327" t="s">
        <v>818</v>
      </c>
    </row>
    <row r="48" spans="1:18" s="1292" customFormat="1" ht="28.5" thickBot="1">
      <c r="A48" s="1047" t="s">
        <v>438</v>
      </c>
      <c r="B48" s="292" t="s">
        <v>692</v>
      </c>
      <c r="C48" s="1268">
        <f ca="1">C49+C53+C55</f>
        <v>0</v>
      </c>
      <c r="D48" s="1049"/>
      <c r="E48" s="1050"/>
      <c r="F48" s="908"/>
      <c r="G48" s="681"/>
      <c r="H48" s="682"/>
      <c r="I48" s="1328" t="s">
        <v>819</v>
      </c>
      <c r="J48" s="1329" t="s">
        <v>3669</v>
      </c>
      <c r="K48" s="1330" t="s">
        <v>820</v>
      </c>
      <c r="L48" s="1331">
        <f ca="1">INDIRECT("'数据-取费表'!f"&amp;$G$1)</f>
        <v>19.38</v>
      </c>
      <c r="O48" s="1325" t="s">
        <v>404</v>
      </c>
      <c r="P48" s="1326" t="s">
        <v>821</v>
      </c>
      <c r="Q48" s="1327">
        <f ca="1">J60</f>
        <v>858</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f>'数据-取费表'!N18</f>
        <v>2007</v>
      </c>
      <c r="K49" s="1330" t="s">
        <v>824</v>
      </c>
      <c r="L49" s="1333"/>
      <c r="O49" s="1334" t="s">
        <v>405</v>
      </c>
      <c r="P49" s="1326" t="s">
        <v>825</v>
      </c>
      <c r="Q49" s="1327">
        <f ca="1">C29</f>
        <v>8713</v>
      </c>
      <c r="R49" s="1327" t="s">
        <v>818</v>
      </c>
    </row>
    <row r="50" spans="1:18" s="1292" customFormat="1" ht="13.5" thickBot="1">
      <c r="A50" s="922"/>
      <c r="B50" s="925"/>
      <c r="C50" s="1055"/>
      <c r="D50" s="899"/>
      <c r="E50" s="993" t="s">
        <v>697</v>
      </c>
      <c r="F50" s="994">
        <f ca="1">F7</f>
        <v>12768.250000000011</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42</v>
      </c>
      <c r="K51" s="1339" t="s">
        <v>830</v>
      </c>
      <c r="L51" s="1340">
        <f ca="1">ROUND(-PV(INDIRECT("'数据-取费表'!h"&amp;$G$1),J51,(C39-C13*C76),0),0)</f>
        <v>30814</v>
      </c>
      <c r="M51" s="1341"/>
      <c r="O51" s="1334" t="s">
        <v>407</v>
      </c>
      <c r="P51" s="1326" t="s">
        <v>831</v>
      </c>
      <c r="Q51" s="1337">
        <f>J52</f>
        <v>7.5000000000000011E-2</v>
      </c>
      <c r="R51" s="1327"/>
    </row>
    <row r="52" spans="1:18" s="1292" customFormat="1" ht="13.5" thickBot="1">
      <c r="A52" s="923"/>
      <c r="B52" s="925"/>
      <c r="C52" s="926"/>
      <c r="D52" s="899"/>
      <c r="E52" s="927" t="s">
        <v>699</v>
      </c>
      <c r="F52" s="991"/>
      <c r="I52" s="1342" t="s">
        <v>832</v>
      </c>
      <c r="J52" s="1343">
        <f>'数据-取费表'!J6+0.005</f>
        <v>7.5000000000000011E-2</v>
      </c>
      <c r="K52" s="1342" t="s">
        <v>833</v>
      </c>
      <c r="L52" s="1343"/>
      <c r="O52" s="1334" t="s">
        <v>408</v>
      </c>
      <c r="P52" s="1326" t="s">
        <v>834</v>
      </c>
      <c r="Q52" s="1327">
        <f ca="1">J53</f>
        <v>19.38</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19.38</v>
      </c>
      <c r="K53" s="3409" t="s">
        <v>837</v>
      </c>
      <c r="L53" s="3410"/>
      <c r="O53" s="1325" t="s">
        <v>409</v>
      </c>
      <c r="P53" s="1326" t="s">
        <v>838</v>
      </c>
      <c r="Q53" s="1327">
        <f ca="1">Q47+Q48</f>
        <v>31383</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0.377</v>
      </c>
      <c r="K55" s="1350" t="s">
        <v>841</v>
      </c>
      <c r="L55" s="1351"/>
      <c r="O55" s="1318" t="s">
        <v>811</v>
      </c>
      <c r="P55" s="1319" t="s">
        <v>812</v>
      </c>
      <c r="Q55" s="1320" t="s">
        <v>813</v>
      </c>
      <c r="R55" s="1320" t="s">
        <v>814</v>
      </c>
    </row>
    <row r="56" spans="1:18" s="1292" customFormat="1" ht="25.5" thickTop="1" thickBot="1">
      <c r="A56" s="903">
        <v>2</v>
      </c>
      <c r="B56" s="904" t="s">
        <v>704</v>
      </c>
      <c r="C56" s="224">
        <f ca="1">C13</f>
        <v>6535</v>
      </c>
      <c r="D56" s="1352"/>
      <c r="E56" s="1353"/>
      <c r="F56" s="1345"/>
      <c r="I56" s="1354" t="s">
        <v>842</v>
      </c>
      <c r="J56" s="1355" t="s">
        <v>3670</v>
      </c>
      <c r="K56" s="1328" t="s">
        <v>843</v>
      </c>
      <c r="L56" s="1331" t="str">
        <f ca="1">IF(L48&lt;J51,"——",L48-J53)</f>
        <v>——</v>
      </c>
      <c r="O56" s="1325" t="s">
        <v>403</v>
      </c>
      <c r="P56" s="1326" t="s">
        <v>817</v>
      </c>
      <c r="Q56" s="1327">
        <f ca="1">C40+J29</f>
        <v>30525</v>
      </c>
      <c r="R56" s="1327" t="s">
        <v>818</v>
      </c>
    </row>
    <row r="57" spans="1:18" s="1292" customFormat="1" ht="24.75" thickBot="1">
      <c r="A57" s="1356"/>
      <c r="B57" s="896" t="s">
        <v>767</v>
      </c>
      <c r="C57" s="230">
        <f ca="1">C29</f>
        <v>8713</v>
      </c>
      <c r="D57" s="1357"/>
      <c r="E57" s="1358"/>
      <c r="F57" s="1359"/>
      <c r="I57" s="1360" t="s">
        <v>844</v>
      </c>
      <c r="J57" s="1361">
        <f ca="1">IF(OR(M47="住宅",J51&lt;L48,J56="是"),"——",J51-L48)</f>
        <v>22.62</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33</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3485</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858</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24</v>
      </c>
      <c r="I62" s="1367" t="s">
        <v>858</v>
      </c>
      <c r="J62" s="610" t="s">
        <v>859</v>
      </c>
      <c r="K62" s="610" t="s">
        <v>860</v>
      </c>
      <c r="L62" s="610" t="s">
        <v>861</v>
      </c>
      <c r="M62" s="1368" t="s">
        <v>862</v>
      </c>
      <c r="O62" s="1325" t="s">
        <v>409</v>
      </c>
      <c r="P62" s="1326" t="s">
        <v>863</v>
      </c>
      <c r="Q62" s="1327">
        <f ca="1">Q56+Q57</f>
        <v>30525</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26.14</v>
      </c>
      <c r="D64" s="910" t="s">
        <v>791</v>
      </c>
      <c r="E64" s="896" t="s">
        <v>783</v>
      </c>
      <c r="F64" s="320">
        <f t="shared" ca="1" si="0"/>
        <v>3.0000000000000001E-3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6.54</v>
      </c>
      <c r="D65" s="910" t="s">
        <v>743</v>
      </c>
      <c r="E65" s="896" t="s">
        <v>744</v>
      </c>
      <c r="F65" s="321">
        <f t="shared" ca="1" si="0"/>
        <v>1E-3</v>
      </c>
      <c r="I65" s="1367" t="s">
        <v>867</v>
      </c>
      <c r="J65" s="610">
        <v>40</v>
      </c>
      <c r="K65" s="610">
        <v>30</v>
      </c>
      <c r="L65" s="610">
        <v>50</v>
      </c>
      <c r="M65" s="1369">
        <v>0.02</v>
      </c>
      <c r="O65" s="1325" t="s">
        <v>403</v>
      </c>
      <c r="P65" s="1326" t="s">
        <v>868</v>
      </c>
      <c r="Q65" s="1327">
        <f ca="1">C40+J29</f>
        <v>30525</v>
      </c>
      <c r="R65" s="1327" t="s">
        <v>818</v>
      </c>
    </row>
    <row r="66" spans="1:18" s="1292" customFormat="1" ht="16.5" thickBot="1">
      <c r="A66" s="928" t="s">
        <v>793</v>
      </c>
      <c r="B66" s="896" t="s">
        <v>728</v>
      </c>
      <c r="C66" s="21">
        <f ca="1">ROUND(C48*F66,2)</f>
        <v>0</v>
      </c>
      <c r="D66" s="910" t="s">
        <v>794</v>
      </c>
      <c r="E66" s="896" t="s">
        <v>712</v>
      </c>
      <c r="F66" s="304">
        <f t="shared" ca="1" si="0"/>
        <v>5.0000000000000001E-3</v>
      </c>
      <c r="O66" s="1325" t="s">
        <v>404</v>
      </c>
      <c r="P66" s="1326" t="s">
        <v>846</v>
      </c>
      <c r="Q66" s="1327">
        <f ca="1">L60</f>
        <v>0</v>
      </c>
      <c r="R66" s="1327" t="s">
        <v>869</v>
      </c>
    </row>
    <row r="67" spans="1:18" s="1292" customFormat="1" ht="16.5" thickBot="1">
      <c r="A67" s="903" t="s">
        <v>394</v>
      </c>
      <c r="B67" s="913" t="s">
        <v>752</v>
      </c>
      <c r="C67" s="308">
        <f ca="1">C48-C58</f>
        <v>-33</v>
      </c>
      <c r="D67" s="909" t="s">
        <v>753</v>
      </c>
      <c r="E67" s="914"/>
      <c r="F67" s="915"/>
      <c r="O67" s="1334" t="s">
        <v>405</v>
      </c>
      <c r="P67" s="1326" t="s">
        <v>850</v>
      </c>
      <c r="Q67" s="1370">
        <f ca="1">L51</f>
        <v>30814</v>
      </c>
      <c r="R67" s="1327" t="s">
        <v>870</v>
      </c>
    </row>
    <row r="68" spans="1:18" s="1292" customFormat="1" ht="16.5" thickBot="1">
      <c r="A68" s="893" t="s">
        <v>395</v>
      </c>
      <c r="B68" s="894" t="s">
        <v>774</v>
      </c>
      <c r="C68" s="293">
        <f ca="1">ROUND(C67*(1-((1+F70)/(1+F68))^F69)/(F68-F70),0)</f>
        <v>-387</v>
      </c>
      <c r="D68" s="911" t="s">
        <v>758</v>
      </c>
      <c r="E68" s="896" t="s">
        <v>759</v>
      </c>
      <c r="F68" s="304">
        <f ca="1">F40</f>
        <v>5.5E-2</v>
      </c>
      <c r="O68" s="1334" t="s">
        <v>406</v>
      </c>
      <c r="P68" s="1371" t="s">
        <v>871</v>
      </c>
      <c r="Q68" s="1327">
        <f ca="1">ROUND(Q69-Q70*Q71,0)</f>
        <v>1769</v>
      </c>
      <c r="R68" s="1327" t="s">
        <v>414</v>
      </c>
    </row>
    <row r="69" spans="1:18" s="1292" customFormat="1" ht="13.5" thickBot="1">
      <c r="A69" s="897"/>
      <c r="B69" s="898"/>
      <c r="C69" s="298"/>
      <c r="D69" s="916" t="s">
        <v>762</v>
      </c>
      <c r="E69" s="896" t="s">
        <v>763</v>
      </c>
      <c r="F69" s="324">
        <f ca="1">F41</f>
        <v>19.38</v>
      </c>
      <c r="O69" s="1334" t="s">
        <v>411</v>
      </c>
      <c r="P69" s="1371" t="s">
        <v>872</v>
      </c>
      <c r="Q69" s="1327">
        <f ca="1">C39</f>
        <v>2226</v>
      </c>
      <c r="R69" s="1327" t="s">
        <v>818</v>
      </c>
    </row>
    <row r="70" spans="1:18" s="1292" customFormat="1" ht="13.5" thickBot="1">
      <c r="A70" s="900"/>
      <c r="B70" s="901"/>
      <c r="C70" s="302"/>
      <c r="D70" s="912"/>
      <c r="E70" s="896" t="s">
        <v>766</v>
      </c>
      <c r="F70" s="991"/>
      <c r="O70" s="1334" t="s">
        <v>412</v>
      </c>
      <c r="P70" s="1371" t="s">
        <v>873</v>
      </c>
      <c r="Q70" s="1327">
        <f ca="1">C13</f>
        <v>6535</v>
      </c>
      <c r="R70" s="1327" t="s">
        <v>818</v>
      </c>
    </row>
    <row r="71" spans="1:18" s="1292" customFormat="1" ht="13.5" thickBot="1">
      <c r="A71" s="917" t="s">
        <v>396</v>
      </c>
      <c r="B71" s="918" t="s">
        <v>776</v>
      </c>
      <c r="C71" s="327">
        <f ca="1">ROUND(C68*10000/F71,0)</f>
        <v>-303</v>
      </c>
      <c r="D71" s="919" t="s">
        <v>777</v>
      </c>
      <c r="E71" s="920" t="s">
        <v>778</v>
      </c>
      <c r="F71" s="330">
        <f ca="1">F43</f>
        <v>12768.250000000011</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457</v>
      </c>
      <c r="D75" s="1292"/>
      <c r="E75" s="1292"/>
      <c r="F75" s="1292"/>
      <c r="K75" s="1309"/>
      <c r="L75" s="1292"/>
      <c r="O75" s="1325" t="s">
        <v>409</v>
      </c>
      <c r="P75" s="1326" t="s">
        <v>838</v>
      </c>
      <c r="Q75" s="1327">
        <f ca="1">Q65+Q66</f>
        <v>30525</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0.79500000000000004</v>
      </c>
    </row>
    <row r="80" spans="1:18">
      <c r="B80" s="331" t="s">
        <v>800</v>
      </c>
      <c r="C80" s="266">
        <f ca="1">ROUND(C75/C39,3)</f>
        <v>0.20499999999999999</v>
      </c>
    </row>
    <row r="81" spans="2:3">
      <c r="B81" s="262" t="s">
        <v>801</v>
      </c>
      <c r="C81" s="230"/>
    </row>
    <row r="82" spans="2:3">
      <c r="B82" s="265" t="s">
        <v>802</v>
      </c>
      <c r="C82" s="267">
        <f ca="1">1-C83</f>
        <v>0.78600000000000003</v>
      </c>
    </row>
    <row r="83" spans="2:3">
      <c r="B83" s="265" t="s">
        <v>803</v>
      </c>
      <c r="C83" s="266">
        <f ca="1">ROUND(C13/C40,3)</f>
        <v>0.214</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0" priority="3">
      <formula>$F$10="自定义"</formula>
    </cfRule>
  </conditionalFormatting>
  <conditionalFormatting sqref="C54">
    <cfRule type="expression" dxfId="129" priority="1">
      <formula>$F$53="自定义"</formula>
    </cfRule>
  </conditionalFormatting>
  <conditionalFormatting sqref="I55 I60">
    <cfRule type="expression" dxfId="128" priority="57">
      <formula>$J$51&gt;$L$48</formula>
    </cfRule>
  </conditionalFormatting>
  <conditionalFormatting sqref="J11">
    <cfRule type="expression" dxfId="127" priority="2">
      <formula>$M$10="自定义"</formula>
    </cfRule>
  </conditionalFormatting>
  <conditionalFormatting sqref="K55 K60">
    <cfRule type="expression" dxfId="126"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8</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411" t="s">
        <v>694</v>
      </c>
      <c r="C6" s="1011">
        <f ca="1">ROUND(F6*F8*F7*(1-F9),0)</f>
        <v>0</v>
      </c>
      <c r="D6" s="147" t="s">
        <v>2106</v>
      </c>
      <c r="E6" s="294" t="s">
        <v>696</v>
      </c>
      <c r="F6" s="295">
        <f ca="1">INDIRECT("'数据-取费表'!u"&amp;$G$1)</f>
        <v>0</v>
      </c>
      <c r="G6" s="1292"/>
      <c r="H6" s="1006" t="s">
        <v>398</v>
      </c>
      <c r="I6" s="3411" t="s">
        <v>694</v>
      </c>
      <c r="J6" s="293">
        <f ca="1">ROUND(M6*M8*M7*(1-M9),0)</f>
        <v>0</v>
      </c>
      <c r="K6" s="1284" t="s">
        <v>2107</v>
      </c>
      <c r="L6" s="294" t="s">
        <v>696</v>
      </c>
      <c r="M6" s="295">
        <f ca="1">INDIRECT("'数据-取费表'!z"&amp;$G$1)</f>
        <v>0</v>
      </c>
    </row>
    <row r="7" spans="1:37" ht="18" customHeight="1">
      <c r="A7" s="1010"/>
      <c r="B7" s="3412"/>
      <c r="C7" s="1012"/>
      <c r="D7" s="299"/>
      <c r="E7" s="1013" t="s">
        <v>697</v>
      </c>
      <c r="F7" s="295">
        <f ca="1">IF(INDIRECT("'数据-取费表'!ah"&amp;$G$1)="",INDIRECT("'数据-取费表'!k"&amp;$G$1),INDIRECT("'数据-取费表'!ah"&amp;$G$1))</f>
        <v>0</v>
      </c>
      <c r="G7" s="1292"/>
      <c r="H7" s="296"/>
      <c r="I7" s="3412"/>
      <c r="J7" s="298"/>
      <c r="K7" s="299"/>
      <c r="L7" s="294" t="s">
        <v>697</v>
      </c>
      <c r="M7" s="295">
        <f ca="1">F7</f>
        <v>0</v>
      </c>
    </row>
    <row r="8" spans="1:37" ht="18" customHeight="1">
      <c r="A8" s="296"/>
      <c r="B8" s="3412"/>
      <c r="C8" s="298"/>
      <c r="D8" s="299"/>
      <c r="E8" s="294" t="s">
        <v>698</v>
      </c>
      <c r="F8" s="295">
        <f ca="1">INDIRECT("'数据-取费表'!ai"&amp;$G$1)</f>
        <v>0</v>
      </c>
      <c r="G8" s="1292"/>
      <c r="H8" s="296"/>
      <c r="I8" s="3412"/>
      <c r="J8" s="298"/>
      <c r="K8" s="299"/>
      <c r="L8" s="294" t="s">
        <v>698</v>
      </c>
      <c r="M8" s="295">
        <f ca="1">INDIRECT("'数据-取费表'!ai"&amp;$G$1)</f>
        <v>0</v>
      </c>
    </row>
    <row r="9" spans="1:37" ht="18" customHeight="1">
      <c r="A9" s="296"/>
      <c r="B9" s="3413"/>
      <c r="C9" s="298"/>
      <c r="D9" s="299"/>
      <c r="E9" s="294" t="s">
        <v>699</v>
      </c>
      <c r="F9" s="304">
        <f ca="1">INDIRECT("'数据-取费表'!w"&amp;$G$1)</f>
        <v>0</v>
      </c>
      <c r="G9" s="1292"/>
      <c r="H9" s="296"/>
      <c r="I9" s="341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24</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24</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3351</v>
      </c>
      <c r="B45" s="1307"/>
      <c r="C45" s="1376" t="e">
        <f ca="1">ROUND((C68-C40)/10000,4)</f>
        <v>#DIV/0!</v>
      </c>
      <c r="D45" s="3131" t="s">
        <v>3352</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409" t="s">
        <v>837</v>
      </c>
      <c r="L53" s="3410"/>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24</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
      <formula>$J$51&gt;$L$48</formula>
    </cfRule>
  </conditionalFormatting>
  <conditionalFormatting sqref="J11">
    <cfRule type="expression" dxfId="122" priority="2">
      <formula>$M$10="自定义"</formula>
    </cfRule>
  </conditionalFormatting>
  <conditionalFormatting sqref="K55 K60">
    <cfRule type="expression" dxfId="121"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2435</v>
      </c>
      <c r="B1" s="2584"/>
      <c r="C1" s="2596"/>
      <c r="D1" s="2596"/>
      <c r="E1" s="2585"/>
      <c r="F1" s="2586"/>
      <c r="G1" s="2587"/>
      <c r="J1" s="2590" t="s">
        <v>2314</v>
      </c>
      <c r="K1" s="2591"/>
      <c r="L1" s="2591"/>
      <c r="M1" s="2591"/>
      <c r="N1" s="2591"/>
      <c r="O1" s="2591"/>
      <c r="P1" s="2591"/>
      <c r="Q1" s="2591"/>
      <c r="R1" s="2592"/>
      <c r="S1" s="2593"/>
      <c r="T1" s="2593"/>
      <c r="U1" s="2593"/>
    </row>
    <row r="2" spans="1:22" s="2605" customFormat="1" ht="13.15" customHeight="1">
      <c r="A2" s="1293" t="s">
        <v>2315</v>
      </c>
      <c r="B2" s="2595" t="e">
        <f>IF(D2="——",C40,C40+E2)</f>
        <v>#DIV/0!</v>
      </c>
      <c r="C2" s="2596" t="s">
        <v>2316</v>
      </c>
      <c r="D2" s="3139" t="s">
        <v>3358</v>
      </c>
      <c r="E2" s="3140"/>
      <c r="F2" s="2598"/>
      <c r="G2" s="2599"/>
      <c r="H2" s="2600"/>
      <c r="I2" s="2601"/>
      <c r="J2" s="3414" t="s">
        <v>2317</v>
      </c>
      <c r="K2" s="3415"/>
      <c r="L2" s="2602" t="s">
        <v>2318</v>
      </c>
      <c r="M2" s="2602" t="s">
        <v>2319</v>
      </c>
      <c r="N2" s="2602" t="s">
        <v>2320</v>
      </c>
      <c r="O2" s="2602" t="s">
        <v>2321</v>
      </c>
      <c r="P2" s="2602" t="s">
        <v>2322</v>
      </c>
      <c r="Q2" s="2603" t="s">
        <v>2323</v>
      </c>
      <c r="R2" s="2604" t="s">
        <v>2324</v>
      </c>
      <c r="S2" s="2593"/>
      <c r="T2" s="2593"/>
      <c r="U2" s="2593"/>
      <c r="V2" s="2601"/>
    </row>
    <row r="3" spans="1:22" s="2605" customFormat="1" ht="13.15" customHeight="1">
      <c r="A3" s="2606" t="s">
        <v>2325</v>
      </c>
      <c r="B3" s="2607" t="e">
        <f>ROUND(B2*10000/B4,0)</f>
        <v>#DIV/0!</v>
      </c>
      <c r="C3" s="2596" t="s">
        <v>2326</v>
      </c>
      <c r="D3" s="2596"/>
      <c r="E3" s="2597"/>
      <c r="F3" s="2598"/>
      <c r="G3" s="2599"/>
      <c r="H3" s="2600"/>
      <c r="I3" s="2601"/>
      <c r="J3" s="3416" t="s">
        <v>2327</v>
      </c>
      <c r="K3" s="3417"/>
      <c r="L3" s="2608"/>
      <c r="M3" s="2608"/>
      <c r="N3" s="2608"/>
      <c r="O3" s="2608"/>
      <c r="P3" s="2608"/>
      <c r="Q3" s="2609"/>
      <c r="R3" s="2610">
        <f>SUM(L3:Q3)</f>
        <v>0</v>
      </c>
      <c r="S3" s="2593"/>
      <c r="T3" s="2593"/>
      <c r="U3" s="2593"/>
      <c r="V3" s="2601"/>
    </row>
    <row r="4" spans="1:22" s="2605" customFormat="1" ht="13.15" customHeight="1">
      <c r="A4" s="2611" t="s">
        <v>2328</v>
      </c>
      <c r="B4" s="2612"/>
      <c r="C4" s="2596"/>
      <c r="D4" s="2596"/>
      <c r="E4" s="2597"/>
      <c r="F4" s="2598"/>
      <c r="G4" s="2599"/>
      <c r="H4" s="2600"/>
      <c r="I4" s="2601"/>
      <c r="J4" s="3416" t="s">
        <v>2329</v>
      </c>
      <c r="K4" s="3417"/>
      <c r="L4" s="2613"/>
      <c r="M4" s="2613"/>
      <c r="N4" s="2613"/>
      <c r="O4" s="2613"/>
      <c r="P4" s="2613"/>
      <c r="Q4" s="2614"/>
      <c r="R4" s="2615">
        <f>SUM(L4:Q4)</f>
        <v>0</v>
      </c>
      <c r="S4" s="2593"/>
      <c r="T4" s="2593"/>
      <c r="U4" s="2593"/>
      <c r="V4" s="2601"/>
    </row>
    <row r="5" spans="1:22" s="2605" customFormat="1" ht="13.15" customHeight="1" thickBot="1">
      <c r="A5" s="2616" t="s">
        <v>2330</v>
      </c>
      <c r="B5" s="2617"/>
      <c r="C5" s="2596"/>
      <c r="D5" s="2618"/>
      <c r="E5" s="2598"/>
      <c r="F5" s="2598"/>
      <c r="G5" s="2599"/>
      <c r="H5" s="2600"/>
      <c r="I5" s="2601"/>
      <c r="J5" s="2619" t="s">
        <v>2331</v>
      </c>
      <c r="K5" s="2620"/>
      <c r="L5" s="2620"/>
      <c r="M5" s="2621"/>
      <c r="N5" s="2621"/>
      <c r="O5" s="2621"/>
      <c r="P5" s="2621"/>
      <c r="Q5" s="2621"/>
      <c r="R5" s="2604">
        <f>SUM(R14,R19,R24,R25,R27,R28)</f>
        <v>0</v>
      </c>
      <c r="S5" s="2593"/>
      <c r="T5" s="2593" t="s">
        <v>2332</v>
      </c>
      <c r="U5" s="2593" t="e">
        <f>ROUND(R5*10000/365/R3,1)</f>
        <v>#DIV/0!</v>
      </c>
      <c r="V5" s="2601"/>
    </row>
    <row r="6" spans="1:22" s="2605" customFormat="1" ht="13.15" customHeight="1" thickBot="1">
      <c r="A6" s="3418" t="s">
        <v>2333</v>
      </c>
      <c r="B6" s="3419"/>
      <c r="C6" s="3420"/>
      <c r="D6" s="2622"/>
      <c r="E6" s="2623"/>
      <c r="F6" s="2624"/>
      <c r="G6" s="2625"/>
      <c r="H6" s="2600"/>
      <c r="I6" s="2601"/>
      <c r="J6" s="3421">
        <v>1</v>
      </c>
      <c r="K6" s="3422" t="s">
        <v>2334</v>
      </c>
      <c r="L6" s="2626" t="s">
        <v>2335</v>
      </c>
      <c r="M6" s="2627" t="s">
        <v>2336</v>
      </c>
      <c r="N6" s="2627" t="s">
        <v>2337</v>
      </c>
      <c r="O6" s="2627" t="s">
        <v>2338</v>
      </c>
      <c r="P6" s="2627" t="s">
        <v>2339</v>
      </c>
      <c r="Q6" s="2627" t="s">
        <v>2340</v>
      </c>
      <c r="R6" s="2610" t="s">
        <v>2341</v>
      </c>
      <c r="S6" s="2593"/>
      <c r="T6" s="2593" t="s">
        <v>2342</v>
      </c>
      <c r="U6" s="2593"/>
      <c r="V6" s="2601"/>
    </row>
    <row r="7" spans="1:22" s="2605" customFormat="1" ht="13.15" customHeight="1">
      <c r="A7" s="2628" t="s">
        <v>2343</v>
      </c>
      <c r="B7" s="2629"/>
      <c r="C7" s="2630"/>
      <c r="D7" s="2631">
        <f>SUM(D9,D10,D11,D17,0)</f>
        <v>0</v>
      </c>
      <c r="E7" s="2632" t="e">
        <f>E9+E10+E11+E17</f>
        <v>#DIV/0!</v>
      </c>
      <c r="F7" s="2633"/>
      <c r="G7" s="2634"/>
      <c r="H7" s="2600"/>
      <c r="I7" s="2601"/>
      <c r="J7" s="3421"/>
      <c r="K7" s="3423"/>
      <c r="L7" s="2635" t="s">
        <v>2344</v>
      </c>
      <c r="M7" s="2636"/>
      <c r="N7" s="2612"/>
      <c r="O7" s="2637"/>
      <c r="P7" s="2637"/>
      <c r="Q7" s="2638">
        <v>365</v>
      </c>
      <c r="R7" s="2639">
        <f>ROUND(M7*N7*O7*P7*Q7/10000,0)</f>
        <v>0</v>
      </c>
      <c r="S7" s="2593"/>
      <c r="T7" s="2593" t="s">
        <v>2345</v>
      </c>
      <c r="U7" s="2593"/>
      <c r="V7" s="2601"/>
    </row>
    <row r="8" spans="1:22" s="2605" customFormat="1" ht="13.15" customHeight="1">
      <c r="A8" s="2640" t="s">
        <v>2346</v>
      </c>
      <c r="B8" s="3425" t="s">
        <v>2347</v>
      </c>
      <c r="C8" s="3426"/>
      <c r="D8" s="2641" t="s">
        <v>2348</v>
      </c>
      <c r="E8" s="2642" t="s">
        <v>2349</v>
      </c>
      <c r="F8" s="2643" t="s">
        <v>2350</v>
      </c>
      <c r="G8" s="2644"/>
      <c r="H8" s="2600"/>
      <c r="I8" s="2601"/>
      <c r="J8" s="3421"/>
      <c r="K8" s="3423"/>
      <c r="L8" s="2635" t="s">
        <v>2351</v>
      </c>
      <c r="M8" s="2636"/>
      <c r="N8" s="2612"/>
      <c r="O8" s="2637"/>
      <c r="P8" s="2637"/>
      <c r="Q8" s="2638">
        <v>365</v>
      </c>
      <c r="R8" s="2639">
        <f t="shared" ref="R8:R13" si="0">ROUND(M8*N8*O8*P8*Q8/10000,0)</f>
        <v>0</v>
      </c>
      <c r="S8" s="2593"/>
      <c r="T8" s="2593" t="s">
        <v>2352</v>
      </c>
      <c r="U8" s="2593"/>
      <c r="V8" s="2601"/>
    </row>
    <row r="9" spans="1:22" s="2605" customFormat="1" ht="13.15" customHeight="1">
      <c r="A9" s="2640">
        <v>1</v>
      </c>
      <c r="B9" s="3425" t="s">
        <v>2353</v>
      </c>
      <c r="C9" s="3426"/>
      <c r="D9" s="2641">
        <f>ROUND(D6*E9,0)</f>
        <v>0</v>
      </c>
      <c r="E9" s="2645"/>
      <c r="F9" s="2646" t="s">
        <v>2354</v>
      </c>
      <c r="G9" s="2625"/>
      <c r="H9" s="2600"/>
      <c r="I9" s="2601"/>
      <c r="J9" s="3421"/>
      <c r="K9" s="3423"/>
      <c r="L9" s="2635" t="s">
        <v>2355</v>
      </c>
      <c r="M9" s="2636"/>
      <c r="N9" s="2612"/>
      <c r="O9" s="2637"/>
      <c r="P9" s="2637"/>
      <c r="Q9" s="2638">
        <v>365</v>
      </c>
      <c r="R9" s="2639">
        <f t="shared" si="0"/>
        <v>0</v>
      </c>
      <c r="S9" s="2593"/>
      <c r="T9" s="2593"/>
      <c r="U9" s="2593"/>
      <c r="V9" s="2601"/>
    </row>
    <row r="10" spans="1:22" s="2605" customFormat="1" ht="13.15" customHeight="1">
      <c r="A10" s="2640">
        <v>2</v>
      </c>
      <c r="B10" s="3425" t="s">
        <v>2356</v>
      </c>
      <c r="C10" s="3426"/>
      <c r="D10" s="2641">
        <f>ROUND(D6*E10,0)</f>
        <v>0</v>
      </c>
      <c r="E10" s="2645"/>
      <c r="F10" s="2646" t="s">
        <v>2357</v>
      </c>
      <c r="G10" s="2625"/>
      <c r="H10" s="2600"/>
      <c r="I10" s="2601"/>
      <c r="J10" s="3421"/>
      <c r="K10" s="3423"/>
      <c r="L10" s="2635" t="s">
        <v>2358</v>
      </c>
      <c r="M10" s="2636"/>
      <c r="N10" s="2612"/>
      <c r="O10" s="2637"/>
      <c r="P10" s="2637"/>
      <c r="Q10" s="2638">
        <v>365</v>
      </c>
      <c r="R10" s="2639">
        <f t="shared" si="0"/>
        <v>0</v>
      </c>
      <c r="S10" s="2593"/>
      <c r="T10" s="2593"/>
      <c r="U10" s="2593"/>
      <c r="V10" s="2601"/>
    </row>
    <row r="11" spans="1:22" s="2605" customFormat="1" ht="13.15" customHeight="1">
      <c r="A11" s="2640">
        <v>3</v>
      </c>
      <c r="B11" s="3425" t="s">
        <v>2359</v>
      </c>
      <c r="C11" s="3426"/>
      <c r="D11" s="2641">
        <f>D12+D14+D15+D16</f>
        <v>0</v>
      </c>
      <c r="E11" s="2647" t="e">
        <f>D11/D6</f>
        <v>#DIV/0!</v>
      </c>
      <c r="F11" s="2643"/>
      <c r="G11" s="2644"/>
      <c r="H11" s="2600"/>
      <c r="I11" s="2601"/>
      <c r="J11" s="3421"/>
      <c r="K11" s="3423"/>
      <c r="L11" s="2635" t="s">
        <v>2360</v>
      </c>
      <c r="M11" s="2636"/>
      <c r="N11" s="2612"/>
      <c r="O11" s="2637"/>
      <c r="P11" s="2637"/>
      <c r="Q11" s="2638">
        <v>365</v>
      </c>
      <c r="R11" s="2639">
        <f t="shared" si="0"/>
        <v>0</v>
      </c>
      <c r="S11" s="2593"/>
      <c r="T11" s="2593"/>
      <c r="U11" s="2593"/>
      <c r="V11" s="2601"/>
    </row>
    <row r="12" spans="1:22" s="2605" customFormat="1" ht="13.15" customHeight="1">
      <c r="A12" s="2648" t="s">
        <v>2361</v>
      </c>
      <c r="B12" s="3427" t="s">
        <v>2362</v>
      </c>
      <c r="C12" s="3428"/>
      <c r="D12" s="2649">
        <f>ROUND(D13*1.2%*(1-30%),0)</f>
        <v>0</v>
      </c>
      <c r="E12" s="2650">
        <v>1.2E-2</v>
      </c>
      <c r="F12" s="2643" t="s">
        <v>2363</v>
      </c>
      <c r="G12" s="2644"/>
      <c r="H12" s="2600"/>
      <c r="I12" s="2601"/>
      <c r="J12" s="3421"/>
      <c r="K12" s="3423"/>
      <c r="L12" s="2635" t="s">
        <v>2364</v>
      </c>
      <c r="M12" s="2636"/>
      <c r="N12" s="2612"/>
      <c r="O12" s="2637"/>
      <c r="P12" s="2637"/>
      <c r="Q12" s="2638">
        <v>365</v>
      </c>
      <c r="R12" s="2639">
        <f t="shared" si="0"/>
        <v>0</v>
      </c>
      <c r="S12" s="2593"/>
      <c r="T12" s="2593"/>
      <c r="U12" s="2593"/>
      <c r="V12" s="2601"/>
    </row>
    <row r="13" spans="1:22" s="2605" customFormat="1" ht="13.15" customHeight="1">
      <c r="A13" s="2648"/>
      <c r="B13" s="2651"/>
      <c r="C13" s="2652" t="s">
        <v>2365</v>
      </c>
      <c r="D13" s="2653"/>
      <c r="E13" s="2654"/>
      <c r="F13" s="2643"/>
      <c r="G13" s="2644"/>
      <c r="H13" s="2600"/>
      <c r="I13" s="2601"/>
      <c r="J13" s="3421"/>
      <c r="K13" s="3423"/>
      <c r="L13" s="2635" t="s">
        <v>2366</v>
      </c>
      <c r="M13" s="2636"/>
      <c r="N13" s="2612"/>
      <c r="O13" s="2637"/>
      <c r="P13" s="2637"/>
      <c r="Q13" s="2638">
        <v>365</v>
      </c>
      <c r="R13" s="2639">
        <f t="shared" si="0"/>
        <v>0</v>
      </c>
      <c r="S13" s="2593"/>
      <c r="T13" s="2593"/>
      <c r="U13" s="2593"/>
      <c r="V13" s="2601"/>
    </row>
    <row r="14" spans="1:22" s="2605" customFormat="1" ht="13.15" customHeight="1">
      <c r="A14" s="2648" t="s">
        <v>2367</v>
      </c>
      <c r="B14" s="3427" t="s">
        <v>2368</v>
      </c>
      <c r="C14" s="3428"/>
      <c r="D14" s="2649">
        <f>ROUND(E14*B5/10000,0)</f>
        <v>0</v>
      </c>
      <c r="E14" s="2638"/>
      <c r="F14" s="2643" t="s">
        <v>2369</v>
      </c>
      <c r="G14" s="2644"/>
      <c r="H14" s="2600"/>
      <c r="I14" s="2601"/>
      <c r="J14" s="3421"/>
      <c r="K14" s="3424"/>
      <c r="L14" s="2655" t="s">
        <v>2370</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2371</v>
      </c>
      <c r="B15" s="3427" t="s">
        <v>2372</v>
      </c>
      <c r="C15" s="3428"/>
      <c r="D15" s="2649">
        <f>ROUND(D6*E15,0)</f>
        <v>0</v>
      </c>
      <c r="E15" s="2650">
        <v>5.5E-2</v>
      </c>
      <c r="F15" s="2643" t="s">
        <v>2373</v>
      </c>
      <c r="G15" s="2625"/>
      <c r="H15" s="2600"/>
      <c r="I15" s="2601"/>
      <c r="J15" s="3421">
        <v>2</v>
      </c>
      <c r="K15" s="3422" t="s">
        <v>2374</v>
      </c>
      <c r="L15" s="2635" t="s">
        <v>2375</v>
      </c>
      <c r="M15" s="2636" t="s">
        <v>2376</v>
      </c>
      <c r="N15" s="2636" t="s">
        <v>2377</v>
      </c>
      <c r="O15" s="2637" t="s">
        <v>2378</v>
      </c>
      <c r="P15" s="2637" t="s">
        <v>2340</v>
      </c>
      <c r="Q15" s="2612" t="s">
        <v>2379</v>
      </c>
      <c r="R15" s="2659" t="s">
        <v>2341</v>
      </c>
      <c r="S15" s="2593"/>
      <c r="T15" s="2593"/>
      <c r="U15" s="2593"/>
      <c r="V15" s="2601"/>
    </row>
    <row r="16" spans="1:22" s="2605" customFormat="1" ht="13.15" customHeight="1">
      <c r="A16" s="2648" t="s">
        <v>2380</v>
      </c>
      <c r="B16" s="3427" t="s">
        <v>2381</v>
      </c>
      <c r="C16" s="3428"/>
      <c r="D16" s="2660">
        <f>D6*E16</f>
        <v>0</v>
      </c>
      <c r="E16" s="2661"/>
      <c r="F16" s="2646" t="s">
        <v>2382</v>
      </c>
      <c r="G16" s="2625"/>
      <c r="H16" s="2600"/>
      <c r="I16" s="2601"/>
      <c r="J16" s="3421"/>
      <c r="K16" s="3423"/>
      <c r="L16" s="2635" t="s">
        <v>2383</v>
      </c>
      <c r="M16" s="2636"/>
      <c r="N16" s="2636"/>
      <c r="O16" s="2637"/>
      <c r="P16" s="2638">
        <v>365</v>
      </c>
      <c r="Q16" s="2612"/>
      <c r="R16" s="2659">
        <f>ROUND(M16*N16*O16*P16/10000,0)</f>
        <v>0</v>
      </c>
      <c r="S16" s="2593"/>
      <c r="T16" s="2593"/>
      <c r="U16" s="2593"/>
      <c r="V16" s="2601"/>
    </row>
    <row r="17" spans="1:22" s="2605" customFormat="1" ht="13.15" customHeight="1" thickBot="1">
      <c r="A17" s="2662">
        <v>4</v>
      </c>
      <c r="B17" s="3429" t="s">
        <v>2384</v>
      </c>
      <c r="C17" s="3430"/>
      <c r="D17" s="2663">
        <f>ROUND(D6*E17,0)</f>
        <v>0</v>
      </c>
      <c r="E17" s="2664"/>
      <c r="F17" s="2665" t="s">
        <v>2385</v>
      </c>
      <c r="G17" s="2625"/>
      <c r="H17" s="2600"/>
      <c r="I17" s="2601"/>
      <c r="J17" s="3421"/>
      <c r="K17" s="3423"/>
      <c r="L17" s="2635" t="s">
        <v>2386</v>
      </c>
      <c r="M17" s="2636"/>
      <c r="N17" s="2636"/>
      <c r="O17" s="2637"/>
      <c r="P17" s="2638">
        <v>365</v>
      </c>
      <c r="Q17" s="2612"/>
      <c r="R17" s="2659">
        <f>ROUND(M17*N17*O17*P17/10000,0)</f>
        <v>0</v>
      </c>
      <c r="S17" s="2593"/>
      <c r="T17" s="2593"/>
      <c r="U17" s="2593"/>
      <c r="V17" s="2601"/>
    </row>
    <row r="18" spans="1:22" s="2605" customFormat="1" ht="13.15" customHeight="1" thickBot="1">
      <c r="A18" s="2628" t="s">
        <v>2387</v>
      </c>
      <c r="B18" s="2629"/>
      <c r="C18" s="2629"/>
      <c r="D18" s="2666">
        <f>ROUND(D6*E18,0)</f>
        <v>0</v>
      </c>
      <c r="E18" s="2667"/>
      <c r="F18" s="2668" t="s">
        <v>2388</v>
      </c>
      <c r="G18" s="2625"/>
      <c r="H18" s="2600"/>
      <c r="I18" s="2601"/>
      <c r="J18" s="3421"/>
      <c r="K18" s="3423"/>
      <c r="L18" s="2635" t="s">
        <v>2389</v>
      </c>
      <c r="M18" s="2636"/>
      <c r="N18" s="2636"/>
      <c r="O18" s="2637"/>
      <c r="P18" s="2638">
        <v>365</v>
      </c>
      <c r="Q18" s="2612"/>
      <c r="R18" s="2659">
        <f>ROUND(M18*N18*O18*P18/10000,0)</f>
        <v>0</v>
      </c>
      <c r="S18" s="2593"/>
      <c r="T18" s="2593"/>
      <c r="U18" s="2593"/>
      <c r="V18" s="2601"/>
    </row>
    <row r="19" spans="1:22" s="2605" customFormat="1" ht="13.15" customHeight="1" thickBot="1">
      <c r="A19" s="2669" t="s">
        <v>2390</v>
      </c>
      <c r="B19" s="2623"/>
      <c r="C19" s="2623"/>
      <c r="D19" s="2623"/>
      <c r="E19" s="2623"/>
      <c r="F19" s="2624"/>
      <c r="G19" s="2644"/>
      <c r="H19" s="2600"/>
      <c r="I19" s="2601"/>
      <c r="J19" s="3421"/>
      <c r="K19" s="3424"/>
      <c r="L19" s="2655" t="s">
        <v>2370</v>
      </c>
      <c r="M19" s="2656"/>
      <c r="N19" s="2656">
        <f>SUM(N16:N18)</f>
        <v>0</v>
      </c>
      <c r="O19" s="2657"/>
      <c r="P19" s="2670" t="s">
        <v>2434</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421">
        <v>3</v>
      </c>
      <c r="K20" s="3422" t="s">
        <v>2391</v>
      </c>
      <c r="L20" s="2635" t="s">
        <v>2392</v>
      </c>
      <c r="M20" s="2636" t="s">
        <v>2393</v>
      </c>
      <c r="N20" s="2673" t="s">
        <v>2394</v>
      </c>
      <c r="O20" s="2637" t="s">
        <v>2395</v>
      </c>
      <c r="P20" s="2638" t="s">
        <v>2396</v>
      </c>
      <c r="Q20" s="2612" t="s">
        <v>2397</v>
      </c>
      <c r="R20" s="2659" t="s">
        <v>2398</v>
      </c>
      <c r="S20" s="2593"/>
      <c r="T20" s="2593"/>
      <c r="U20" s="2593"/>
      <c r="V20" s="2601"/>
    </row>
    <row r="21" spans="1:22" s="2605" customFormat="1" ht="13.15" customHeight="1">
      <c r="A21" s="2628"/>
      <c r="B21" s="2629"/>
      <c r="C21" s="2674" t="s">
        <v>2399</v>
      </c>
      <c r="D21" s="2675" t="s">
        <v>2400</v>
      </c>
      <c r="E21" s="2676" t="s">
        <v>2401</v>
      </c>
      <c r="F21" s="2672"/>
      <c r="G21" s="2644"/>
      <c r="H21" s="2600"/>
      <c r="I21" s="2601"/>
      <c r="J21" s="3421"/>
      <c r="K21" s="3423"/>
      <c r="L21" s="2635" t="s">
        <v>2402</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2403</v>
      </c>
      <c r="D22" s="2679" t="s">
        <v>2404</v>
      </c>
      <c r="E22" s="2680" t="s">
        <v>2405</v>
      </c>
      <c r="F22" s="2672"/>
      <c r="G22" s="2593"/>
      <c r="H22" s="2600"/>
      <c r="I22" s="2601"/>
      <c r="J22" s="3421"/>
      <c r="K22" s="3423"/>
      <c r="L22" s="2635" t="s">
        <v>2406</v>
      </c>
      <c r="M22" s="2636"/>
      <c r="N22" s="2636"/>
      <c r="O22" s="2637"/>
      <c r="P22" s="2638">
        <v>365</v>
      </c>
      <c r="Q22" s="2612"/>
      <c r="R22" s="2677">
        <f>ROUND(M22*N22*O22*P22/10000,0)</f>
        <v>0</v>
      </c>
      <c r="S22" s="2593"/>
      <c r="T22" s="2593"/>
      <c r="U22" s="2593"/>
      <c r="V22" s="2601"/>
    </row>
    <row r="23" spans="1:22" s="2605" customFormat="1" ht="13.15" customHeight="1">
      <c r="A23" s="2681">
        <v>1</v>
      </c>
      <c r="B23" s="2682" t="s">
        <v>2407</v>
      </c>
      <c r="C23" s="2683">
        <f>D6</f>
        <v>0</v>
      </c>
      <c r="D23" s="2684">
        <f>C23*(1+D24)</f>
        <v>0</v>
      </c>
      <c r="E23" s="2685">
        <f>D23*(1+E24)</f>
        <v>0</v>
      </c>
      <c r="F23" s="2686"/>
      <c r="G23" s="2687"/>
      <c r="H23" s="2600"/>
      <c r="I23" s="2601"/>
      <c r="J23" s="3421"/>
      <c r="K23" s="3423"/>
      <c r="L23" s="2635" t="s">
        <v>2408</v>
      </c>
      <c r="M23" s="2636"/>
      <c r="N23" s="2636"/>
      <c r="O23" s="2637"/>
      <c r="P23" s="2638">
        <v>365</v>
      </c>
      <c r="Q23" s="2612"/>
      <c r="R23" s="2677">
        <f>ROUND(M23*N23*O23*P23/10000,0)</f>
        <v>0</v>
      </c>
      <c r="S23" s="2593"/>
      <c r="T23" s="2593"/>
      <c r="U23" s="2593"/>
      <c r="V23" s="2601"/>
    </row>
    <row r="24" spans="1:22" s="2605" customFormat="1" ht="13.15" customHeight="1">
      <c r="A24" s="2688"/>
      <c r="B24" s="2689" t="s">
        <v>2409</v>
      </c>
      <c r="C24" s="2690"/>
      <c r="D24" s="2691"/>
      <c r="E24" s="2692"/>
      <c r="F24" s="2693"/>
      <c r="G24" s="2687"/>
      <c r="H24" s="2600"/>
      <c r="I24" s="2601"/>
      <c r="J24" s="3421"/>
      <c r="K24" s="3424"/>
      <c r="L24" s="2655" t="s">
        <v>2370</v>
      </c>
      <c r="M24" s="2656">
        <f>SUM(M21:M23)</f>
        <v>0</v>
      </c>
      <c r="N24" s="2656"/>
      <c r="O24" s="2657"/>
      <c r="P24" s="2670" t="s">
        <v>2434</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2410</v>
      </c>
      <c r="L25" s="2696"/>
      <c r="M25" s="2696"/>
      <c r="N25" s="2696"/>
      <c r="O25" s="2696"/>
      <c r="P25" s="2697"/>
      <c r="Q25" s="2698">
        <v>0</v>
      </c>
      <c r="R25" s="2671">
        <f>ROUND(R14*Q25,0)</f>
        <v>0</v>
      </c>
      <c r="S25" s="2593"/>
      <c r="T25" s="2593"/>
      <c r="U25" s="2593"/>
      <c r="V25" s="2699"/>
    </row>
    <row r="26" spans="1:22" s="2700" customFormat="1" ht="13.15" customHeight="1">
      <c r="A26" s="2681">
        <v>2</v>
      </c>
      <c r="B26" s="2682" t="s">
        <v>2411</v>
      </c>
      <c r="C26" s="2683">
        <f>D7</f>
        <v>0</v>
      </c>
      <c r="D26" s="2684">
        <f>D23*D27</f>
        <v>0</v>
      </c>
      <c r="E26" s="2685">
        <f>E23*E27</f>
        <v>0</v>
      </c>
      <c r="F26" s="2686"/>
      <c r="G26" s="2687"/>
      <c r="H26" s="2600"/>
      <c r="I26" s="2601"/>
      <c r="J26" s="3431">
        <v>5</v>
      </c>
      <c r="K26" s="2701" t="s">
        <v>2412</v>
      </c>
      <c r="L26" s="2702"/>
      <c r="M26" s="2703"/>
      <c r="N26" s="2704" t="s">
        <v>2413</v>
      </c>
      <c r="O26" s="2704" t="s">
        <v>2414</v>
      </c>
      <c r="P26" s="2705" t="s">
        <v>2415</v>
      </c>
      <c r="Q26" s="2705" t="s">
        <v>2416</v>
      </c>
      <c r="R26" s="2610" t="s">
        <v>2341</v>
      </c>
      <c r="S26" s="2644"/>
      <c r="T26" s="2644"/>
      <c r="U26" s="2644"/>
      <c r="V26" s="2699"/>
    </row>
    <row r="27" spans="1:22" s="2605" customFormat="1" ht="13.15" customHeight="1">
      <c r="A27" s="2688"/>
      <c r="B27" s="2689" t="s">
        <v>2417</v>
      </c>
      <c r="C27" s="2706" t="e">
        <f>E7</f>
        <v>#DIV/0!</v>
      </c>
      <c r="D27" s="2691"/>
      <c r="E27" s="2692"/>
      <c r="F27" s="2693"/>
      <c r="G27" s="2687"/>
      <c r="H27" s="2707"/>
      <c r="I27" s="2699"/>
      <c r="J27" s="3432"/>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2418</v>
      </c>
      <c r="F28" s="2693"/>
      <c r="G28" s="2593"/>
      <c r="H28" s="2707"/>
      <c r="I28" s="2699"/>
      <c r="J28" s="2713">
        <v>6</v>
      </c>
      <c r="K28" s="2714" t="s">
        <v>2419</v>
      </c>
      <c r="L28" s="2715" t="s">
        <v>2420</v>
      </c>
      <c r="M28" s="2716"/>
      <c r="N28" s="2715" t="s">
        <v>2421</v>
      </c>
      <c r="O28" s="2717"/>
      <c r="P28" s="2715" t="s">
        <v>2422</v>
      </c>
      <c r="Q28" s="2718">
        <v>1.4999999999999999E-2</v>
      </c>
      <c r="R28" s="2719"/>
      <c r="S28" s="2593"/>
      <c r="T28" s="2593"/>
      <c r="U28" s="2593"/>
      <c r="V28" s="2699"/>
    </row>
    <row r="29" spans="1:22" s="2700" customFormat="1" ht="13.15" customHeight="1">
      <c r="A29" s="2681">
        <v>3</v>
      </c>
      <c r="B29" s="2682" t="s">
        <v>2423</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2417</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2424</v>
      </c>
      <c r="K31" s="2591"/>
      <c r="L31" s="2591"/>
      <c r="M31" s="2591"/>
      <c r="N31" s="2591"/>
      <c r="O31" s="2591"/>
      <c r="P31" s="2591"/>
      <c r="Q31" s="2591"/>
      <c r="R31" s="2592"/>
      <c r="S31" s="2593"/>
      <c r="T31" s="2593"/>
      <c r="U31" s="2593"/>
      <c r="V31" s="2699"/>
    </row>
    <row r="32" spans="1:22" s="2700" customFormat="1" ht="13.15" customHeight="1">
      <c r="A32" s="2681">
        <v>4</v>
      </c>
      <c r="B32" s="2682" t="s">
        <v>2425</v>
      </c>
      <c r="C32" s="2683">
        <f>C23-C26-C29</f>
        <v>0</v>
      </c>
      <c r="D32" s="2684">
        <f>D23-D26-D29</f>
        <v>0</v>
      </c>
      <c r="E32" s="2685">
        <f>E23-E26-E29</f>
        <v>0</v>
      </c>
      <c r="F32" s="2686"/>
      <c r="G32" s="2593"/>
      <c r="H32" s="2600"/>
      <c r="I32" s="2601"/>
      <c r="J32" s="3414" t="s">
        <v>2317</v>
      </c>
      <c r="K32" s="3415"/>
      <c r="L32" s="2602" t="s">
        <v>2318</v>
      </c>
      <c r="M32" s="2602" t="s">
        <v>2319</v>
      </c>
      <c r="N32" s="2602" t="s">
        <v>2320</v>
      </c>
      <c r="O32" s="2602" t="s">
        <v>2321</v>
      </c>
      <c r="P32" s="2602" t="s">
        <v>2322</v>
      </c>
      <c r="Q32" s="2603" t="s">
        <v>2323</v>
      </c>
      <c r="R32" s="2722" t="s">
        <v>2324</v>
      </c>
      <c r="S32" s="2593"/>
      <c r="T32" s="2593"/>
      <c r="U32" s="2593"/>
      <c r="V32" s="2699"/>
    </row>
    <row r="33" spans="1:23" s="2605" customFormat="1" ht="13.15" customHeight="1">
      <c r="A33" s="2681"/>
      <c r="B33" s="2682"/>
      <c r="C33" s="2683"/>
      <c r="D33" s="2723"/>
      <c r="E33" s="2724"/>
      <c r="F33" s="2686"/>
      <c r="G33" s="2593"/>
      <c r="H33" s="2707"/>
      <c r="I33" s="2699"/>
      <c r="J33" s="3416" t="s">
        <v>2327</v>
      </c>
      <c r="K33" s="3417"/>
      <c r="L33" s="2608"/>
      <c r="M33" s="2608"/>
      <c r="N33" s="2608"/>
      <c r="O33" s="2608"/>
      <c r="P33" s="2608"/>
      <c r="Q33" s="2609"/>
      <c r="R33" s="2725">
        <f>SUM(L33:Q33)</f>
        <v>0</v>
      </c>
      <c r="S33" s="2593"/>
      <c r="T33" s="2593"/>
      <c r="U33" s="2593"/>
      <c r="V33" s="2601"/>
    </row>
    <row r="34" spans="1:23" s="2605" customFormat="1" ht="13.15" customHeight="1">
      <c r="A34" s="2681">
        <v>5</v>
      </c>
      <c r="B34" s="2682" t="s">
        <v>2426</v>
      </c>
      <c r="C34" s="2726"/>
      <c r="D34" s="2727"/>
      <c r="E34" s="2728"/>
      <c r="F34" s="2686"/>
      <c r="G34" s="2593"/>
      <c r="H34" s="2707"/>
      <c r="I34" s="2699"/>
      <c r="J34" s="3416" t="s">
        <v>2329</v>
      </c>
      <c r="K34" s="3417"/>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2427</v>
      </c>
      <c r="C35" s="2730"/>
      <c r="D35" s="2731"/>
      <c r="E35" s="2732"/>
      <c r="F35" s="2686"/>
      <c r="G35" s="2733"/>
      <c r="H35" s="2600"/>
      <c r="I35" s="2699"/>
      <c r="J35" s="2619" t="s">
        <v>2331</v>
      </c>
      <c r="K35" s="2620"/>
      <c r="L35" s="2620"/>
      <c r="M35" s="2621"/>
      <c r="N35" s="2621"/>
      <c r="O35" s="2621"/>
      <c r="P35" s="2621"/>
      <c r="Q35" s="2621"/>
      <c r="R35" s="2734">
        <f>R40+R41+R43</f>
        <v>0</v>
      </c>
      <c r="S35" s="2593"/>
      <c r="T35" s="2593" t="s">
        <v>2332</v>
      </c>
      <c r="U35" s="2593"/>
      <c r="V35" s="2601"/>
    </row>
    <row r="36" spans="1:23" s="2605" customFormat="1" ht="13.15" customHeight="1" thickBot="1">
      <c r="A36" s="2681">
        <v>7</v>
      </c>
      <c r="B36" s="2735" t="s">
        <v>2428</v>
      </c>
      <c r="C36" s="2736"/>
      <c r="D36" s="2737"/>
      <c r="E36" s="2738"/>
      <c r="F36" s="2739">
        <f>C36+D36+E36</f>
        <v>0</v>
      </c>
      <c r="G36" s="2593"/>
      <c r="H36" s="2600"/>
      <c r="I36" s="2601"/>
      <c r="J36" s="3421">
        <v>1</v>
      </c>
      <c r="K36" s="3422" t="s">
        <v>2429</v>
      </c>
      <c r="L36" s="2626"/>
      <c r="M36" s="2627"/>
      <c r="N36" s="2627"/>
      <c r="O36" s="2627"/>
      <c r="P36" s="2627"/>
      <c r="Q36" s="2627"/>
      <c r="R36" s="2610" t="s">
        <v>2341</v>
      </c>
      <c r="S36" s="2593"/>
      <c r="T36" s="2593" t="s">
        <v>2342</v>
      </c>
      <c r="U36" s="2593"/>
      <c r="V36" s="2601"/>
    </row>
    <row r="37" spans="1:23" s="2605" customFormat="1" ht="13.15" customHeight="1">
      <c r="A37" s="2681"/>
      <c r="B37" s="2682"/>
      <c r="C37" s="2682"/>
      <c r="D37" s="2682"/>
      <c r="E37" s="2682"/>
      <c r="F37" s="2686"/>
      <c r="G37" s="2593"/>
      <c r="H37" s="2600"/>
      <c r="I37" s="2601"/>
      <c r="J37" s="3421"/>
      <c r="K37" s="3423"/>
      <c r="L37" s="2635"/>
      <c r="M37" s="2636"/>
      <c r="N37" s="2612"/>
      <c r="O37" s="2637"/>
      <c r="P37" s="2637"/>
      <c r="Q37" s="2638"/>
      <c r="R37" s="2639"/>
      <c r="S37" s="2593"/>
      <c r="T37" s="2593" t="s">
        <v>2345</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421"/>
      <c r="K38" s="3423"/>
      <c r="L38" s="2635"/>
      <c r="M38" s="2636"/>
      <c r="N38" s="2612"/>
      <c r="O38" s="2637"/>
      <c r="P38" s="2637"/>
      <c r="Q38" s="2638"/>
      <c r="R38" s="2639"/>
      <c r="S38" s="2593"/>
      <c r="T38" s="2593" t="s">
        <v>2352</v>
      </c>
      <c r="U38" s="2593"/>
      <c r="V38" s="2601"/>
    </row>
    <row r="39" spans="1:23" s="2605" customFormat="1" ht="13.15" customHeight="1">
      <c r="A39" s="2681">
        <v>9</v>
      </c>
      <c r="B39" s="2682" t="s">
        <v>2430</v>
      </c>
      <c r="C39" s="2649" t="e">
        <f>C38</f>
        <v>#DIV/0!</v>
      </c>
      <c r="D39" s="2682">
        <f>D38/(1+D34)^C36</f>
        <v>0</v>
      </c>
      <c r="E39" s="2682">
        <f>E38/(1+E34)^(C36+D36)</f>
        <v>0</v>
      </c>
      <c r="F39" s="2686"/>
      <c r="G39" s="2601"/>
      <c r="H39" s="2600"/>
      <c r="I39" s="2601"/>
      <c r="J39" s="3421"/>
      <c r="K39" s="3423"/>
      <c r="L39" s="2635"/>
      <c r="M39" s="2636"/>
      <c r="N39" s="2612"/>
      <c r="O39" s="2637"/>
      <c r="P39" s="2637"/>
      <c r="Q39" s="2638"/>
      <c r="R39" s="2639"/>
      <c r="S39" s="2593"/>
      <c r="T39" s="2593"/>
      <c r="U39" s="2593"/>
      <c r="V39" s="2601"/>
    </row>
    <row r="40" spans="1:23" s="2605" customFormat="1" ht="13.15" customHeight="1">
      <c r="A40" s="2740">
        <v>10</v>
      </c>
      <c r="B40" s="2682" t="s">
        <v>2431</v>
      </c>
      <c r="C40" s="2741" t="e">
        <f>C39+D39+E39</f>
        <v>#DIV/0!</v>
      </c>
      <c r="D40" s="2742"/>
      <c r="E40" s="2742"/>
      <c r="F40" s="2743"/>
      <c r="G40" s="2593"/>
      <c r="H40" s="2600"/>
      <c r="I40" s="2601"/>
      <c r="J40" s="3421"/>
      <c r="K40" s="3424"/>
      <c r="L40" s="2655" t="s">
        <v>2370</v>
      </c>
      <c r="M40" s="2656"/>
      <c r="N40" s="2656"/>
      <c r="O40" s="2657"/>
      <c r="P40" s="2657"/>
      <c r="Q40" s="2658"/>
      <c r="R40" s="2604">
        <f>SUM(R37:R39)</f>
        <v>0</v>
      </c>
      <c r="S40" s="2593"/>
      <c r="T40" s="2593"/>
      <c r="U40" s="2593"/>
      <c r="V40" s="2601"/>
    </row>
    <row r="41" spans="1:23" s="2605" customFormat="1" ht="13.15" customHeight="1" thickBot="1">
      <c r="A41" s="2744">
        <v>11</v>
      </c>
      <c r="B41" s="2745" t="s">
        <v>2432</v>
      </c>
      <c r="C41" s="2745" t="e">
        <f>ROUND(C40*10000/B4,0)</f>
        <v>#DIV/0!</v>
      </c>
      <c r="D41" s="2746"/>
      <c r="E41" s="2746"/>
      <c r="F41" s="2747"/>
      <c r="G41" s="2600"/>
      <c r="H41" s="2600"/>
      <c r="I41" s="2601"/>
      <c r="J41" s="2694">
        <v>2</v>
      </c>
      <c r="K41" s="2695" t="s">
        <v>2410</v>
      </c>
      <c r="L41" s="2696"/>
      <c r="M41" s="2696"/>
      <c r="N41" s="2696"/>
      <c r="O41" s="2696"/>
      <c r="P41" s="2697"/>
      <c r="Q41" s="2698"/>
      <c r="R41" s="2671">
        <f>ROUND(R40*Q41,0)</f>
        <v>0</v>
      </c>
      <c r="S41" s="2593"/>
      <c r="T41" s="2593"/>
      <c r="U41" s="2644"/>
      <c r="V41" s="2601"/>
    </row>
    <row r="42" spans="1:23" s="2605" customFormat="1" ht="13.15" customHeight="1">
      <c r="G42" s="2600"/>
      <c r="H42" s="2600"/>
      <c r="I42" s="2601"/>
      <c r="J42" s="3431">
        <v>3</v>
      </c>
      <c r="K42" s="2701" t="s">
        <v>2412</v>
      </c>
      <c r="L42" s="2702"/>
      <c r="M42" s="2703"/>
      <c r="N42" s="2704" t="s">
        <v>2413</v>
      </c>
      <c r="O42" s="2704" t="s">
        <v>2414</v>
      </c>
      <c r="P42" s="2705" t="s">
        <v>2415</v>
      </c>
      <c r="Q42" s="2705" t="s">
        <v>2416</v>
      </c>
      <c r="R42" s="2610" t="s">
        <v>2341</v>
      </c>
      <c r="S42" s="2644"/>
      <c r="T42" s="2644"/>
      <c r="U42" s="2593"/>
      <c r="V42" s="2601"/>
    </row>
    <row r="43" spans="1:23" ht="13.15" customHeight="1">
      <c r="A43" s="2605"/>
      <c r="B43" s="2605"/>
      <c r="C43" s="2605"/>
      <c r="D43" s="2605"/>
      <c r="E43" s="2605"/>
      <c r="F43" s="2605"/>
      <c r="I43" s="2588"/>
      <c r="J43" s="3432"/>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2419</v>
      </c>
      <c r="L44" s="2750" t="s">
        <v>2420</v>
      </c>
      <c r="M44" s="2716"/>
      <c r="N44" s="2750" t="s">
        <v>2421</v>
      </c>
      <c r="O44" s="2716"/>
      <c r="P44" s="2750" t="s">
        <v>2422</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10" sqref="F10"/>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3333</v>
      </c>
      <c r="D1" s="1271" t="s">
        <v>43</v>
      </c>
      <c r="E1" s="1272" t="s">
        <v>678</v>
      </c>
      <c r="F1" s="999">
        <f ca="1">J53</f>
        <v>29.38</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6985</v>
      </c>
      <c r="C2" s="1289" t="s">
        <v>805</v>
      </c>
      <c r="D2" s="1289"/>
      <c r="E2" s="1295"/>
      <c r="F2" s="1296"/>
      <c r="G2" s="2479"/>
      <c r="H2" s="2469"/>
      <c r="I2" s="2469"/>
      <c r="J2" s="2469"/>
      <c r="K2" s="2470"/>
      <c r="L2" s="2469"/>
      <c r="M2" s="2469"/>
    </row>
    <row r="3" spans="1:37" ht="18" customHeight="1" thickBot="1">
      <c r="A3" s="1297" t="s">
        <v>806</v>
      </c>
      <c r="B3" s="1298">
        <f ca="1">IF(ISERROR(B2*10000/F43),0,ROUND(B2*10000/F43,0))</f>
        <v>4885</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469</v>
      </c>
      <c r="D5" s="1273" t="s">
        <v>693</v>
      </c>
      <c r="E5" s="1008"/>
      <c r="F5" s="1009"/>
      <c r="G5" s="1292"/>
      <c r="H5" s="291">
        <v>1</v>
      </c>
      <c r="I5" s="292" t="s">
        <v>692</v>
      </c>
      <c r="J5" s="1007">
        <f ca="1">J6+J10+J12</f>
        <v>0</v>
      </c>
      <c r="K5" s="1273" t="s">
        <v>693</v>
      </c>
      <c r="L5" s="1008"/>
      <c r="M5" s="1009"/>
    </row>
    <row r="6" spans="1:37" ht="18" customHeight="1">
      <c r="A6" s="1006" t="s">
        <v>398</v>
      </c>
      <c r="B6" s="3411" t="s">
        <v>694</v>
      </c>
      <c r="C6" s="1011">
        <f ca="1">ROUND(F6*F8*F7*(1-F9)/10000,0)</f>
        <v>469</v>
      </c>
      <c r="D6" s="147" t="s">
        <v>2109</v>
      </c>
      <c r="E6" s="294" t="s">
        <v>696</v>
      </c>
      <c r="F6" s="295">
        <f ca="1">INDIRECT("'数据-取费表'!u"&amp;$G$1)</f>
        <v>1000</v>
      </c>
      <c r="G6" s="1292"/>
      <c r="H6" s="1006" t="s">
        <v>398</v>
      </c>
      <c r="I6" s="3411" t="s">
        <v>694</v>
      </c>
      <c r="J6" s="293">
        <f ca="1">ROUND(M6*M8*M7*(1-M9)/10000,0)</f>
        <v>0</v>
      </c>
      <c r="K6" s="147" t="s">
        <v>2108</v>
      </c>
      <c r="L6" s="294" t="s">
        <v>696</v>
      </c>
      <c r="M6" s="295">
        <f ca="1">INDIRECT("'数据-取费表'!z"&amp;$G$1)</f>
        <v>0</v>
      </c>
    </row>
    <row r="7" spans="1:37" ht="18" customHeight="1">
      <c r="A7" s="1010"/>
      <c r="B7" s="3412"/>
      <c r="C7" s="1012"/>
      <c r="D7" s="299"/>
      <c r="E7" s="1013" t="s">
        <v>697</v>
      </c>
      <c r="F7" s="295">
        <f ca="1">IF(INDIRECT("'数据-取费表'!ah"&amp;$G$1)="",INDIRECT("'数据-取费表'!k"&amp;$G$1),INDIRECT("'数据-取费表'!ah"&amp;$G$1))</f>
        <v>434</v>
      </c>
      <c r="G7" s="1292"/>
      <c r="H7" s="296"/>
      <c r="I7" s="3412"/>
      <c r="J7" s="298"/>
      <c r="K7" s="299"/>
      <c r="L7" s="294" t="s">
        <v>697</v>
      </c>
      <c r="M7" s="295">
        <f ca="1">F7</f>
        <v>434</v>
      </c>
    </row>
    <row r="8" spans="1:37" ht="18" customHeight="1">
      <c r="A8" s="296"/>
      <c r="B8" s="3412"/>
      <c r="C8" s="298"/>
      <c r="D8" s="299"/>
      <c r="E8" s="294" t="s">
        <v>698</v>
      </c>
      <c r="F8" s="295">
        <f ca="1">INDIRECT("'数据-取费表'!ai"&amp;$G$1)</f>
        <v>12</v>
      </c>
      <c r="G8" s="1292"/>
      <c r="H8" s="296"/>
      <c r="I8" s="3412"/>
      <c r="J8" s="298"/>
      <c r="K8" s="299"/>
      <c r="L8" s="294" t="s">
        <v>698</v>
      </c>
      <c r="M8" s="295">
        <f ca="1">INDIRECT("'数据-取费表'!ai"&amp;$G$1)</f>
        <v>12</v>
      </c>
    </row>
    <row r="9" spans="1:37" ht="18" customHeight="1">
      <c r="A9" s="296"/>
      <c r="B9" s="3413"/>
      <c r="C9" s="298"/>
      <c r="D9" s="299"/>
      <c r="E9" s="294" t="s">
        <v>699</v>
      </c>
      <c r="F9" s="304">
        <f ca="1">INDIRECT("'数据-取费表'!w"&amp;$G$1)</f>
        <v>0.1</v>
      </c>
      <c r="G9" s="1292"/>
      <c r="H9" s="296"/>
      <c r="I9" s="341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t="s">
        <v>3673</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6683</v>
      </c>
      <c r="D13" s="1018" t="s">
        <v>705</v>
      </c>
      <c r="E13" s="1018" t="s">
        <v>706</v>
      </c>
      <c r="F13" s="1019">
        <f ca="1">INDIRECT("'数据-取费表'!y"&amp;$G$1)</f>
        <v>0.75</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6720</v>
      </c>
      <c r="D14" s="1257" t="s">
        <v>708</v>
      </c>
      <c r="E14" s="1255"/>
      <c r="F14" s="311"/>
      <c r="G14" s="1292"/>
      <c r="H14" s="928" t="s">
        <v>398</v>
      </c>
      <c r="I14" s="294" t="s">
        <v>709</v>
      </c>
      <c r="J14" s="21">
        <f ca="1">C29</f>
        <v>8911</v>
      </c>
      <c r="K14" s="12"/>
      <c r="L14" s="759"/>
      <c r="M14" s="760"/>
    </row>
    <row r="15" spans="1:37" s="1304" customFormat="1" ht="18" customHeight="1" thickBot="1">
      <c r="A15" s="928" t="s">
        <v>399</v>
      </c>
      <c r="B15" s="294" t="s">
        <v>710</v>
      </c>
      <c r="C15" s="21">
        <f ca="1">ROUND(C14*F15,0)</f>
        <v>336</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18</v>
      </c>
      <c r="K16" s="1024" t="s">
        <v>715</v>
      </c>
      <c r="L16" s="1025"/>
      <c r="M16" s="1009"/>
    </row>
    <row r="17" spans="1:37" s="1304" customFormat="1" ht="18" customHeight="1">
      <c r="A17" s="928" t="s">
        <v>681</v>
      </c>
      <c r="B17" s="294" t="s">
        <v>716</v>
      </c>
      <c r="C17" s="21">
        <f ca="1">ROUND(F17*(F43+INDIRECT("'数据-取费表'!S"&amp;$G$1))/10000,0)</f>
        <v>286</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134</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7476</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150</v>
      </c>
      <c r="D20" s="315" t="s">
        <v>729</v>
      </c>
      <c r="E20" s="294" t="s">
        <v>712</v>
      </c>
      <c r="F20" s="314">
        <f>'数据-取费表'!B37</f>
        <v>0.02</v>
      </c>
      <c r="G20" s="1303"/>
      <c r="H20" s="928" t="s">
        <v>680</v>
      </c>
      <c r="I20" s="147" t="s">
        <v>730</v>
      </c>
      <c r="J20" s="22">
        <f ca="1">ROUND(M20*M21/10000,2)</f>
        <v>0</v>
      </c>
      <c r="K20" s="316" t="s">
        <v>731</v>
      </c>
      <c r="L20" s="294" t="s">
        <v>732</v>
      </c>
      <c r="M20" s="317">
        <f>'数据-取费表'!B52</f>
        <v>24</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17.82</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237</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712</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683</v>
      </c>
      <c r="I24" s="1027" t="s">
        <v>728</v>
      </c>
      <c r="J24" s="1028">
        <f ca="1">ROUND(J5*M24,2)</f>
        <v>0</v>
      </c>
      <c r="K24" s="1029" t="s">
        <v>748</v>
      </c>
      <c r="L24" s="1027" t="s">
        <v>712</v>
      </c>
      <c r="M24" s="1023">
        <f ca="1">INDIRECT("'数据-取费表'!Am"&amp;$G$1)</f>
        <v>3.0000000000000001E-3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-18</v>
      </c>
      <c r="K25" s="1032" t="s">
        <v>753</v>
      </c>
      <c r="L25" s="1033"/>
      <c r="M25" s="1034"/>
    </row>
    <row r="26" spans="1:37">
      <c r="A26" s="928" t="s">
        <v>397</v>
      </c>
      <c r="B26" s="294" t="s">
        <v>754</v>
      </c>
      <c r="C26" s="21">
        <f ca="1">ROUND((C19+C20)*F26,0)</f>
        <v>381</v>
      </c>
      <c r="D26" s="315" t="s">
        <v>755</v>
      </c>
      <c r="E26" s="305" t="s">
        <v>756</v>
      </c>
      <c r="F26" s="304">
        <f ca="1">INDIRECT("'数据-取费表'!q"&amp;$G$1)</f>
        <v>0.05</v>
      </c>
      <c r="G26" s="1292"/>
      <c r="H26" s="291" t="s">
        <v>395</v>
      </c>
      <c r="I26" s="292" t="s">
        <v>757</v>
      </c>
      <c r="J26" s="293">
        <f ca="1">IF(J5&lt;&gt;0,ROUND(J25*(1-((1+M28)/(1+M26))^M27)/(M26-M28),0),0)</f>
        <v>0</v>
      </c>
      <c r="K26" s="316" t="s">
        <v>758</v>
      </c>
      <c r="L26" s="294" t="s">
        <v>759</v>
      </c>
      <c r="M26" s="304">
        <f ca="1">INDIRECT("'数据-取费表'!I"&amp;$G$1)</f>
        <v>0.05</v>
      </c>
    </row>
    <row r="27" spans="1:37" ht="18" customHeight="1">
      <c r="A27" s="928" t="s">
        <v>399</v>
      </c>
      <c r="B27" s="294" t="s">
        <v>760</v>
      </c>
      <c r="C27" s="21">
        <f ca="1">ROUND(F21*F26,4)</f>
        <v>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8911</v>
      </c>
      <c r="D29" s="1029"/>
      <c r="E29" s="1027"/>
      <c r="F29" s="1030"/>
      <c r="G29" s="1303"/>
      <c r="H29" s="325" t="s">
        <v>396</v>
      </c>
      <c r="I29" s="326" t="s">
        <v>768</v>
      </c>
      <c r="J29" s="327">
        <f ca="1">ROUND(J26/(1+F40)^F41,0)</f>
        <v>0</v>
      </c>
      <c r="K29" s="328" t="s">
        <v>769</v>
      </c>
      <c r="L29" s="329"/>
      <c r="M29" s="330">
        <f ca="1">INDIRECT("'数据-取费表'!k"&amp;$G$1)</f>
        <v>14298.869999999975</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105</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78.61</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IF(项目基本情况!B11="自然人","——",ROUND(C6*F32/(1+'数据-取费表'!C42),2))</f>
        <v>25.01</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53.6</v>
      </c>
      <c r="D33" s="1278" t="s">
        <v>3335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24</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17.82</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ROUND(C13*F37,2)</f>
        <v>6.68</v>
      </c>
      <c r="D37" s="1256" t="s">
        <v>743</v>
      </c>
      <c r="E37" s="294" t="s">
        <v>712</v>
      </c>
      <c r="F37" s="321">
        <f ca="1">INDIRECT("'数据-取费表'!Al"&amp;$G$1)</f>
        <v>1E-3</v>
      </c>
      <c r="G37" s="1292"/>
      <c r="H37" s="2474"/>
      <c r="I37" s="1305"/>
      <c r="J37" s="1306"/>
      <c r="K37" s="2331"/>
      <c r="L37" s="2474"/>
      <c r="M37" s="2474"/>
    </row>
    <row r="38" spans="1:18" ht="18" customHeight="1" thickBot="1">
      <c r="A38" s="1026" t="s">
        <v>683</v>
      </c>
      <c r="B38" s="1027" t="s">
        <v>728</v>
      </c>
      <c r="C38" s="1028">
        <f ca="1">ROUND(C5*F38,2)</f>
        <v>1.41</v>
      </c>
      <c r="D38" s="1029" t="s">
        <v>748</v>
      </c>
      <c r="E38" s="1027" t="s">
        <v>712</v>
      </c>
      <c r="F38" s="1023">
        <f ca="1">INDIRECT("'数据-取费表'!Am"&amp;$G$1)</f>
        <v>3.0000000000000001E-3</v>
      </c>
      <c r="G38" s="1292"/>
      <c r="H38" s="2474"/>
      <c r="I38" s="1305"/>
      <c r="J38" s="1306"/>
      <c r="K38" s="2472"/>
      <c r="L38" s="2474"/>
      <c r="M38" s="2474"/>
    </row>
    <row r="39" spans="1:18" ht="24.6" customHeight="1" thickTop="1">
      <c r="A39" s="1016" t="s">
        <v>394</v>
      </c>
      <c r="B39" s="1031" t="s">
        <v>752</v>
      </c>
      <c r="C39" s="302">
        <f ca="1">C5-C30</f>
        <v>364</v>
      </c>
      <c r="D39" s="1032" t="s">
        <v>753</v>
      </c>
      <c r="E39" s="1033"/>
      <c r="F39" s="1034"/>
      <c r="G39" s="1292"/>
      <c r="H39" s="2474"/>
      <c r="I39" s="1305"/>
      <c r="J39" s="1306"/>
      <c r="K39" s="2472"/>
      <c r="L39" s="2474"/>
      <c r="M39" s="2474"/>
    </row>
    <row r="40" spans="1:18" ht="18" customHeight="1">
      <c r="A40" s="291" t="s">
        <v>395</v>
      </c>
      <c r="B40" s="292" t="s">
        <v>774</v>
      </c>
      <c r="C40" s="293">
        <f ca="1">ROUND(C39*(1-((1+F42)/(1+F40))^F41)/(F40-F42),0)</f>
        <v>6559</v>
      </c>
      <c r="D40" s="316" t="s">
        <v>758</v>
      </c>
      <c r="E40" s="294" t="s">
        <v>759</v>
      </c>
      <c r="F40" s="304">
        <f ca="1">INDIRECT("'数据-取费表'!I"&amp;$G$1)</f>
        <v>0.05</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29.38</v>
      </c>
      <c r="G41" s="1292"/>
      <c r="H41" s="121"/>
      <c r="I41" s="1305"/>
      <c r="J41" s="1306"/>
      <c r="K41" s="2331"/>
      <c r="L41" s="121"/>
      <c r="M41" s="121"/>
    </row>
    <row r="42" spans="1:18" ht="18" customHeight="1">
      <c r="A42" s="300"/>
      <c r="B42" s="301"/>
      <c r="C42" s="302"/>
      <c r="D42" s="319"/>
      <c r="E42" s="294" t="s">
        <v>766</v>
      </c>
      <c r="F42" s="304">
        <f ca="1">INDIRECT("'数据-取费表'!v"&amp;$G$1)</f>
        <v>1.4999999999999999E-2</v>
      </c>
      <c r="G42" s="1292"/>
      <c r="H42" s="121"/>
      <c r="I42" s="1305"/>
      <c r="J42" s="1306"/>
      <c r="K42" s="2331"/>
      <c r="L42" s="121"/>
      <c r="M42" s="121"/>
    </row>
    <row r="43" spans="1:18" ht="18" customHeight="1" thickBot="1">
      <c r="A43" s="325" t="s">
        <v>396</v>
      </c>
      <c r="B43" s="326" t="s">
        <v>776</v>
      </c>
      <c r="C43" s="327">
        <f ca="1">ROUND(C40*10000/F43,0)</f>
        <v>4587</v>
      </c>
      <c r="D43" s="328" t="s">
        <v>777</v>
      </c>
      <c r="E43" s="329" t="s">
        <v>778</v>
      </c>
      <c r="F43" s="330">
        <f ca="1">INDIRECT("'数据-取费表'!k"&amp;$G$1)</f>
        <v>14298.869999999975</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-6940</v>
      </c>
      <c r="D46" s="1313" t="str">
        <f>C2</f>
        <v>万元</v>
      </c>
      <c r="E46" s="1307"/>
      <c r="F46" s="1307"/>
      <c r="I46" s="1314" t="s">
        <v>810</v>
      </c>
      <c r="J46" s="1315"/>
      <c r="K46" s="1316"/>
      <c r="L46" s="1317">
        <f ca="1">IF(M47="住宅",0,IF(L48&gt;J51,L60,J60))</f>
        <v>426</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3668</v>
      </c>
      <c r="K47" s="1323" t="s">
        <v>816</v>
      </c>
      <c r="L47" s="1324">
        <f ca="1">INDIRECT("'数据-取费表'!d"&amp;$G$1)</f>
        <v>50</v>
      </c>
      <c r="M47" s="1288" t="str">
        <f>IF(ISNUMBER(FIND("住宅",C1)),"住宅","非住宅")</f>
        <v>非住宅</v>
      </c>
      <c r="O47" s="1325" t="s">
        <v>403</v>
      </c>
      <c r="P47" s="1326" t="s">
        <v>817</v>
      </c>
      <c r="Q47" s="1327">
        <f ca="1">C40+J29</f>
        <v>6559</v>
      </c>
      <c r="R47" s="1327" t="s">
        <v>818</v>
      </c>
    </row>
    <row r="48" spans="1:18" s="1292" customFormat="1" ht="28.5" thickBot="1">
      <c r="A48" s="1047" t="s">
        <v>438</v>
      </c>
      <c r="B48" s="292" t="s">
        <v>692</v>
      </c>
      <c r="C48" s="1268">
        <f ca="1">C49+C53+C55</f>
        <v>0</v>
      </c>
      <c r="D48" s="1049"/>
      <c r="E48" s="1050"/>
      <c r="F48" s="908"/>
      <c r="G48" s="681"/>
      <c r="H48" s="682"/>
      <c r="I48" s="1328" t="s">
        <v>819</v>
      </c>
      <c r="J48" s="1329" t="s">
        <v>3669</v>
      </c>
      <c r="K48" s="1330" t="s">
        <v>820</v>
      </c>
      <c r="L48" s="1331">
        <f ca="1">INDIRECT("'数据-取费表'!f"&amp;$G$1)</f>
        <v>29.38</v>
      </c>
      <c r="O48" s="1325" t="s">
        <v>404</v>
      </c>
      <c r="P48" s="1326" t="s">
        <v>821</v>
      </c>
      <c r="Q48" s="1327">
        <f ca="1">J60</f>
        <v>426</v>
      </c>
      <c r="R48" s="1327" t="s">
        <v>822</v>
      </c>
    </row>
    <row r="49" spans="1:18" s="1292" customFormat="1" ht="13.5" thickBot="1">
      <c r="A49" s="921" t="s">
        <v>439</v>
      </c>
      <c r="B49" s="1279" t="s">
        <v>779</v>
      </c>
      <c r="C49" s="1051">
        <f ca="1">ROUND(F49*F51*F50*(1-F52)/10000,0)</f>
        <v>0</v>
      </c>
      <c r="D49" s="992" t="s">
        <v>2108</v>
      </c>
      <c r="E49" s="1280" t="s">
        <v>780</v>
      </c>
      <c r="F49" s="997"/>
      <c r="H49" s="682"/>
      <c r="I49" s="1328" t="s">
        <v>823</v>
      </c>
      <c r="J49" s="1332">
        <f>'数据-取费表'!N18</f>
        <v>2007</v>
      </c>
      <c r="K49" s="1330" t="s">
        <v>824</v>
      </c>
      <c r="L49" s="1333"/>
      <c r="O49" s="1334" t="s">
        <v>405</v>
      </c>
      <c r="P49" s="1326" t="s">
        <v>825</v>
      </c>
      <c r="Q49" s="1327">
        <f ca="1">C29</f>
        <v>8911</v>
      </c>
      <c r="R49" s="1327" t="s">
        <v>818</v>
      </c>
    </row>
    <row r="50" spans="1:18" s="1292" customFormat="1" ht="13.5" thickBot="1">
      <c r="A50" s="922"/>
      <c r="B50" s="925"/>
      <c r="C50" s="1055"/>
      <c r="D50" s="899"/>
      <c r="E50" s="993" t="s">
        <v>697</v>
      </c>
      <c r="F50" s="994">
        <f ca="1">F7</f>
        <v>434</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12</v>
      </c>
      <c r="I51" s="1338" t="s">
        <v>829</v>
      </c>
      <c r="J51" s="1331">
        <f>IF(J49="",J50,J49+J50-YEAR('数据-取费表'!B2))</f>
        <v>42</v>
      </c>
      <c r="K51" s="1339" t="s">
        <v>830</v>
      </c>
      <c r="L51" s="1340">
        <f ca="1">ROUND(-PV(INDIRECT("'数据-取费表'!h"&amp;$G$1),J51,(C39-C13*C76),0),0)</f>
        <v>-1944</v>
      </c>
      <c r="M51" s="1341"/>
      <c r="O51" s="1334" t="s">
        <v>407</v>
      </c>
      <c r="P51" s="1326" t="s">
        <v>831</v>
      </c>
      <c r="Q51" s="1337">
        <f>J52</f>
        <v>7.5000000000000011E-2</v>
      </c>
      <c r="R51" s="1327"/>
    </row>
    <row r="52" spans="1:18" s="1292" customFormat="1" ht="13.5" thickBot="1">
      <c r="A52" s="923"/>
      <c r="B52" s="925"/>
      <c r="C52" s="926"/>
      <c r="D52" s="899"/>
      <c r="E52" s="927" t="s">
        <v>699</v>
      </c>
      <c r="F52" s="991"/>
      <c r="I52" s="1342" t="s">
        <v>832</v>
      </c>
      <c r="J52" s="1343">
        <f>'数据-取费表'!J6+0.005</f>
        <v>7.5000000000000011E-2</v>
      </c>
      <c r="K52" s="1342" t="s">
        <v>833</v>
      </c>
      <c r="L52" s="1343"/>
      <c r="O52" s="1334" t="s">
        <v>408</v>
      </c>
      <c r="P52" s="1326" t="s">
        <v>834</v>
      </c>
      <c r="Q52" s="1327">
        <f ca="1">J53</f>
        <v>29.38</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29.38</v>
      </c>
      <c r="K53" s="3409" t="s">
        <v>837</v>
      </c>
      <c r="L53" s="3410"/>
      <c r="O53" s="1325" t="s">
        <v>409</v>
      </c>
      <c r="P53" s="1326" t="s">
        <v>838</v>
      </c>
      <c r="Q53" s="1327">
        <f ca="1">Q47+Q48</f>
        <v>6985</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0.21</v>
      </c>
      <c r="K55" s="1350" t="s">
        <v>841</v>
      </c>
      <c r="L55" s="1351"/>
      <c r="O55" s="1318" t="s">
        <v>811</v>
      </c>
      <c r="P55" s="1319" t="s">
        <v>812</v>
      </c>
      <c r="Q55" s="1320" t="s">
        <v>813</v>
      </c>
      <c r="R55" s="1320" t="s">
        <v>814</v>
      </c>
    </row>
    <row r="56" spans="1:18" s="1292" customFormat="1" ht="25.5" thickTop="1" thickBot="1">
      <c r="A56" s="903">
        <v>2</v>
      </c>
      <c r="B56" s="904" t="s">
        <v>704</v>
      </c>
      <c r="C56" s="224">
        <f ca="1">C13</f>
        <v>6683</v>
      </c>
      <c r="D56" s="1352"/>
      <c r="E56" s="1353"/>
      <c r="F56" s="1345"/>
      <c r="I56" s="1354" t="s">
        <v>842</v>
      </c>
      <c r="J56" s="1355" t="s">
        <v>3670</v>
      </c>
      <c r="K56" s="1328" t="s">
        <v>843</v>
      </c>
      <c r="L56" s="1331" t="str">
        <f ca="1">IF(L48&lt;J51,"——",L48-J53)</f>
        <v>——</v>
      </c>
      <c r="O56" s="1325" t="s">
        <v>403</v>
      </c>
      <c r="P56" s="1326" t="s">
        <v>817</v>
      </c>
      <c r="Q56" s="1327">
        <f ca="1">C40+J29</f>
        <v>6559</v>
      </c>
      <c r="R56" s="1327" t="s">
        <v>818</v>
      </c>
    </row>
    <row r="57" spans="1:18" s="1292" customFormat="1" ht="24.75" thickBot="1">
      <c r="A57" s="1356"/>
      <c r="B57" s="896" t="s">
        <v>767</v>
      </c>
      <c r="C57" s="230">
        <f ca="1">C29</f>
        <v>8911</v>
      </c>
      <c r="D57" s="1357"/>
      <c r="E57" s="1358"/>
      <c r="F57" s="1359"/>
      <c r="I57" s="1360" t="s">
        <v>844</v>
      </c>
      <c r="J57" s="1361">
        <f ca="1">IF(OR(M47="住宅",J51&lt;L48,J56="是"),"——",J51-L48)</f>
        <v>12.620000000000001</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25</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3564</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426</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727</v>
      </c>
      <c r="C61" s="21">
        <f ca="1">IF(项目基本情况!B11="自然人","——",IF(D61="按租金收入计税",ROUND(C49*F61/(1+'数据-取费表'!C42),2),IF(D61="按房产原值计税",ROUND(C57*F61*0.7,2),INDIRECT("'数据-取费表'!Aj"&amp;$G$1))))</f>
        <v>0</v>
      </c>
      <c r="D61" s="1278" t="s">
        <v>3335</v>
      </c>
      <c r="E61" s="896" t="s">
        <v>712</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730</v>
      </c>
      <c r="C62" s="22">
        <f ca="1">IF(项目基本情况!B11="自然人","——",ROUND(F62*F63/10000,2))</f>
        <v>0</v>
      </c>
      <c r="D62" s="911" t="s">
        <v>731</v>
      </c>
      <c r="E62" s="896" t="s">
        <v>732</v>
      </c>
      <c r="F62" s="317">
        <f t="shared" si="0"/>
        <v>24</v>
      </c>
      <c r="I62" s="1367" t="s">
        <v>858</v>
      </c>
      <c r="J62" s="610" t="s">
        <v>859</v>
      </c>
      <c r="K62" s="610" t="s">
        <v>860</v>
      </c>
      <c r="L62" s="610" t="s">
        <v>861</v>
      </c>
      <c r="M62" s="1368" t="s">
        <v>862</v>
      </c>
      <c r="O62" s="1325" t="s">
        <v>409</v>
      </c>
      <c r="P62" s="1326" t="s">
        <v>838</v>
      </c>
      <c r="Q62" s="1327">
        <f ca="1">Q56+Q57</f>
        <v>6559</v>
      </c>
      <c r="R62" s="1327" t="s">
        <v>410</v>
      </c>
    </row>
    <row r="63" spans="1:18" s="1292" customFormat="1" ht="13.5" thickBot="1">
      <c r="A63" s="318"/>
      <c r="B63" s="902"/>
      <c r="C63" s="26"/>
      <c r="D63" s="912"/>
      <c r="E63" s="896" t="s">
        <v>736</v>
      </c>
      <c r="F63" s="295">
        <f t="shared" ca="1" si="0"/>
        <v>0</v>
      </c>
      <c r="I63" s="1367" t="s">
        <v>864</v>
      </c>
      <c r="J63" s="610">
        <v>70</v>
      </c>
      <c r="K63" s="610">
        <v>50</v>
      </c>
      <c r="L63" s="610">
        <v>80</v>
      </c>
      <c r="M63" s="1369">
        <v>0.02</v>
      </c>
      <c r="O63" s="1310" t="s">
        <v>865</v>
      </c>
      <c r="P63" s="1289"/>
      <c r="Q63" s="1289"/>
      <c r="R63" s="1289"/>
    </row>
    <row r="64" spans="1:18" s="1292" customFormat="1" ht="13.5" thickBot="1">
      <c r="A64" s="928" t="s">
        <v>402</v>
      </c>
      <c r="B64" s="896" t="s">
        <v>738</v>
      </c>
      <c r="C64" s="21">
        <f ca="1">ROUND(C57*F64,2)</f>
        <v>17.82</v>
      </c>
      <c r="D64" s="910" t="s">
        <v>771</v>
      </c>
      <c r="E64" s="896" t="s">
        <v>712</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6.68</v>
      </c>
      <c r="D65" s="910" t="s">
        <v>743</v>
      </c>
      <c r="E65" s="896" t="s">
        <v>712</v>
      </c>
      <c r="F65" s="321">
        <f t="shared" ca="1" si="0"/>
        <v>1E-3</v>
      </c>
      <c r="I65" s="1367" t="s">
        <v>867</v>
      </c>
      <c r="J65" s="610">
        <v>40</v>
      </c>
      <c r="K65" s="610">
        <v>30</v>
      </c>
      <c r="L65" s="610">
        <v>50</v>
      </c>
      <c r="M65" s="1369">
        <v>0.02</v>
      </c>
      <c r="O65" s="1325" t="s">
        <v>403</v>
      </c>
      <c r="P65" s="1326" t="s">
        <v>817</v>
      </c>
      <c r="Q65" s="1327">
        <f ca="1">C40+J29</f>
        <v>6559</v>
      </c>
      <c r="R65" s="1327" t="s">
        <v>818</v>
      </c>
    </row>
    <row r="66" spans="1:18" s="1292" customFormat="1" ht="16.5" thickBot="1">
      <c r="A66" s="928" t="s">
        <v>793</v>
      </c>
      <c r="B66" s="896" t="s">
        <v>728</v>
      </c>
      <c r="C66" s="21">
        <f ca="1">ROUND(C48*F66,2)</f>
        <v>0</v>
      </c>
      <c r="D66" s="910" t="s">
        <v>748</v>
      </c>
      <c r="E66" s="896" t="s">
        <v>712</v>
      </c>
      <c r="F66" s="304">
        <f t="shared" ca="1" si="0"/>
        <v>3.0000000000000001E-3</v>
      </c>
      <c r="O66" s="1325" t="s">
        <v>404</v>
      </c>
      <c r="P66" s="1326" t="s">
        <v>846</v>
      </c>
      <c r="Q66" s="1327">
        <f ca="1">L60</f>
        <v>0</v>
      </c>
      <c r="R66" s="1327" t="s">
        <v>869</v>
      </c>
    </row>
    <row r="67" spans="1:18" s="1292" customFormat="1" ht="16.5" thickBot="1">
      <c r="A67" s="903" t="s">
        <v>394</v>
      </c>
      <c r="B67" s="913" t="s">
        <v>752</v>
      </c>
      <c r="C67" s="308">
        <f ca="1">C48-C58</f>
        <v>-25</v>
      </c>
      <c r="D67" s="909" t="s">
        <v>753</v>
      </c>
      <c r="E67" s="914"/>
      <c r="F67" s="915"/>
      <c r="O67" s="1334" t="s">
        <v>405</v>
      </c>
      <c r="P67" s="1326" t="s">
        <v>850</v>
      </c>
      <c r="Q67" s="1370">
        <f ca="1">L51</f>
        <v>-1944</v>
      </c>
      <c r="R67" s="1327" t="s">
        <v>870</v>
      </c>
    </row>
    <row r="68" spans="1:18" s="1292" customFormat="1" ht="16.5" thickBot="1">
      <c r="A68" s="893" t="s">
        <v>395</v>
      </c>
      <c r="B68" s="894" t="s">
        <v>774</v>
      </c>
      <c r="C68" s="293">
        <f ca="1">ROUND(C67*(1-((1+F70)/(1+F68))^F69)/(F68-F70),0)</f>
        <v>-381</v>
      </c>
      <c r="D68" s="911" t="s">
        <v>758</v>
      </c>
      <c r="E68" s="896" t="s">
        <v>759</v>
      </c>
      <c r="F68" s="304">
        <f ca="1">F40</f>
        <v>0.05</v>
      </c>
      <c r="O68" s="1334" t="s">
        <v>406</v>
      </c>
      <c r="P68" s="1371" t="s">
        <v>871</v>
      </c>
      <c r="Q68" s="1327">
        <f ca="1">ROUND(Q69-Q70*Q71,0)</f>
        <v>-104</v>
      </c>
      <c r="R68" s="1327" t="s">
        <v>414</v>
      </c>
    </row>
    <row r="69" spans="1:18" s="1292" customFormat="1" ht="13.5" thickBot="1">
      <c r="A69" s="897"/>
      <c r="B69" s="898"/>
      <c r="C69" s="298"/>
      <c r="D69" s="916" t="s">
        <v>762</v>
      </c>
      <c r="E69" s="896" t="s">
        <v>763</v>
      </c>
      <c r="F69" s="324">
        <f ca="1">F41</f>
        <v>29.38</v>
      </c>
      <c r="O69" s="1334" t="s">
        <v>411</v>
      </c>
      <c r="P69" s="1371" t="s">
        <v>872</v>
      </c>
      <c r="Q69" s="1327">
        <f ca="1">C39</f>
        <v>364</v>
      </c>
      <c r="R69" s="1327" t="s">
        <v>818</v>
      </c>
    </row>
    <row r="70" spans="1:18" s="1292" customFormat="1" ht="13.5" thickBot="1">
      <c r="A70" s="900"/>
      <c r="B70" s="901"/>
      <c r="C70" s="302"/>
      <c r="D70" s="912"/>
      <c r="E70" s="896" t="s">
        <v>766</v>
      </c>
      <c r="F70" s="991"/>
      <c r="O70" s="1334" t="s">
        <v>412</v>
      </c>
      <c r="P70" s="1371" t="s">
        <v>873</v>
      </c>
      <c r="Q70" s="1327">
        <f ca="1">C13</f>
        <v>6683</v>
      </c>
      <c r="R70" s="1327" t="s">
        <v>818</v>
      </c>
    </row>
    <row r="71" spans="1:18" s="1292" customFormat="1" ht="13.5" thickBot="1">
      <c r="A71" s="917" t="s">
        <v>396</v>
      </c>
      <c r="B71" s="918" t="s">
        <v>776</v>
      </c>
      <c r="C71" s="327">
        <f ca="1">ROUND(C68*10000/F71,0)</f>
        <v>-266</v>
      </c>
      <c r="D71" s="919" t="s">
        <v>777</v>
      </c>
      <c r="E71" s="920" t="s">
        <v>778</v>
      </c>
      <c r="F71" s="330">
        <f ca="1">F43</f>
        <v>14298.869999999975</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468</v>
      </c>
      <c r="D75" s="1292"/>
      <c r="E75" s="1292"/>
      <c r="F75" s="1292"/>
      <c r="K75" s="1309"/>
      <c r="L75" s="1292"/>
      <c r="O75" s="1325" t="s">
        <v>409</v>
      </c>
      <c r="P75" s="1326" t="s">
        <v>838</v>
      </c>
      <c r="Q75" s="1327">
        <f ca="1">Q65+Q66</f>
        <v>6559</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-0.28600000000000003</v>
      </c>
    </row>
    <row r="80" spans="1:18">
      <c r="B80" s="331" t="s">
        <v>800</v>
      </c>
      <c r="C80" s="266">
        <f ca="1">ROUND(C75/C39,3)</f>
        <v>1.286</v>
      </c>
    </row>
    <row r="81" spans="2:3">
      <c r="B81" s="262" t="s">
        <v>801</v>
      </c>
      <c r="C81" s="230"/>
    </row>
    <row r="82" spans="2:3">
      <c r="B82" s="265" t="s">
        <v>802</v>
      </c>
      <c r="C82" s="267">
        <f ca="1">1-C83</f>
        <v>-1.8999999999999906E-2</v>
      </c>
    </row>
    <row r="83" spans="2:3">
      <c r="B83" s="265" t="s">
        <v>803</v>
      </c>
      <c r="C83" s="266">
        <f ca="1">ROUND(C13/C40,3)</f>
        <v>1.0189999999999999</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27067.119999999988</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451" t="s">
        <v>1667</v>
      </c>
      <c r="D4" s="3452"/>
      <c r="E4" s="3453" t="s">
        <v>1668</v>
      </c>
      <c r="F4" s="3454"/>
      <c r="G4" s="3451" t="s">
        <v>1669</v>
      </c>
      <c r="H4" s="3452"/>
      <c r="I4" s="3451" t="s">
        <v>1670</v>
      </c>
      <c r="J4" s="3452"/>
      <c r="K4" s="1744" t="s">
        <v>1671</v>
      </c>
      <c r="L4" s="2487"/>
      <c r="M4" s="2488"/>
      <c r="N4" s="2488"/>
      <c r="O4" s="2488"/>
      <c r="P4" s="3455" t="s">
        <v>1672</v>
      </c>
      <c r="Q4" s="3456"/>
      <c r="R4" s="3438" t="s">
        <v>1668</v>
      </c>
      <c r="S4" s="3439"/>
      <c r="T4" s="3438" t="s">
        <v>1669</v>
      </c>
      <c r="U4" s="3439"/>
      <c r="V4" s="3463" t="s">
        <v>1670</v>
      </c>
      <c r="W4" s="3463"/>
      <c r="X4" s="1265"/>
      <c r="Y4" s="3438" t="s">
        <v>1672</v>
      </c>
      <c r="Z4" s="3439"/>
      <c r="AA4" s="3433" t="s">
        <v>1668</v>
      </c>
      <c r="AB4" s="3433" t="s">
        <v>1669</v>
      </c>
      <c r="AC4" s="3433" t="s">
        <v>1670</v>
      </c>
    </row>
    <row r="5" spans="1:29" ht="15">
      <c r="A5" s="348"/>
      <c r="B5" s="349"/>
      <c r="C5" s="3444" t="s">
        <v>1673</v>
      </c>
      <c r="D5" s="3445"/>
      <c r="E5" s="3442" t="s">
        <v>1674</v>
      </c>
      <c r="F5" s="3443"/>
      <c r="G5" s="3444" t="s">
        <v>1675</v>
      </c>
      <c r="H5" s="3445"/>
      <c r="I5" s="3444" t="s">
        <v>1676</v>
      </c>
      <c r="J5" s="3445"/>
      <c r="K5" s="1745"/>
      <c r="L5" s="2487"/>
      <c r="M5" s="2488"/>
      <c r="N5" s="2488"/>
      <c r="O5" s="2488"/>
      <c r="P5" s="3457"/>
      <c r="Q5" s="3458"/>
      <c r="R5" s="3440"/>
      <c r="S5" s="3441"/>
      <c r="T5" s="3440"/>
      <c r="U5" s="3441"/>
      <c r="V5" s="3463"/>
      <c r="W5" s="3463"/>
      <c r="X5" s="1265"/>
      <c r="Y5" s="3440"/>
      <c r="Z5" s="3441"/>
      <c r="AA5" s="3434"/>
      <c r="AB5" s="3434"/>
      <c r="AC5" s="3434"/>
    </row>
    <row r="6" spans="1:29" ht="15.75" thickBot="1">
      <c r="A6" s="350"/>
      <c r="B6" s="351"/>
      <c r="C6" s="3446" t="s">
        <v>1677</v>
      </c>
      <c r="D6" s="3447"/>
      <c r="E6" s="3448" t="s">
        <v>1677</v>
      </c>
      <c r="F6" s="3449"/>
      <c r="G6" s="3446" t="s">
        <v>1677</v>
      </c>
      <c r="H6" s="3447"/>
      <c r="I6" s="3446" t="s">
        <v>1677</v>
      </c>
      <c r="J6" s="3447"/>
      <c r="K6" s="1745" t="s">
        <v>1678</v>
      </c>
      <c r="L6" s="2487"/>
      <c r="M6" s="2488"/>
      <c r="N6" s="2488"/>
      <c r="O6" s="2488"/>
      <c r="P6" s="3459"/>
      <c r="Q6" s="3460"/>
      <c r="R6" s="3440"/>
      <c r="S6" s="3441"/>
      <c r="T6" s="3461"/>
      <c r="U6" s="3462"/>
      <c r="V6" s="3463"/>
      <c r="W6" s="3463"/>
      <c r="X6" s="1265"/>
      <c r="Y6" s="3461"/>
      <c r="Z6" s="3462"/>
      <c r="AA6" s="3435"/>
      <c r="AB6" s="3435"/>
      <c r="AC6" s="3435"/>
    </row>
    <row r="7" spans="1:29" s="102" customFormat="1" ht="15.75" thickBot="1">
      <c r="A7" s="352" t="s">
        <v>1679</v>
      </c>
      <c r="B7" s="353"/>
      <c r="C7" s="354">
        <f>'数据-取费表'!B2</f>
        <v>45748</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36" t="s">
        <v>1680</v>
      </c>
      <c r="Q7" s="3464"/>
      <c r="R7" s="664" t="s">
        <v>20</v>
      </c>
      <c r="S7" s="665">
        <f t="shared" ref="S7:S15" si="0">F7</f>
        <v>0</v>
      </c>
      <c r="T7" s="664" t="s">
        <v>20</v>
      </c>
      <c r="U7" s="665">
        <f t="shared" ref="U7:U15" si="1">H7</f>
        <v>0</v>
      </c>
      <c r="V7" s="664" t="s">
        <v>20</v>
      </c>
      <c r="W7" s="665">
        <f t="shared" ref="W7:W15" si="2">J7</f>
        <v>0</v>
      </c>
      <c r="X7" s="666"/>
      <c r="Y7" s="3436" t="s">
        <v>1680</v>
      </c>
      <c r="Z7" s="3437"/>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36" t="s">
        <v>1683</v>
      </c>
      <c r="Q8" s="3437"/>
      <c r="R8" s="664" t="s">
        <v>20</v>
      </c>
      <c r="S8" s="665">
        <f t="shared" si="0"/>
        <v>100</v>
      </c>
      <c r="T8" s="664" t="s">
        <v>20</v>
      </c>
      <c r="U8" s="665">
        <f t="shared" si="1"/>
        <v>100</v>
      </c>
      <c r="V8" s="664" t="s">
        <v>20</v>
      </c>
      <c r="W8" s="665">
        <f t="shared" si="2"/>
        <v>100</v>
      </c>
      <c r="X8" s="666"/>
      <c r="Y8" s="3436" t="s">
        <v>1683</v>
      </c>
      <c r="Z8" s="3437"/>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50" t="s">
        <v>1686</v>
      </c>
      <c r="Q9" s="530" t="str">
        <f t="shared" ref="Q9:Q15" si="6">B9</f>
        <v>用途</v>
      </c>
      <c r="R9" s="664" t="s">
        <v>14</v>
      </c>
      <c r="S9" s="665">
        <f t="shared" si="0"/>
        <v>100</v>
      </c>
      <c r="T9" s="664" t="s">
        <v>14</v>
      </c>
      <c r="U9" s="665">
        <f t="shared" si="1"/>
        <v>100</v>
      </c>
      <c r="V9" s="664" t="s">
        <v>14</v>
      </c>
      <c r="W9" s="665">
        <f t="shared" si="2"/>
        <v>100</v>
      </c>
      <c r="X9" s="666"/>
      <c r="Y9" s="3361"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50"/>
      <c r="Q10" s="530" t="str">
        <f t="shared" si="6"/>
        <v>土地使用年限（年）</v>
      </c>
      <c r="R10" s="664" t="s">
        <v>14</v>
      </c>
      <c r="S10" s="665">
        <f t="shared" si="0"/>
        <v>100</v>
      </c>
      <c r="T10" s="664" t="s">
        <v>14</v>
      </c>
      <c r="U10" s="665">
        <f t="shared" si="1"/>
        <v>100</v>
      </c>
      <c r="V10" s="664" t="s">
        <v>14</v>
      </c>
      <c r="W10" s="665">
        <f t="shared" si="2"/>
        <v>100</v>
      </c>
      <c r="X10" s="666"/>
      <c r="Y10" s="336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50"/>
      <c r="Q11" s="530" t="str">
        <f t="shared" si="6"/>
        <v>容积率</v>
      </c>
      <c r="R11" s="664" t="s">
        <v>18</v>
      </c>
      <c r="S11" s="665" t="e">
        <f t="shared" si="0"/>
        <v>#N/A</v>
      </c>
      <c r="T11" s="664" t="s">
        <v>18</v>
      </c>
      <c r="U11" s="665" t="e">
        <f t="shared" si="1"/>
        <v>#N/A</v>
      </c>
      <c r="V11" s="664" t="s">
        <v>18</v>
      </c>
      <c r="W11" s="665" t="e">
        <f t="shared" si="2"/>
        <v>#N/A</v>
      </c>
      <c r="X11" s="666"/>
      <c r="Y11" s="336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50"/>
      <c r="Q12" s="530">
        <f t="shared" si="6"/>
        <v>111</v>
      </c>
      <c r="R12" s="664" t="s">
        <v>18</v>
      </c>
      <c r="S12" s="665">
        <f t="shared" si="0"/>
        <v>100</v>
      </c>
      <c r="T12" s="664" t="s">
        <v>18</v>
      </c>
      <c r="U12" s="665">
        <f t="shared" si="1"/>
        <v>100</v>
      </c>
      <c r="V12" s="664" t="s">
        <v>18</v>
      </c>
      <c r="W12" s="665">
        <f t="shared" si="2"/>
        <v>100</v>
      </c>
      <c r="X12" s="666"/>
      <c r="Y12" s="336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50"/>
      <c r="Q13" s="530">
        <f t="shared" si="6"/>
        <v>111</v>
      </c>
      <c r="R13" s="664" t="s">
        <v>18</v>
      </c>
      <c r="S13" s="665">
        <f t="shared" si="0"/>
        <v>100</v>
      </c>
      <c r="T13" s="664" t="s">
        <v>18</v>
      </c>
      <c r="U13" s="665">
        <f t="shared" si="1"/>
        <v>100</v>
      </c>
      <c r="V13" s="664" t="s">
        <v>18</v>
      </c>
      <c r="W13" s="665">
        <f t="shared" si="2"/>
        <v>100</v>
      </c>
      <c r="X13" s="666"/>
      <c r="Y13" s="3361"/>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50"/>
      <c r="Q14" s="530">
        <f t="shared" si="6"/>
        <v>111</v>
      </c>
      <c r="R14" s="664" t="s">
        <v>18</v>
      </c>
      <c r="S14" s="665">
        <f t="shared" si="0"/>
        <v>100</v>
      </c>
      <c r="T14" s="664" t="s">
        <v>18</v>
      </c>
      <c r="U14" s="665">
        <f t="shared" si="1"/>
        <v>100</v>
      </c>
      <c r="V14" s="664" t="s">
        <v>18</v>
      </c>
      <c r="W14" s="665">
        <f t="shared" si="2"/>
        <v>100</v>
      </c>
      <c r="X14" s="666"/>
      <c r="Y14" s="3361"/>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76" t="s">
        <v>1691</v>
      </c>
      <c r="Q15" s="1263" t="str">
        <f t="shared" si="6"/>
        <v>居住社区成熟度</v>
      </c>
      <c r="R15" s="667" t="s">
        <v>18</v>
      </c>
      <c r="S15" s="668">
        <f t="shared" si="0"/>
        <v>100</v>
      </c>
      <c r="T15" s="667" t="s">
        <v>18</v>
      </c>
      <c r="U15" s="668">
        <f t="shared" si="1"/>
        <v>100</v>
      </c>
      <c r="V15" s="667" t="s">
        <v>18</v>
      </c>
      <c r="W15" s="668">
        <f t="shared" si="2"/>
        <v>100</v>
      </c>
      <c r="X15" s="1265"/>
      <c r="Y15" s="3469"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77"/>
      <c r="Q16" s="1263"/>
      <c r="R16" s="667"/>
      <c r="S16" s="668"/>
      <c r="T16" s="667"/>
      <c r="U16" s="668"/>
      <c r="V16" s="667"/>
      <c r="W16" s="668"/>
      <c r="X16" s="1265"/>
      <c r="Y16" s="3470"/>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77"/>
      <c r="Q17" s="1263" t="str">
        <f>B17</f>
        <v>交通便捷度</v>
      </c>
      <c r="R17" s="667" t="s">
        <v>18</v>
      </c>
      <c r="S17" s="668">
        <f>F17</f>
        <v>100</v>
      </c>
      <c r="T17" s="667" t="s">
        <v>18</v>
      </c>
      <c r="U17" s="668">
        <f>H17</f>
        <v>100</v>
      </c>
      <c r="V17" s="667" t="s">
        <v>18</v>
      </c>
      <c r="W17" s="668">
        <f>J17</f>
        <v>100</v>
      </c>
      <c r="X17" s="1265"/>
      <c r="Y17" s="3470"/>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77"/>
      <c r="Q18" s="1263"/>
      <c r="R18" s="667"/>
      <c r="S18" s="668"/>
      <c r="T18" s="667"/>
      <c r="U18" s="668"/>
      <c r="V18" s="667"/>
      <c r="W18" s="668"/>
      <c r="X18" s="1265"/>
      <c r="Y18" s="3470"/>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77"/>
      <c r="Q19" s="1263" t="str">
        <f>B19</f>
        <v>公共配套设施</v>
      </c>
      <c r="R19" s="667" t="s">
        <v>18</v>
      </c>
      <c r="S19" s="668">
        <f>F19</f>
        <v>100</v>
      </c>
      <c r="T19" s="667" t="s">
        <v>18</v>
      </c>
      <c r="U19" s="668">
        <f>H19</f>
        <v>100</v>
      </c>
      <c r="V19" s="667" t="s">
        <v>18</v>
      </c>
      <c r="W19" s="668">
        <f>J19</f>
        <v>100</v>
      </c>
      <c r="X19" s="1265"/>
      <c r="Y19" s="3470"/>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77"/>
      <c r="Q20" s="1263"/>
      <c r="R20" s="667"/>
      <c r="S20" s="668"/>
      <c r="T20" s="667"/>
      <c r="U20" s="668"/>
      <c r="V20" s="667"/>
      <c r="W20" s="668"/>
      <c r="X20" s="1265"/>
      <c r="Y20" s="3470"/>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77"/>
      <c r="Q21" s="1263" t="str">
        <f>B21</f>
        <v>基础设施水平</v>
      </c>
      <c r="R21" s="667" t="s">
        <v>14</v>
      </c>
      <c r="S21" s="668">
        <f>F21</f>
        <v>100</v>
      </c>
      <c r="T21" s="667" t="s">
        <v>14</v>
      </c>
      <c r="U21" s="668">
        <f>H21</f>
        <v>100</v>
      </c>
      <c r="V21" s="667" t="s">
        <v>14</v>
      </c>
      <c r="W21" s="668">
        <f>J21</f>
        <v>100</v>
      </c>
      <c r="X21" s="1265"/>
      <c r="Y21" s="347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77"/>
      <c r="Q22" s="1263"/>
      <c r="R22" s="667"/>
      <c r="S22" s="668"/>
      <c r="T22" s="667"/>
      <c r="U22" s="668"/>
      <c r="V22" s="667"/>
      <c r="W22" s="668"/>
      <c r="X22" s="1265"/>
      <c r="Y22" s="3470"/>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77"/>
      <c r="Q23" s="1263" t="str">
        <f>B23</f>
        <v>自然及人文环境</v>
      </c>
      <c r="R23" s="667" t="s">
        <v>18</v>
      </c>
      <c r="S23" s="668">
        <f>F23</f>
        <v>100</v>
      </c>
      <c r="T23" s="667" t="s">
        <v>18</v>
      </c>
      <c r="U23" s="668">
        <f>H23</f>
        <v>100</v>
      </c>
      <c r="V23" s="667" t="s">
        <v>18</v>
      </c>
      <c r="W23" s="668">
        <f>J23</f>
        <v>100</v>
      </c>
      <c r="X23" s="1265"/>
      <c r="Y23" s="3470"/>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77"/>
      <c r="Q24" s="1263"/>
      <c r="R24" s="667"/>
      <c r="S24" s="668"/>
      <c r="T24" s="667"/>
      <c r="U24" s="668"/>
      <c r="V24" s="667"/>
      <c r="W24" s="668"/>
      <c r="X24" s="1265"/>
      <c r="Y24" s="3470"/>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77"/>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70"/>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77"/>
      <c r="Q26" s="1263" t="str">
        <f t="shared" si="11"/>
        <v>朝向</v>
      </c>
      <c r="R26" s="667" t="s">
        <v>18</v>
      </c>
      <c r="S26" s="668">
        <f t="shared" si="12"/>
        <v>100</v>
      </c>
      <c r="T26" s="667" t="s">
        <v>18</v>
      </c>
      <c r="U26" s="668">
        <f t="shared" si="13"/>
        <v>100</v>
      </c>
      <c r="V26" s="667" t="s">
        <v>18</v>
      </c>
      <c r="W26" s="668">
        <f t="shared" si="14"/>
        <v>100</v>
      </c>
      <c r="X26" s="1265"/>
      <c r="Y26" s="3470"/>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77"/>
      <c r="Q27" s="530">
        <f t="shared" si="11"/>
        <v>111</v>
      </c>
      <c r="R27" s="664" t="s">
        <v>18</v>
      </c>
      <c r="S27" s="665">
        <f t="shared" si="12"/>
        <v>100</v>
      </c>
      <c r="T27" s="664" t="s">
        <v>18</v>
      </c>
      <c r="U27" s="665">
        <f t="shared" si="13"/>
        <v>100</v>
      </c>
      <c r="V27" s="664" t="s">
        <v>18</v>
      </c>
      <c r="W27" s="665">
        <f t="shared" si="14"/>
        <v>100</v>
      </c>
      <c r="X27" s="666"/>
      <c r="Y27" s="3470"/>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77"/>
      <c r="Q28" s="1263">
        <f t="shared" si="11"/>
        <v>111</v>
      </c>
      <c r="R28" s="667" t="s">
        <v>18</v>
      </c>
      <c r="S28" s="668">
        <f t="shared" si="12"/>
        <v>100</v>
      </c>
      <c r="T28" s="667" t="s">
        <v>18</v>
      </c>
      <c r="U28" s="668">
        <f t="shared" si="13"/>
        <v>100</v>
      </c>
      <c r="V28" s="667" t="s">
        <v>18</v>
      </c>
      <c r="W28" s="668">
        <f t="shared" si="14"/>
        <v>100</v>
      </c>
      <c r="X28" s="1265"/>
      <c r="Y28" s="3470"/>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77"/>
      <c r="Q29" s="1263">
        <f t="shared" si="11"/>
        <v>111</v>
      </c>
      <c r="R29" s="667" t="s">
        <v>18</v>
      </c>
      <c r="S29" s="668">
        <f t="shared" si="12"/>
        <v>100</v>
      </c>
      <c r="T29" s="667" t="s">
        <v>18</v>
      </c>
      <c r="U29" s="668">
        <f t="shared" si="13"/>
        <v>100</v>
      </c>
      <c r="V29" s="667" t="s">
        <v>18</v>
      </c>
      <c r="W29" s="668">
        <f t="shared" si="14"/>
        <v>100</v>
      </c>
      <c r="X29" s="1265"/>
      <c r="Y29" s="3470"/>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77"/>
      <c r="Q30" s="1263">
        <f t="shared" si="11"/>
        <v>111</v>
      </c>
      <c r="R30" s="667" t="s">
        <v>18</v>
      </c>
      <c r="S30" s="668">
        <f t="shared" si="12"/>
        <v>100</v>
      </c>
      <c r="T30" s="667" t="s">
        <v>18</v>
      </c>
      <c r="U30" s="668">
        <f t="shared" si="13"/>
        <v>100</v>
      </c>
      <c r="V30" s="667" t="s">
        <v>18</v>
      </c>
      <c r="W30" s="668">
        <f t="shared" si="14"/>
        <v>100</v>
      </c>
      <c r="X30" s="1265"/>
      <c r="Y30" s="3470"/>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77"/>
      <c r="Q31" s="1263">
        <f t="shared" si="11"/>
        <v>111</v>
      </c>
      <c r="R31" s="667" t="s">
        <v>18</v>
      </c>
      <c r="S31" s="668">
        <f t="shared" si="12"/>
        <v>100</v>
      </c>
      <c r="T31" s="667" t="s">
        <v>18</v>
      </c>
      <c r="U31" s="668">
        <f t="shared" si="13"/>
        <v>100</v>
      </c>
      <c r="V31" s="667" t="s">
        <v>18</v>
      </c>
      <c r="W31" s="668">
        <f t="shared" si="14"/>
        <v>100</v>
      </c>
      <c r="X31" s="1265"/>
      <c r="Y31" s="3470"/>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71" t="s">
        <v>1696</v>
      </c>
      <c r="Q32" s="1263" t="str">
        <f t="shared" si="11"/>
        <v>建筑类型</v>
      </c>
      <c r="R32" s="667" t="s">
        <v>18</v>
      </c>
      <c r="S32" s="668">
        <f t="shared" si="12"/>
        <v>100</v>
      </c>
      <c r="T32" s="667" t="s">
        <v>18</v>
      </c>
      <c r="U32" s="668">
        <f t="shared" si="13"/>
        <v>100</v>
      </c>
      <c r="V32" s="667" t="s">
        <v>18</v>
      </c>
      <c r="W32" s="668">
        <f t="shared" si="14"/>
        <v>100</v>
      </c>
      <c r="X32" s="1265"/>
      <c r="Y32" s="3474"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72"/>
      <c r="Q33" s="531" t="str">
        <f t="shared" si="11"/>
        <v>项目建筑规模</v>
      </c>
      <c r="R33" s="669" t="s">
        <v>18</v>
      </c>
      <c r="S33" s="670" t="e">
        <f t="shared" si="12"/>
        <v>#N/A</v>
      </c>
      <c r="T33" s="669" t="s">
        <v>18</v>
      </c>
      <c r="U33" s="670" t="e">
        <f t="shared" si="13"/>
        <v>#N/A</v>
      </c>
      <c r="V33" s="669" t="s">
        <v>18</v>
      </c>
      <c r="W33" s="670" t="e">
        <f t="shared" si="14"/>
        <v>#N/A</v>
      </c>
      <c r="X33" s="671"/>
      <c r="Y33" s="3474"/>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72"/>
      <c r="Q34" s="1263" t="str">
        <f t="shared" si="11"/>
        <v>建筑结构</v>
      </c>
      <c r="R34" s="667" t="s">
        <v>18</v>
      </c>
      <c r="S34" s="668">
        <f t="shared" si="12"/>
        <v>100</v>
      </c>
      <c r="T34" s="667" t="s">
        <v>18</v>
      </c>
      <c r="U34" s="668">
        <f t="shared" si="13"/>
        <v>100</v>
      </c>
      <c r="V34" s="667" t="s">
        <v>18</v>
      </c>
      <c r="W34" s="668">
        <f t="shared" si="14"/>
        <v>100</v>
      </c>
      <c r="X34" s="1265"/>
      <c r="Y34" s="3474"/>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72"/>
      <c r="Q35" s="1263" t="str">
        <f t="shared" si="11"/>
        <v>建筑品质</v>
      </c>
      <c r="R35" s="667" t="s">
        <v>18</v>
      </c>
      <c r="S35" s="668">
        <f t="shared" si="12"/>
        <v>100</v>
      </c>
      <c r="T35" s="667" t="s">
        <v>18</v>
      </c>
      <c r="U35" s="668">
        <f t="shared" si="13"/>
        <v>100</v>
      </c>
      <c r="V35" s="667" t="s">
        <v>18</v>
      </c>
      <c r="W35" s="668">
        <f t="shared" si="14"/>
        <v>100</v>
      </c>
      <c r="X35" s="1265"/>
      <c r="Y35" s="3474"/>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72"/>
      <c r="Q36" s="1263" t="str">
        <f t="shared" si="11"/>
        <v>公共部分装修</v>
      </c>
      <c r="R36" s="667" t="s">
        <v>18</v>
      </c>
      <c r="S36" s="668">
        <f t="shared" si="12"/>
        <v>100</v>
      </c>
      <c r="T36" s="667" t="s">
        <v>18</v>
      </c>
      <c r="U36" s="668">
        <f t="shared" si="13"/>
        <v>100</v>
      </c>
      <c r="V36" s="667" t="s">
        <v>18</v>
      </c>
      <c r="W36" s="668">
        <f t="shared" si="14"/>
        <v>100</v>
      </c>
      <c r="X36" s="1265"/>
      <c r="Y36" s="3474"/>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72"/>
      <c r="Q37" s="530" t="str">
        <f t="shared" si="11"/>
        <v>成新度</v>
      </c>
      <c r="R37" s="664" t="s">
        <v>18</v>
      </c>
      <c r="S37" s="665" t="e">
        <f t="shared" si="12"/>
        <v>#N/A</v>
      </c>
      <c r="T37" s="664" t="s">
        <v>18</v>
      </c>
      <c r="U37" s="665" t="e">
        <f t="shared" si="13"/>
        <v>#N/A</v>
      </c>
      <c r="V37" s="664" t="s">
        <v>18</v>
      </c>
      <c r="W37" s="665" t="e">
        <f t="shared" si="14"/>
        <v>#N/A</v>
      </c>
      <c r="X37" s="666"/>
      <c r="Y37" s="3474"/>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72" t="s">
        <v>1696</v>
      </c>
      <c r="Q38" s="1263" t="str">
        <f t="shared" si="11"/>
        <v>物业管理</v>
      </c>
      <c r="R38" s="667" t="s">
        <v>18</v>
      </c>
      <c r="S38" s="668">
        <f t="shared" si="12"/>
        <v>100</v>
      </c>
      <c r="T38" s="667" t="s">
        <v>18</v>
      </c>
      <c r="U38" s="668">
        <f t="shared" si="13"/>
        <v>100</v>
      </c>
      <c r="V38" s="667" t="s">
        <v>18</v>
      </c>
      <c r="W38" s="668">
        <f t="shared" si="14"/>
        <v>100</v>
      </c>
      <c r="X38" s="1265"/>
      <c r="Y38" s="3474"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72"/>
      <c r="Q39" s="1263" t="str">
        <f t="shared" si="11"/>
        <v>市政基础设施</v>
      </c>
      <c r="R39" s="667" t="s">
        <v>18</v>
      </c>
      <c r="S39" s="668">
        <f t="shared" si="12"/>
        <v>100</v>
      </c>
      <c r="T39" s="667" t="s">
        <v>18</v>
      </c>
      <c r="U39" s="668">
        <f t="shared" si="13"/>
        <v>100</v>
      </c>
      <c r="V39" s="667" t="s">
        <v>18</v>
      </c>
      <c r="W39" s="668">
        <f t="shared" si="14"/>
        <v>100</v>
      </c>
      <c r="X39" s="1265"/>
      <c r="Y39" s="3474"/>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72"/>
      <c r="Q40" s="1263" t="str">
        <f t="shared" si="11"/>
        <v>房型</v>
      </c>
      <c r="R40" s="667" t="s">
        <v>18</v>
      </c>
      <c r="S40" s="668">
        <f t="shared" si="12"/>
        <v>100</v>
      </c>
      <c r="T40" s="667" t="s">
        <v>18</v>
      </c>
      <c r="U40" s="668">
        <f t="shared" si="13"/>
        <v>100</v>
      </c>
      <c r="V40" s="667" t="s">
        <v>18</v>
      </c>
      <c r="W40" s="668">
        <f t="shared" si="14"/>
        <v>100</v>
      </c>
      <c r="X40" s="1265"/>
      <c r="Y40" s="3474"/>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72"/>
      <c r="Q41" s="531" t="str">
        <f t="shared" si="11"/>
        <v>单套/主力户型建筑面积</v>
      </c>
      <c r="R41" s="669" t="s">
        <v>18</v>
      </c>
      <c r="S41" s="670">
        <f t="shared" si="12"/>
        <v>100</v>
      </c>
      <c r="T41" s="669" t="s">
        <v>18</v>
      </c>
      <c r="U41" s="670">
        <f t="shared" si="13"/>
        <v>100</v>
      </c>
      <c r="V41" s="669" t="s">
        <v>18</v>
      </c>
      <c r="W41" s="670">
        <f t="shared" si="14"/>
        <v>100</v>
      </c>
      <c r="X41" s="671"/>
      <c r="Y41" s="3474"/>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72"/>
      <c r="Q42" s="1263" t="str">
        <f t="shared" si="11"/>
        <v>内部装修</v>
      </c>
      <c r="R42" s="667" t="s">
        <v>18</v>
      </c>
      <c r="S42" s="668">
        <f t="shared" si="12"/>
        <v>100</v>
      </c>
      <c r="T42" s="667" t="s">
        <v>18</v>
      </c>
      <c r="U42" s="668">
        <f t="shared" si="13"/>
        <v>100</v>
      </c>
      <c r="V42" s="667" t="s">
        <v>18</v>
      </c>
      <c r="W42" s="668">
        <f t="shared" si="14"/>
        <v>100</v>
      </c>
      <c r="X42" s="1265"/>
      <c r="Y42" s="3474"/>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72"/>
      <c r="Q43" s="1263" t="str">
        <f t="shared" si="11"/>
        <v>内部装修维护情况</v>
      </c>
      <c r="R43" s="667" t="s">
        <v>18</v>
      </c>
      <c r="S43" s="668">
        <f t="shared" si="12"/>
        <v>100</v>
      </c>
      <c r="T43" s="667" t="s">
        <v>18</v>
      </c>
      <c r="U43" s="668">
        <f t="shared" si="13"/>
        <v>100</v>
      </c>
      <c r="V43" s="667" t="s">
        <v>18</v>
      </c>
      <c r="W43" s="668">
        <f t="shared" si="14"/>
        <v>100</v>
      </c>
      <c r="X43" s="1265"/>
      <c r="Y43" s="3474"/>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72"/>
      <c r="Q44" s="530">
        <f t="shared" si="11"/>
        <v>111</v>
      </c>
      <c r="R44" s="664" t="s">
        <v>18</v>
      </c>
      <c r="S44" s="665">
        <f t="shared" si="12"/>
        <v>100</v>
      </c>
      <c r="T44" s="664" t="s">
        <v>18</v>
      </c>
      <c r="U44" s="665">
        <f t="shared" si="13"/>
        <v>100</v>
      </c>
      <c r="V44" s="664" t="s">
        <v>18</v>
      </c>
      <c r="W44" s="665">
        <f t="shared" si="14"/>
        <v>100</v>
      </c>
      <c r="X44" s="666"/>
      <c r="Y44" s="3474"/>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72"/>
      <c r="Q45" s="1263">
        <f t="shared" si="11"/>
        <v>111</v>
      </c>
      <c r="R45" s="667" t="s">
        <v>18</v>
      </c>
      <c r="S45" s="668">
        <f t="shared" si="12"/>
        <v>100</v>
      </c>
      <c r="T45" s="667" t="s">
        <v>18</v>
      </c>
      <c r="U45" s="668">
        <f t="shared" si="13"/>
        <v>100</v>
      </c>
      <c r="V45" s="667" t="s">
        <v>18</v>
      </c>
      <c r="W45" s="668">
        <f t="shared" si="14"/>
        <v>100</v>
      </c>
      <c r="X45" s="1265"/>
      <c r="Y45" s="3474"/>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73"/>
      <c r="Q46" s="1263">
        <f t="shared" si="11"/>
        <v>111</v>
      </c>
      <c r="R46" s="667" t="s">
        <v>17</v>
      </c>
      <c r="S46" s="668">
        <f t="shared" si="12"/>
        <v>100</v>
      </c>
      <c r="T46" s="667" t="s">
        <v>17</v>
      </c>
      <c r="U46" s="668">
        <f t="shared" si="13"/>
        <v>100</v>
      </c>
      <c r="V46" s="667" t="s">
        <v>17</v>
      </c>
      <c r="W46" s="668">
        <f t="shared" si="14"/>
        <v>100</v>
      </c>
      <c r="X46" s="1265"/>
      <c r="Y46" s="3475"/>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468" t="str">
        <f>A47</f>
        <v>成交单价（元/平方米）</v>
      </c>
      <c r="Q47" s="3468"/>
      <c r="R47" s="3463">
        <f>E47</f>
        <v>0</v>
      </c>
      <c r="S47" s="3463"/>
      <c r="T47" s="3463">
        <f>G47</f>
        <v>0</v>
      </c>
      <c r="U47" s="3463"/>
      <c r="V47" s="3463">
        <f>I47</f>
        <v>0</v>
      </c>
      <c r="W47" s="3463"/>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468" t="str">
        <f>A48</f>
        <v>比较价值（元/平方米）</v>
      </c>
      <c r="Q48" s="3468"/>
      <c r="R48" s="3463" t="e">
        <f>IF(F1="售价",ROUND(PRODUCT(R47,AA7:AA46),0),ROUND(PRODUCT(R47,AA7:AA46),1))</f>
        <v>#DIV/0!</v>
      </c>
      <c r="S48" s="3463"/>
      <c r="T48" s="3463" t="e">
        <f>IF(F1="售价",ROUND(PRODUCT(T47,AB7:AB46),0),ROUND(PRODUCT(T47,AB7:AB46),1))</f>
        <v>#DIV/0!</v>
      </c>
      <c r="U48" s="3463"/>
      <c r="V48" s="3463" t="e">
        <f>IF(F1="售价",ROUND(PRODUCT(V47,AC7:AC46),0),ROUND(PRODUCT(V47,AC7:AC46),1))</f>
        <v>#DIV/0!</v>
      </c>
      <c r="W48" s="3463"/>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465" t="str">
        <f>A49</f>
        <v>估价对象XX用房的比较价值（楼面单价，元/平方米）</v>
      </c>
      <c r="Q49" s="3466"/>
      <c r="R49" s="3467" t="e">
        <f>IF(F1="售价",ROUND(IF(D48="简单平均",AVERAGE(R48:V48),R48*F48+T48*H48+V48*J48),0),ROUND(IF(D48="简单平均",AVERAGE(R48:V48),R48*F48+T48*H48+V48*J48),1))</f>
        <v>#DIV/0!</v>
      </c>
      <c r="S49" s="3467"/>
      <c r="T49" s="3467"/>
      <c r="U49" s="3467"/>
      <c r="V49" s="3467"/>
      <c r="W49" s="3467"/>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2025-4</v>
      </c>
      <c r="D58" s="1104">
        <f>EDATE(C58,-1)</f>
        <v>45717</v>
      </c>
      <c r="E58" s="1104">
        <f>EDATE(D58,-1)</f>
        <v>45689</v>
      </c>
      <c r="F58" s="1104">
        <f t="shared" ref="F58:O58" si="19">EDATE(E58,-1)</f>
        <v>45658</v>
      </c>
      <c r="G58" s="1104">
        <f t="shared" si="19"/>
        <v>45627</v>
      </c>
      <c r="H58" s="1104">
        <f t="shared" si="19"/>
        <v>45597</v>
      </c>
      <c r="I58" s="1104">
        <f t="shared" si="19"/>
        <v>45566</v>
      </c>
      <c r="J58" s="1104">
        <f t="shared" si="19"/>
        <v>45536</v>
      </c>
      <c r="K58" s="1104">
        <f t="shared" si="19"/>
        <v>45505</v>
      </c>
      <c r="L58" s="1104">
        <f t="shared" si="19"/>
        <v>45474</v>
      </c>
      <c r="M58" s="1104">
        <f t="shared" si="19"/>
        <v>45444</v>
      </c>
      <c r="N58" s="1104">
        <f t="shared" si="19"/>
        <v>45413</v>
      </c>
      <c r="O58" s="1104">
        <f t="shared" si="19"/>
        <v>45383</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估价对象为北京市房地产，为所有。根据《国有土地使用证》[]，估价对象（分摊）出让国有建设用地使用权面积为0平方米，建筑面积为27067.12平方米。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估价对象为北京市房地产,属开发建设的，该项目尚在开发建设中。根据《国有土地使用证》[]，估价对象（分摊）出让国有建设用地使用权面积为0平方米，规划建筑面积为27067.12平方米。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2025年4月1日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27067.119999999988</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451" t="s">
        <v>1770</v>
      </c>
      <c r="D4" s="3452"/>
      <c r="E4" s="3453" t="s">
        <v>1771</v>
      </c>
      <c r="F4" s="3454"/>
      <c r="G4" s="3451" t="s">
        <v>1772</v>
      </c>
      <c r="H4" s="3452"/>
      <c r="I4" s="3451" t="s">
        <v>1773</v>
      </c>
      <c r="J4" s="3452"/>
      <c r="K4" s="537" t="s">
        <v>1774</v>
      </c>
      <c r="L4" s="2487"/>
      <c r="M4" s="2488"/>
      <c r="N4" s="2488"/>
      <c r="O4" s="2488"/>
      <c r="P4" s="3455" t="s">
        <v>1775</v>
      </c>
      <c r="Q4" s="3456"/>
      <c r="R4" s="3438" t="s">
        <v>1771</v>
      </c>
      <c r="S4" s="3439"/>
      <c r="T4" s="3438" t="s">
        <v>1772</v>
      </c>
      <c r="U4" s="3439"/>
      <c r="V4" s="3463" t="s">
        <v>1773</v>
      </c>
      <c r="W4" s="3463"/>
      <c r="X4" s="1265"/>
      <c r="Y4" s="3438" t="s">
        <v>1775</v>
      </c>
      <c r="Z4" s="3439"/>
      <c r="AA4" s="3433" t="s">
        <v>1771</v>
      </c>
      <c r="AB4" s="3463" t="s">
        <v>1772</v>
      </c>
      <c r="AC4" s="3433" t="s">
        <v>1773</v>
      </c>
    </row>
    <row r="5" spans="1:29" ht="15">
      <c r="A5" s="348"/>
      <c r="B5" s="349"/>
      <c r="C5" s="3444" t="s">
        <v>1673</v>
      </c>
      <c r="D5" s="3445"/>
      <c r="E5" s="3442" t="s">
        <v>1674</v>
      </c>
      <c r="F5" s="3443"/>
      <c r="G5" s="3444" t="s">
        <v>1675</v>
      </c>
      <c r="H5" s="3445"/>
      <c r="I5" s="3444" t="s">
        <v>1676</v>
      </c>
      <c r="J5" s="3445"/>
      <c r="K5" s="537"/>
      <c r="L5" s="2487"/>
      <c r="M5" s="2488"/>
      <c r="N5" s="2488"/>
      <c r="O5" s="2488"/>
      <c r="P5" s="3457"/>
      <c r="Q5" s="3458"/>
      <c r="R5" s="3440"/>
      <c r="S5" s="3441"/>
      <c r="T5" s="3440"/>
      <c r="U5" s="3441"/>
      <c r="V5" s="3463"/>
      <c r="W5" s="3463"/>
      <c r="X5" s="1265"/>
      <c r="Y5" s="3440"/>
      <c r="Z5" s="3441"/>
      <c r="AA5" s="3434"/>
      <c r="AB5" s="3463"/>
      <c r="AC5" s="3434"/>
    </row>
    <row r="6" spans="1:29" ht="15.75" thickBot="1">
      <c r="A6" s="350"/>
      <c r="B6" s="351"/>
      <c r="C6" s="3446" t="s">
        <v>1677</v>
      </c>
      <c r="D6" s="3447"/>
      <c r="E6" s="3448" t="s">
        <v>1677</v>
      </c>
      <c r="F6" s="3449"/>
      <c r="G6" s="3446" t="s">
        <v>1677</v>
      </c>
      <c r="H6" s="3447"/>
      <c r="I6" s="3446" t="s">
        <v>1677</v>
      </c>
      <c r="J6" s="3447"/>
      <c r="K6" s="537" t="s">
        <v>1678</v>
      </c>
      <c r="L6" s="2487"/>
      <c r="M6" s="2488"/>
      <c r="N6" s="2488"/>
      <c r="O6" s="2488"/>
      <c r="P6" s="3459"/>
      <c r="Q6" s="3460"/>
      <c r="R6" s="3440"/>
      <c r="S6" s="3441"/>
      <c r="T6" s="3461"/>
      <c r="U6" s="3462"/>
      <c r="V6" s="3463"/>
      <c r="W6" s="3463"/>
      <c r="X6" s="1265"/>
      <c r="Y6" s="3461"/>
      <c r="Z6" s="3462"/>
      <c r="AA6" s="3435"/>
      <c r="AB6" s="3463"/>
      <c r="AC6" s="3435"/>
    </row>
    <row r="7" spans="1:29" s="102" customFormat="1" ht="15.75" thickBot="1">
      <c r="A7" s="352" t="s">
        <v>1679</v>
      </c>
      <c r="B7" s="353"/>
      <c r="C7" s="354">
        <f>'数据-取费表'!B2</f>
        <v>45748</v>
      </c>
      <c r="D7" s="355">
        <v>100</v>
      </c>
      <c r="E7" s="356"/>
      <c r="F7" s="357">
        <f>SUMIF(58:58,YEAR(E7)&amp;"-"&amp;MONTH(E7),59:59)</f>
        <v>0</v>
      </c>
      <c r="G7" s="356"/>
      <c r="H7" s="355">
        <f>SUMIF(58:58,YEAR(G7)&amp;"-"&amp;MONTH(G7),59:59)</f>
        <v>0</v>
      </c>
      <c r="I7" s="356"/>
      <c r="J7" s="355">
        <f>SUMIF(58:58,YEAR(I7)&amp;"-"&amp;MONTH(I7),59:59)</f>
        <v>0</v>
      </c>
      <c r="K7" s="38"/>
      <c r="L7" s="2489"/>
      <c r="M7" s="2440"/>
      <c r="N7" s="2440"/>
      <c r="O7" s="2440"/>
      <c r="P7" s="3436" t="s">
        <v>1680</v>
      </c>
      <c r="Q7" s="3464"/>
      <c r="R7" s="664" t="s">
        <v>14</v>
      </c>
      <c r="S7" s="665">
        <f t="shared" ref="S7:S15" si="0">F7</f>
        <v>0</v>
      </c>
      <c r="T7" s="664" t="s">
        <v>14</v>
      </c>
      <c r="U7" s="665">
        <f t="shared" ref="U7:U15" si="1">H7</f>
        <v>0</v>
      </c>
      <c r="V7" s="664" t="s">
        <v>14</v>
      </c>
      <c r="W7" s="665">
        <f t="shared" ref="W7:W15" si="2">J7</f>
        <v>0</v>
      </c>
      <c r="X7" s="666"/>
      <c r="Y7" s="3436" t="s">
        <v>1680</v>
      </c>
      <c r="Z7" s="3437"/>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36" t="s">
        <v>1683</v>
      </c>
      <c r="Q8" s="3437"/>
      <c r="R8" s="664" t="s">
        <v>14</v>
      </c>
      <c r="S8" s="665">
        <f t="shared" si="0"/>
        <v>100</v>
      </c>
      <c r="T8" s="664" t="s">
        <v>14</v>
      </c>
      <c r="U8" s="665">
        <f t="shared" si="1"/>
        <v>100</v>
      </c>
      <c r="V8" s="664" t="s">
        <v>14</v>
      </c>
      <c r="W8" s="665">
        <f t="shared" si="2"/>
        <v>100</v>
      </c>
      <c r="X8" s="666"/>
      <c r="Y8" s="3436" t="s">
        <v>1683</v>
      </c>
      <c r="Z8" s="3437"/>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50" t="s">
        <v>1686</v>
      </c>
      <c r="Q9" s="530" t="str">
        <f t="shared" ref="Q9:Q15" si="6">B9</f>
        <v>用途</v>
      </c>
      <c r="R9" s="664" t="s">
        <v>14</v>
      </c>
      <c r="S9" s="665">
        <f t="shared" si="0"/>
        <v>100</v>
      </c>
      <c r="T9" s="664" t="s">
        <v>14</v>
      </c>
      <c r="U9" s="665">
        <f t="shared" si="1"/>
        <v>100</v>
      </c>
      <c r="V9" s="664" t="s">
        <v>14</v>
      </c>
      <c r="W9" s="665">
        <f t="shared" si="2"/>
        <v>100</v>
      </c>
      <c r="X9" s="666"/>
      <c r="Y9" s="3361"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50"/>
      <c r="Q10" s="530" t="str">
        <f t="shared" si="6"/>
        <v>土地使用年限（年）</v>
      </c>
      <c r="R10" s="664" t="s">
        <v>14</v>
      </c>
      <c r="S10" s="665">
        <f t="shared" si="0"/>
        <v>100</v>
      </c>
      <c r="T10" s="664" t="s">
        <v>14</v>
      </c>
      <c r="U10" s="665">
        <f t="shared" si="1"/>
        <v>100</v>
      </c>
      <c r="V10" s="664" t="s">
        <v>14</v>
      </c>
      <c r="W10" s="665">
        <f t="shared" si="2"/>
        <v>100</v>
      </c>
      <c r="X10" s="666"/>
      <c r="Y10" s="336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450"/>
      <c r="Q11" s="530" t="str">
        <f t="shared" si="6"/>
        <v>容积率</v>
      </c>
      <c r="R11" s="664" t="s">
        <v>14</v>
      </c>
      <c r="S11" s="665" t="e">
        <f t="shared" si="0"/>
        <v>#N/A</v>
      </c>
      <c r="T11" s="664" t="s">
        <v>14</v>
      </c>
      <c r="U11" s="665" t="e">
        <f t="shared" si="1"/>
        <v>#N/A</v>
      </c>
      <c r="V11" s="664" t="s">
        <v>14</v>
      </c>
      <c r="W11" s="665" t="e">
        <f t="shared" si="2"/>
        <v>#N/A</v>
      </c>
      <c r="X11" s="666"/>
      <c r="Y11" s="336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50"/>
      <c r="Q12" s="530">
        <f t="shared" si="6"/>
        <v>111</v>
      </c>
      <c r="R12" s="664" t="s">
        <v>14</v>
      </c>
      <c r="S12" s="665">
        <f t="shared" si="0"/>
        <v>100</v>
      </c>
      <c r="T12" s="664" t="s">
        <v>14</v>
      </c>
      <c r="U12" s="665">
        <f t="shared" si="1"/>
        <v>100</v>
      </c>
      <c r="V12" s="664" t="s">
        <v>14</v>
      </c>
      <c r="W12" s="665">
        <f t="shared" si="2"/>
        <v>100</v>
      </c>
      <c r="X12" s="666"/>
      <c r="Y12" s="336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50"/>
      <c r="Q13" s="530">
        <f t="shared" si="6"/>
        <v>111</v>
      </c>
      <c r="R13" s="664" t="s">
        <v>14</v>
      </c>
      <c r="S13" s="665">
        <f t="shared" si="0"/>
        <v>100</v>
      </c>
      <c r="T13" s="664" t="s">
        <v>14</v>
      </c>
      <c r="U13" s="665">
        <f t="shared" si="1"/>
        <v>100</v>
      </c>
      <c r="V13" s="664" t="s">
        <v>14</v>
      </c>
      <c r="W13" s="665">
        <f t="shared" si="2"/>
        <v>100</v>
      </c>
      <c r="X13" s="666"/>
      <c r="Y13" s="3361"/>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50"/>
      <c r="Q14" s="530">
        <f t="shared" si="6"/>
        <v>111</v>
      </c>
      <c r="R14" s="664" t="s">
        <v>14</v>
      </c>
      <c r="S14" s="665">
        <f t="shared" si="0"/>
        <v>100</v>
      </c>
      <c r="T14" s="664" t="s">
        <v>14</v>
      </c>
      <c r="U14" s="665">
        <f t="shared" si="1"/>
        <v>100</v>
      </c>
      <c r="V14" s="664" t="s">
        <v>14</v>
      </c>
      <c r="W14" s="665">
        <f t="shared" si="2"/>
        <v>100</v>
      </c>
      <c r="X14" s="666"/>
      <c r="Y14" s="3361"/>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76" t="s">
        <v>1691</v>
      </c>
      <c r="Q15" s="1263" t="str">
        <f t="shared" si="6"/>
        <v>商业繁华度</v>
      </c>
      <c r="R15" s="667" t="s">
        <v>14</v>
      </c>
      <c r="S15" s="668">
        <f t="shared" si="0"/>
        <v>100</v>
      </c>
      <c r="T15" s="667" t="s">
        <v>14</v>
      </c>
      <c r="U15" s="668">
        <f t="shared" si="1"/>
        <v>100</v>
      </c>
      <c r="V15" s="667" t="s">
        <v>14</v>
      </c>
      <c r="W15" s="668">
        <f t="shared" si="2"/>
        <v>100</v>
      </c>
      <c r="X15" s="1265"/>
      <c r="Y15" s="3469"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77"/>
      <c r="Q16" s="1263"/>
      <c r="R16" s="667"/>
      <c r="S16" s="668"/>
      <c r="T16" s="667"/>
      <c r="U16" s="668"/>
      <c r="V16" s="667"/>
      <c r="W16" s="668"/>
      <c r="X16" s="1265"/>
      <c r="Y16" s="3470"/>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77"/>
      <c r="Q17" s="1263" t="str">
        <f>B17</f>
        <v>交通便捷度</v>
      </c>
      <c r="R17" s="667" t="s">
        <v>14</v>
      </c>
      <c r="S17" s="668">
        <f>F17</f>
        <v>100</v>
      </c>
      <c r="T17" s="667" t="s">
        <v>14</v>
      </c>
      <c r="U17" s="668">
        <f>H17</f>
        <v>100</v>
      </c>
      <c r="V17" s="667" t="s">
        <v>14</v>
      </c>
      <c r="W17" s="668">
        <f>J17</f>
        <v>100</v>
      </c>
      <c r="X17" s="1265"/>
      <c r="Y17" s="347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77"/>
      <c r="Q18" s="1263"/>
      <c r="R18" s="667"/>
      <c r="S18" s="668"/>
      <c r="T18" s="667"/>
      <c r="U18" s="668"/>
      <c r="V18" s="667"/>
      <c r="W18" s="668"/>
      <c r="X18" s="1265"/>
      <c r="Y18" s="3470"/>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77"/>
      <c r="Q19" s="1263" t="str">
        <f>B19</f>
        <v>公共配套设施</v>
      </c>
      <c r="R19" s="667" t="s">
        <v>14</v>
      </c>
      <c r="S19" s="668">
        <f>F19</f>
        <v>100</v>
      </c>
      <c r="T19" s="667" t="s">
        <v>14</v>
      </c>
      <c r="U19" s="668">
        <f>H19</f>
        <v>100</v>
      </c>
      <c r="V19" s="667" t="s">
        <v>14</v>
      </c>
      <c r="W19" s="668">
        <f>J19</f>
        <v>100</v>
      </c>
      <c r="X19" s="1265"/>
      <c r="Y19" s="347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77"/>
      <c r="Q20" s="1263"/>
      <c r="R20" s="667"/>
      <c r="S20" s="668"/>
      <c r="T20" s="667"/>
      <c r="U20" s="668"/>
      <c r="V20" s="667"/>
      <c r="W20" s="668"/>
      <c r="X20" s="1265"/>
      <c r="Y20" s="3470"/>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77"/>
      <c r="Q21" s="1263" t="str">
        <f>B21</f>
        <v>基础设施水平</v>
      </c>
      <c r="R21" s="667" t="s">
        <v>14</v>
      </c>
      <c r="S21" s="668">
        <f>F21</f>
        <v>100</v>
      </c>
      <c r="T21" s="667" t="s">
        <v>14</v>
      </c>
      <c r="U21" s="668">
        <f>H21</f>
        <v>100</v>
      </c>
      <c r="V21" s="667" t="s">
        <v>14</v>
      </c>
      <c r="W21" s="668">
        <f>J21</f>
        <v>100</v>
      </c>
      <c r="X21" s="1265"/>
      <c r="Y21" s="347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77"/>
      <c r="Q22" s="1263"/>
      <c r="R22" s="667"/>
      <c r="S22" s="668"/>
      <c r="T22" s="667"/>
      <c r="U22" s="668"/>
      <c r="V22" s="667"/>
      <c r="W22" s="668"/>
      <c r="X22" s="1265"/>
      <c r="Y22" s="3470"/>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77"/>
      <c r="Q23" s="1263" t="str">
        <f>B23</f>
        <v>自然及人文环境</v>
      </c>
      <c r="R23" s="667" t="s">
        <v>14</v>
      </c>
      <c r="S23" s="668">
        <f>F23</f>
        <v>100</v>
      </c>
      <c r="T23" s="667" t="s">
        <v>14</v>
      </c>
      <c r="U23" s="668">
        <f>H23</f>
        <v>100</v>
      </c>
      <c r="V23" s="667" t="s">
        <v>14</v>
      </c>
      <c r="W23" s="668">
        <f>J23</f>
        <v>100</v>
      </c>
      <c r="X23" s="1265"/>
      <c r="Y23" s="3470"/>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77"/>
      <c r="Q24" s="1263"/>
      <c r="R24" s="667"/>
      <c r="S24" s="668"/>
      <c r="T24" s="667"/>
      <c r="U24" s="668"/>
      <c r="V24" s="667"/>
      <c r="W24" s="668"/>
      <c r="X24" s="1265"/>
      <c r="Y24" s="3470"/>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77"/>
      <c r="Q25" s="1263" t="str">
        <f t="shared" ref="Q25:Q46" si="11">B25</f>
        <v>临街状况</v>
      </c>
      <c r="R25" s="667" t="s">
        <v>14</v>
      </c>
      <c r="S25" s="668">
        <f>F25</f>
        <v>100</v>
      </c>
      <c r="T25" s="667" t="s">
        <v>14</v>
      </c>
      <c r="U25" s="668">
        <f>H25</f>
        <v>100</v>
      </c>
      <c r="V25" s="667" t="s">
        <v>14</v>
      </c>
      <c r="W25" s="668">
        <f>J25</f>
        <v>100</v>
      </c>
      <c r="X25" s="1265"/>
      <c r="Y25" s="3470"/>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77"/>
      <c r="Q26" s="1263" t="str">
        <f t="shared" si="11"/>
        <v>平面位置/可视性</v>
      </c>
      <c r="R26" s="667" t="s">
        <v>14</v>
      </c>
      <c r="S26" s="668">
        <f>F26</f>
        <v>100</v>
      </c>
      <c r="T26" s="667" t="s">
        <v>14</v>
      </c>
      <c r="U26" s="668">
        <f>H26</f>
        <v>100</v>
      </c>
      <c r="V26" s="667" t="s">
        <v>14</v>
      </c>
      <c r="W26" s="668">
        <f>J26</f>
        <v>100</v>
      </c>
      <c r="X26" s="1265"/>
      <c r="Y26" s="3470"/>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77"/>
      <c r="Q27" s="530" t="str">
        <f t="shared" si="11"/>
        <v>人流量</v>
      </c>
      <c r="R27" s="664" t="s">
        <v>14</v>
      </c>
      <c r="S27" s="665">
        <f>F27</f>
        <v>100</v>
      </c>
      <c r="T27" s="664" t="s">
        <v>14</v>
      </c>
      <c r="U27" s="665">
        <f>H27</f>
        <v>100</v>
      </c>
      <c r="V27" s="664" t="s">
        <v>14</v>
      </c>
      <c r="W27" s="665">
        <f>J27</f>
        <v>100</v>
      </c>
      <c r="X27" s="666"/>
      <c r="Y27" s="3470"/>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77"/>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70"/>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77"/>
      <c r="Q29" s="1263">
        <f t="shared" si="11"/>
        <v>111</v>
      </c>
      <c r="R29" s="667" t="s">
        <v>14</v>
      </c>
      <c r="S29" s="668">
        <f t="shared" si="12"/>
        <v>100</v>
      </c>
      <c r="T29" s="667" t="s">
        <v>14</v>
      </c>
      <c r="U29" s="668">
        <f t="shared" si="13"/>
        <v>100</v>
      </c>
      <c r="V29" s="667" t="s">
        <v>14</v>
      </c>
      <c r="W29" s="668">
        <f t="shared" si="14"/>
        <v>100</v>
      </c>
      <c r="X29" s="1265"/>
      <c r="Y29" s="3470"/>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77"/>
      <c r="Q30" s="1263">
        <f t="shared" si="11"/>
        <v>111</v>
      </c>
      <c r="R30" s="667" t="s">
        <v>14</v>
      </c>
      <c r="S30" s="668">
        <f t="shared" si="12"/>
        <v>100</v>
      </c>
      <c r="T30" s="667" t="s">
        <v>14</v>
      </c>
      <c r="U30" s="668">
        <f t="shared" si="13"/>
        <v>100</v>
      </c>
      <c r="V30" s="667" t="s">
        <v>14</v>
      </c>
      <c r="W30" s="668">
        <f t="shared" si="14"/>
        <v>100</v>
      </c>
      <c r="X30" s="1265"/>
      <c r="Y30" s="3470"/>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77"/>
      <c r="Q31" s="1263">
        <f t="shared" si="11"/>
        <v>111</v>
      </c>
      <c r="R31" s="667" t="s">
        <v>14</v>
      </c>
      <c r="S31" s="668">
        <f t="shared" si="12"/>
        <v>100</v>
      </c>
      <c r="T31" s="667" t="s">
        <v>14</v>
      </c>
      <c r="U31" s="668">
        <f t="shared" si="13"/>
        <v>100</v>
      </c>
      <c r="V31" s="667" t="s">
        <v>14</v>
      </c>
      <c r="W31" s="668">
        <f t="shared" si="14"/>
        <v>100</v>
      </c>
      <c r="X31" s="1265"/>
      <c r="Y31" s="3470"/>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71" t="s">
        <v>1696</v>
      </c>
      <c r="Q32" s="1263" t="str">
        <f t="shared" si="11"/>
        <v>商业类型</v>
      </c>
      <c r="R32" s="667" t="s">
        <v>14</v>
      </c>
      <c r="S32" s="668">
        <f t="shared" si="12"/>
        <v>100</v>
      </c>
      <c r="T32" s="667" t="s">
        <v>14</v>
      </c>
      <c r="U32" s="668">
        <f t="shared" si="13"/>
        <v>100</v>
      </c>
      <c r="V32" s="667" t="s">
        <v>14</v>
      </c>
      <c r="W32" s="668">
        <f t="shared" si="14"/>
        <v>100</v>
      </c>
      <c r="X32" s="1265"/>
      <c r="Y32" s="3474"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72"/>
      <c r="Q33" s="531" t="str">
        <f t="shared" si="11"/>
        <v>项目建筑规模</v>
      </c>
      <c r="R33" s="669" t="s">
        <v>14</v>
      </c>
      <c r="S33" s="670" t="e">
        <f t="shared" si="12"/>
        <v>#N/A</v>
      </c>
      <c r="T33" s="669" t="s">
        <v>14</v>
      </c>
      <c r="U33" s="670" t="e">
        <f t="shared" si="13"/>
        <v>#N/A</v>
      </c>
      <c r="V33" s="669" t="s">
        <v>14</v>
      </c>
      <c r="W33" s="670" t="e">
        <f t="shared" si="14"/>
        <v>#N/A</v>
      </c>
      <c r="X33" s="671"/>
      <c r="Y33" s="3474"/>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72"/>
      <c r="Q34" s="1263" t="str">
        <f t="shared" si="11"/>
        <v>建筑结构</v>
      </c>
      <c r="R34" s="667" t="s">
        <v>14</v>
      </c>
      <c r="S34" s="668">
        <f t="shared" si="12"/>
        <v>100</v>
      </c>
      <c r="T34" s="667" t="s">
        <v>14</v>
      </c>
      <c r="U34" s="668">
        <f t="shared" si="13"/>
        <v>100</v>
      </c>
      <c r="V34" s="667" t="s">
        <v>14</v>
      </c>
      <c r="W34" s="668">
        <f t="shared" si="14"/>
        <v>100</v>
      </c>
      <c r="X34" s="1265"/>
      <c r="Y34" s="3474"/>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72"/>
      <c r="Q35" s="1263" t="str">
        <f t="shared" si="11"/>
        <v>公共部分装修</v>
      </c>
      <c r="R35" s="667" t="s">
        <v>14</v>
      </c>
      <c r="S35" s="668">
        <f t="shared" si="12"/>
        <v>100</v>
      </c>
      <c r="T35" s="667" t="s">
        <v>14</v>
      </c>
      <c r="U35" s="668">
        <f t="shared" si="13"/>
        <v>100</v>
      </c>
      <c r="V35" s="667" t="s">
        <v>14</v>
      </c>
      <c r="W35" s="668">
        <f t="shared" si="14"/>
        <v>100</v>
      </c>
      <c r="X35" s="1265"/>
      <c r="Y35" s="3474"/>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72"/>
      <c r="Q36" s="1263" t="str">
        <f t="shared" si="11"/>
        <v>成新度</v>
      </c>
      <c r="R36" s="667" t="s">
        <v>14</v>
      </c>
      <c r="S36" s="668" t="e">
        <f t="shared" si="12"/>
        <v>#N/A</v>
      </c>
      <c r="T36" s="667" t="s">
        <v>14</v>
      </c>
      <c r="U36" s="668" t="e">
        <f t="shared" si="13"/>
        <v>#N/A</v>
      </c>
      <c r="V36" s="667" t="s">
        <v>14</v>
      </c>
      <c r="W36" s="668" t="e">
        <f t="shared" si="14"/>
        <v>#N/A</v>
      </c>
      <c r="X36" s="1265"/>
      <c r="Y36" s="3474"/>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72"/>
      <c r="Q37" s="530" t="str">
        <f t="shared" si="11"/>
        <v>市政基础设施</v>
      </c>
      <c r="R37" s="664" t="s">
        <v>14</v>
      </c>
      <c r="S37" s="665">
        <f t="shared" si="12"/>
        <v>100</v>
      </c>
      <c r="T37" s="664" t="s">
        <v>14</v>
      </c>
      <c r="U37" s="665">
        <f t="shared" si="13"/>
        <v>100</v>
      </c>
      <c r="V37" s="664" t="s">
        <v>14</v>
      </c>
      <c r="W37" s="665">
        <f t="shared" si="14"/>
        <v>100</v>
      </c>
      <c r="X37" s="666"/>
      <c r="Y37" s="3474"/>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72" t="s">
        <v>1696</v>
      </c>
      <c r="Q38" s="1263" t="str">
        <f t="shared" si="11"/>
        <v>业态</v>
      </c>
      <c r="R38" s="667" t="s">
        <v>14</v>
      </c>
      <c r="S38" s="668">
        <f t="shared" si="12"/>
        <v>100</v>
      </c>
      <c r="T38" s="667" t="s">
        <v>14</v>
      </c>
      <c r="U38" s="668">
        <f t="shared" si="13"/>
        <v>100</v>
      </c>
      <c r="V38" s="667" t="s">
        <v>14</v>
      </c>
      <c r="W38" s="668">
        <f t="shared" si="14"/>
        <v>100</v>
      </c>
      <c r="X38" s="1265"/>
      <c r="Y38" s="3474"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72"/>
      <c r="Q39" s="1263" t="str">
        <f t="shared" si="11"/>
        <v>层高</v>
      </c>
      <c r="R39" s="667" t="s">
        <v>14</v>
      </c>
      <c r="S39" s="668">
        <f t="shared" si="12"/>
        <v>100</v>
      </c>
      <c r="T39" s="667" t="s">
        <v>14</v>
      </c>
      <c r="U39" s="668">
        <f t="shared" si="13"/>
        <v>100</v>
      </c>
      <c r="V39" s="667" t="s">
        <v>14</v>
      </c>
      <c r="W39" s="668">
        <f t="shared" si="14"/>
        <v>100</v>
      </c>
      <c r="X39" s="1265"/>
      <c r="Y39" s="3474"/>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72"/>
      <c r="Q40" s="1263" t="str">
        <f t="shared" si="11"/>
        <v>单套建筑面积</v>
      </c>
      <c r="R40" s="667" t="s">
        <v>14</v>
      </c>
      <c r="S40" s="668">
        <f t="shared" si="12"/>
        <v>100</v>
      </c>
      <c r="T40" s="667" t="s">
        <v>14</v>
      </c>
      <c r="U40" s="668">
        <f t="shared" si="13"/>
        <v>100</v>
      </c>
      <c r="V40" s="667" t="s">
        <v>14</v>
      </c>
      <c r="W40" s="668">
        <f t="shared" si="14"/>
        <v>100</v>
      </c>
      <c r="X40" s="1265"/>
      <c r="Y40" s="3474"/>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72"/>
      <c r="Q41" s="531" t="str">
        <f t="shared" si="11"/>
        <v>进深比</v>
      </c>
      <c r="R41" s="669" t="s">
        <v>14</v>
      </c>
      <c r="S41" s="670">
        <f t="shared" si="12"/>
        <v>100</v>
      </c>
      <c r="T41" s="669" t="s">
        <v>14</v>
      </c>
      <c r="U41" s="670">
        <f t="shared" si="13"/>
        <v>100</v>
      </c>
      <c r="V41" s="669" t="s">
        <v>14</v>
      </c>
      <c r="W41" s="670">
        <f t="shared" si="14"/>
        <v>100</v>
      </c>
      <c r="X41" s="671"/>
      <c r="Y41" s="3474"/>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72"/>
      <c r="Q42" s="1263" t="str">
        <f t="shared" si="11"/>
        <v>内部装修</v>
      </c>
      <c r="R42" s="667" t="s">
        <v>14</v>
      </c>
      <c r="S42" s="668">
        <f t="shared" si="12"/>
        <v>100</v>
      </c>
      <c r="T42" s="667" t="s">
        <v>14</v>
      </c>
      <c r="U42" s="668">
        <f t="shared" si="13"/>
        <v>100</v>
      </c>
      <c r="V42" s="667" t="s">
        <v>14</v>
      </c>
      <c r="W42" s="668">
        <f t="shared" si="14"/>
        <v>100</v>
      </c>
      <c r="X42" s="1265"/>
      <c r="Y42" s="3474"/>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72"/>
      <c r="Q43" s="1263" t="str">
        <f t="shared" si="11"/>
        <v>内部装修维护情况</v>
      </c>
      <c r="R43" s="667" t="s">
        <v>14</v>
      </c>
      <c r="S43" s="668">
        <f t="shared" si="12"/>
        <v>100</v>
      </c>
      <c r="T43" s="667" t="s">
        <v>14</v>
      </c>
      <c r="U43" s="668">
        <f t="shared" si="13"/>
        <v>100</v>
      </c>
      <c r="V43" s="667" t="s">
        <v>14</v>
      </c>
      <c r="W43" s="668">
        <f t="shared" si="14"/>
        <v>100</v>
      </c>
      <c r="X43" s="1265"/>
      <c r="Y43" s="3474"/>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72"/>
      <c r="Q44" s="530">
        <f t="shared" si="11"/>
        <v>111</v>
      </c>
      <c r="R44" s="664" t="s">
        <v>14</v>
      </c>
      <c r="S44" s="665">
        <f t="shared" si="12"/>
        <v>100</v>
      </c>
      <c r="T44" s="664" t="s">
        <v>14</v>
      </c>
      <c r="U44" s="665">
        <f t="shared" si="13"/>
        <v>100</v>
      </c>
      <c r="V44" s="664" t="s">
        <v>14</v>
      </c>
      <c r="W44" s="665">
        <f t="shared" si="14"/>
        <v>100</v>
      </c>
      <c r="X44" s="666"/>
      <c r="Y44" s="3474"/>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72"/>
      <c r="Q45" s="1263">
        <f t="shared" si="11"/>
        <v>111</v>
      </c>
      <c r="R45" s="667" t="s">
        <v>14</v>
      </c>
      <c r="S45" s="668">
        <f t="shared" si="12"/>
        <v>100</v>
      </c>
      <c r="T45" s="667" t="s">
        <v>14</v>
      </c>
      <c r="U45" s="668">
        <f t="shared" si="13"/>
        <v>100</v>
      </c>
      <c r="V45" s="667" t="s">
        <v>14</v>
      </c>
      <c r="W45" s="668">
        <f t="shared" si="14"/>
        <v>100</v>
      </c>
      <c r="X45" s="1265"/>
      <c r="Y45" s="3474"/>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73"/>
      <c r="Q46" s="1263">
        <f t="shared" si="11"/>
        <v>111</v>
      </c>
      <c r="R46" s="667" t="s">
        <v>14</v>
      </c>
      <c r="S46" s="668">
        <f t="shared" si="12"/>
        <v>100</v>
      </c>
      <c r="T46" s="667" t="s">
        <v>14</v>
      </c>
      <c r="U46" s="668">
        <f t="shared" si="13"/>
        <v>100</v>
      </c>
      <c r="V46" s="667" t="s">
        <v>14</v>
      </c>
      <c r="W46" s="668">
        <f t="shared" si="14"/>
        <v>100</v>
      </c>
      <c r="X46" s="1265"/>
      <c r="Y46" s="3475"/>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468" t="str">
        <f>A47</f>
        <v>成交单价（元/平方米）</v>
      </c>
      <c r="Q47" s="3468"/>
      <c r="R47" s="3463">
        <f>E47</f>
        <v>0</v>
      </c>
      <c r="S47" s="3463"/>
      <c r="T47" s="3463">
        <f>G47</f>
        <v>0</v>
      </c>
      <c r="U47" s="3463"/>
      <c r="V47" s="3463">
        <f>I47</f>
        <v>0</v>
      </c>
      <c r="W47" s="3463"/>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468" t="str">
        <f>A48</f>
        <v>比较价值（元/平方米）</v>
      </c>
      <c r="Q48" s="3468"/>
      <c r="R48" s="3463" t="e">
        <f>IF(F1="售价",ROUND(PRODUCT(R47,AA7:AA46),0),ROUND(PRODUCT(R47,AA7:AA46),1))</f>
        <v>#DIV/0!</v>
      </c>
      <c r="S48" s="3463"/>
      <c r="T48" s="3463" t="e">
        <f>IF(F1="售价",ROUND(PRODUCT(T47,AB7:AB46),0),ROUND(PRODUCT(T47,AB7:AB46),1))</f>
        <v>#DIV/0!</v>
      </c>
      <c r="U48" s="3463"/>
      <c r="V48" s="3463" t="e">
        <f>IF(F1="售价",ROUND(PRODUCT(V47,AC7:AC46),0),ROUND(PRODUCT(V47,AC7:AC46),1))</f>
        <v>#DIV/0!</v>
      </c>
      <c r="W48" s="3463"/>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465" t="str">
        <f>A49</f>
        <v>估价对象XX用房的比较价值（楼面单价，元/平方米）</v>
      </c>
      <c r="Q49" s="3466"/>
      <c r="R49" s="3467" t="e">
        <f>IF(F1="售价",ROUND(IF(D48="简单平均",AVERAGE(R48:V48),R48*F48+T48*H48+V48*J48),0),ROUND(IF(D48="简单平均",AVERAGE(R48:V48),R48*F48+T48*H48+V48*J48),1))</f>
        <v>#DIV/0!</v>
      </c>
      <c r="S49" s="3467"/>
      <c r="T49" s="3467"/>
      <c r="U49" s="3467"/>
      <c r="V49" s="3467"/>
      <c r="W49" s="3467"/>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2025-4</v>
      </c>
      <c r="D58" s="1104">
        <f>EDATE(C58,-1)</f>
        <v>45717</v>
      </c>
      <c r="E58" s="1104">
        <f t="shared" ref="E58:N58" si="16">EDATE(D58,-1)</f>
        <v>45689</v>
      </c>
      <c r="F58" s="1104">
        <f t="shared" si="16"/>
        <v>45658</v>
      </c>
      <c r="G58" s="1104">
        <f t="shared" si="16"/>
        <v>45627</v>
      </c>
      <c r="H58" s="1104">
        <f t="shared" si="16"/>
        <v>45597</v>
      </c>
      <c r="I58" s="1104">
        <f t="shared" si="16"/>
        <v>45566</v>
      </c>
      <c r="J58" s="1104">
        <f t="shared" si="16"/>
        <v>45536</v>
      </c>
      <c r="K58" s="1104">
        <f t="shared" si="16"/>
        <v>45505</v>
      </c>
      <c r="L58" s="1104">
        <f t="shared" si="16"/>
        <v>45474</v>
      </c>
      <c r="M58" s="1104">
        <f t="shared" si="16"/>
        <v>45444</v>
      </c>
      <c r="N58" s="1104">
        <f t="shared" si="16"/>
        <v>45413</v>
      </c>
      <c r="O58" s="1104">
        <f>EDATE(N58,-1)</f>
        <v>45383</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27067.119999999988</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451" t="s">
        <v>1770</v>
      </c>
      <c r="D4" s="3452"/>
      <c r="E4" s="3453" t="s">
        <v>1771</v>
      </c>
      <c r="F4" s="3454"/>
      <c r="G4" s="3451" t="s">
        <v>1772</v>
      </c>
      <c r="H4" s="3452"/>
      <c r="I4" s="3451" t="s">
        <v>1773</v>
      </c>
      <c r="J4" s="3452"/>
      <c r="K4" s="537" t="s">
        <v>1774</v>
      </c>
      <c r="L4" s="2487"/>
      <c r="M4" s="2488"/>
      <c r="N4" s="2488"/>
      <c r="O4" s="2488"/>
      <c r="P4" s="3484" t="s">
        <v>1775</v>
      </c>
      <c r="Q4" s="3485"/>
      <c r="R4" s="3479" t="s">
        <v>1771</v>
      </c>
      <c r="S4" s="3480"/>
      <c r="T4" s="3479" t="s">
        <v>1772</v>
      </c>
      <c r="U4" s="3480"/>
      <c r="V4" s="3488" t="s">
        <v>1773</v>
      </c>
      <c r="W4" s="3488"/>
      <c r="X4" s="1809"/>
      <c r="Y4" s="3479" t="s">
        <v>1775</v>
      </c>
      <c r="Z4" s="3480"/>
      <c r="AA4" s="3478" t="s">
        <v>1771</v>
      </c>
      <c r="AB4" s="3478" t="s">
        <v>1772</v>
      </c>
      <c r="AC4" s="3481" t="s">
        <v>1773</v>
      </c>
    </row>
    <row r="5" spans="1:29" ht="15">
      <c r="A5" s="348"/>
      <c r="B5" s="349"/>
      <c r="C5" s="3444" t="s">
        <v>1673</v>
      </c>
      <c r="D5" s="3445"/>
      <c r="E5" s="3442" t="s">
        <v>1674</v>
      </c>
      <c r="F5" s="3443"/>
      <c r="G5" s="3444" t="s">
        <v>1675</v>
      </c>
      <c r="H5" s="3445"/>
      <c r="I5" s="3444" t="s">
        <v>1676</v>
      </c>
      <c r="J5" s="3445"/>
      <c r="K5" s="537"/>
      <c r="L5" s="2487"/>
      <c r="M5" s="2488"/>
      <c r="N5" s="2488"/>
      <c r="O5" s="2488"/>
      <c r="P5" s="3486"/>
      <c r="Q5" s="3458"/>
      <c r="R5" s="3440"/>
      <c r="S5" s="3441"/>
      <c r="T5" s="3440"/>
      <c r="U5" s="3441"/>
      <c r="V5" s="3463"/>
      <c r="W5" s="3463"/>
      <c r="X5" s="1265"/>
      <c r="Y5" s="3440"/>
      <c r="Z5" s="3441"/>
      <c r="AA5" s="3434"/>
      <c r="AB5" s="3434"/>
      <c r="AC5" s="3482"/>
    </row>
    <row r="6" spans="1:29" ht="15.75" thickBot="1">
      <c r="A6" s="350"/>
      <c r="B6" s="351"/>
      <c r="C6" s="3446" t="s">
        <v>1677</v>
      </c>
      <c r="D6" s="3447"/>
      <c r="E6" s="3448" t="s">
        <v>1677</v>
      </c>
      <c r="F6" s="3449"/>
      <c r="G6" s="3446" t="s">
        <v>1677</v>
      </c>
      <c r="H6" s="3447"/>
      <c r="I6" s="3446" t="s">
        <v>1677</v>
      </c>
      <c r="J6" s="3447"/>
      <c r="K6" s="537" t="s">
        <v>1678</v>
      </c>
      <c r="L6" s="2487"/>
      <c r="M6" s="2488"/>
      <c r="N6" s="2488"/>
      <c r="O6" s="2488"/>
      <c r="P6" s="3487"/>
      <c r="Q6" s="3460"/>
      <c r="R6" s="3440"/>
      <c r="S6" s="3441"/>
      <c r="T6" s="3461"/>
      <c r="U6" s="3462"/>
      <c r="V6" s="3463"/>
      <c r="W6" s="3463"/>
      <c r="X6" s="1265"/>
      <c r="Y6" s="3461"/>
      <c r="Z6" s="3462"/>
      <c r="AA6" s="3435"/>
      <c r="AB6" s="3435"/>
      <c r="AC6" s="3483"/>
    </row>
    <row r="7" spans="1:29" s="102" customFormat="1" ht="15.75" thickBot="1">
      <c r="A7" s="352" t="s">
        <v>1679</v>
      </c>
      <c r="B7" s="353"/>
      <c r="C7" s="354">
        <f>'数据-取费表'!B2</f>
        <v>45748</v>
      </c>
      <c r="D7" s="355">
        <v>100</v>
      </c>
      <c r="E7" s="356"/>
      <c r="F7" s="357">
        <f>SUMIF(59:59,YEAR(E7)&amp;"-"&amp;MONTH(E7),60:60)</f>
        <v>0</v>
      </c>
      <c r="G7" s="356"/>
      <c r="H7" s="355">
        <f>SUMIF(59:59,YEAR(G7)&amp;"-"&amp;MONTH(G7),60:60)</f>
        <v>0</v>
      </c>
      <c r="I7" s="356"/>
      <c r="J7" s="355">
        <f>SUMIF(59:59,YEAR(I7)&amp;"-"&amp;MONTH(I7),60:60)</f>
        <v>0</v>
      </c>
      <c r="K7" s="38"/>
      <c r="L7" s="2489"/>
      <c r="M7" s="2440"/>
      <c r="N7" s="2440"/>
      <c r="O7" s="2440"/>
      <c r="P7" s="3489" t="s">
        <v>1680</v>
      </c>
      <c r="Q7" s="3464"/>
      <c r="R7" s="664" t="s">
        <v>14</v>
      </c>
      <c r="S7" s="665">
        <f t="shared" ref="S7:S15" si="0">F7</f>
        <v>0</v>
      </c>
      <c r="T7" s="664" t="s">
        <v>14</v>
      </c>
      <c r="U7" s="665">
        <f t="shared" ref="U7:U15" si="1">H7</f>
        <v>0</v>
      </c>
      <c r="V7" s="664" t="s">
        <v>14</v>
      </c>
      <c r="W7" s="665">
        <f t="shared" ref="W7:W15" si="2">J7</f>
        <v>0</v>
      </c>
      <c r="X7" s="666"/>
      <c r="Y7" s="3436" t="s">
        <v>1680</v>
      </c>
      <c r="Z7" s="3437"/>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89" t="s">
        <v>1683</v>
      </c>
      <c r="Q8" s="3437"/>
      <c r="R8" s="664" t="s">
        <v>14</v>
      </c>
      <c r="S8" s="665">
        <f t="shared" si="0"/>
        <v>100</v>
      </c>
      <c r="T8" s="664" t="s">
        <v>14</v>
      </c>
      <c r="U8" s="665">
        <f t="shared" si="1"/>
        <v>100</v>
      </c>
      <c r="V8" s="664" t="s">
        <v>14</v>
      </c>
      <c r="W8" s="665">
        <f t="shared" si="2"/>
        <v>100</v>
      </c>
      <c r="X8" s="666"/>
      <c r="Y8" s="3436" t="s">
        <v>1683</v>
      </c>
      <c r="Z8" s="3437"/>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50" t="s">
        <v>1686</v>
      </c>
      <c r="Q9" s="530" t="str">
        <f t="shared" ref="Q9:Q15" si="6">B9</f>
        <v>用途</v>
      </c>
      <c r="R9" s="664" t="s">
        <v>14</v>
      </c>
      <c r="S9" s="665">
        <f t="shared" si="0"/>
        <v>100</v>
      </c>
      <c r="T9" s="664" t="s">
        <v>14</v>
      </c>
      <c r="U9" s="665">
        <f t="shared" si="1"/>
        <v>100</v>
      </c>
      <c r="V9" s="664" t="s">
        <v>14</v>
      </c>
      <c r="W9" s="665">
        <f t="shared" si="2"/>
        <v>100</v>
      </c>
      <c r="X9" s="666"/>
      <c r="Y9" s="3361"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450"/>
      <c r="Q10" s="530" t="str">
        <f t="shared" si="6"/>
        <v>土地使用年限（年）</v>
      </c>
      <c r="R10" s="664" t="s">
        <v>14</v>
      </c>
      <c r="S10" s="665">
        <f t="shared" si="0"/>
        <v>100</v>
      </c>
      <c r="T10" s="664" t="s">
        <v>14</v>
      </c>
      <c r="U10" s="665">
        <f t="shared" si="1"/>
        <v>100</v>
      </c>
      <c r="V10" s="664" t="s">
        <v>14</v>
      </c>
      <c r="W10" s="665">
        <f t="shared" si="2"/>
        <v>100</v>
      </c>
      <c r="X10" s="666"/>
      <c r="Y10" s="3361"/>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50"/>
      <c r="Q11" s="530" t="str">
        <f t="shared" si="6"/>
        <v>容积率</v>
      </c>
      <c r="R11" s="664" t="s">
        <v>14</v>
      </c>
      <c r="S11" s="665">
        <f t="shared" si="0"/>
        <v>100</v>
      </c>
      <c r="T11" s="664" t="s">
        <v>14</v>
      </c>
      <c r="U11" s="665">
        <f t="shared" si="1"/>
        <v>100</v>
      </c>
      <c r="V11" s="664" t="s">
        <v>14</v>
      </c>
      <c r="W11" s="665">
        <f t="shared" si="2"/>
        <v>100</v>
      </c>
      <c r="X11" s="666"/>
      <c r="Y11" s="336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50"/>
      <c r="Q12" s="530">
        <f t="shared" si="6"/>
        <v>111</v>
      </c>
      <c r="R12" s="664" t="s">
        <v>14</v>
      </c>
      <c r="S12" s="665">
        <f t="shared" si="0"/>
        <v>100</v>
      </c>
      <c r="T12" s="664" t="s">
        <v>14</v>
      </c>
      <c r="U12" s="665">
        <f t="shared" si="1"/>
        <v>100</v>
      </c>
      <c r="V12" s="664" t="s">
        <v>14</v>
      </c>
      <c r="W12" s="665">
        <f t="shared" si="2"/>
        <v>100</v>
      </c>
      <c r="X12" s="666"/>
      <c r="Y12" s="336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50"/>
      <c r="Q13" s="530">
        <f t="shared" si="6"/>
        <v>111</v>
      </c>
      <c r="R13" s="664" t="s">
        <v>14</v>
      </c>
      <c r="S13" s="665">
        <f t="shared" si="0"/>
        <v>100</v>
      </c>
      <c r="T13" s="664" t="s">
        <v>14</v>
      </c>
      <c r="U13" s="665">
        <f t="shared" si="1"/>
        <v>100</v>
      </c>
      <c r="V13" s="664" t="s">
        <v>14</v>
      </c>
      <c r="W13" s="665">
        <f t="shared" si="2"/>
        <v>100</v>
      </c>
      <c r="X13" s="666"/>
      <c r="Y13" s="3361"/>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50"/>
      <c r="Q14" s="530">
        <f t="shared" si="6"/>
        <v>111</v>
      </c>
      <c r="R14" s="664" t="s">
        <v>14</v>
      </c>
      <c r="S14" s="665">
        <f t="shared" si="0"/>
        <v>100</v>
      </c>
      <c r="T14" s="664" t="s">
        <v>14</v>
      </c>
      <c r="U14" s="665">
        <f t="shared" si="1"/>
        <v>100</v>
      </c>
      <c r="V14" s="664" t="s">
        <v>14</v>
      </c>
      <c r="W14" s="665">
        <f t="shared" si="2"/>
        <v>100</v>
      </c>
      <c r="X14" s="666"/>
      <c r="Y14" s="3361"/>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76" t="s">
        <v>1691</v>
      </c>
      <c r="Q15" s="1263" t="str">
        <f t="shared" si="6"/>
        <v>办公集聚程度</v>
      </c>
      <c r="R15" s="667" t="s">
        <v>14</v>
      </c>
      <c r="S15" s="668">
        <f t="shared" si="0"/>
        <v>100</v>
      </c>
      <c r="T15" s="667" t="s">
        <v>14</v>
      </c>
      <c r="U15" s="668">
        <f t="shared" si="1"/>
        <v>100</v>
      </c>
      <c r="V15" s="667" t="s">
        <v>14</v>
      </c>
      <c r="W15" s="668">
        <f t="shared" si="2"/>
        <v>100</v>
      </c>
      <c r="X15" s="1265"/>
      <c r="Y15" s="3469"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77"/>
      <c r="Q16" s="1263"/>
      <c r="R16" s="667"/>
      <c r="S16" s="668"/>
      <c r="T16" s="667"/>
      <c r="U16" s="668"/>
      <c r="V16" s="667"/>
      <c r="W16" s="668"/>
      <c r="X16" s="1265"/>
      <c r="Y16" s="3470"/>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77"/>
      <c r="Q17" s="1263" t="str">
        <f>B17</f>
        <v>交通便捷度</v>
      </c>
      <c r="R17" s="667" t="s">
        <v>14</v>
      </c>
      <c r="S17" s="668">
        <f>F17</f>
        <v>100</v>
      </c>
      <c r="T17" s="667" t="s">
        <v>14</v>
      </c>
      <c r="U17" s="668">
        <f>H17</f>
        <v>100</v>
      </c>
      <c r="V17" s="667" t="s">
        <v>14</v>
      </c>
      <c r="W17" s="668">
        <f>J17</f>
        <v>100</v>
      </c>
      <c r="X17" s="1265"/>
      <c r="Y17" s="3470"/>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77"/>
      <c r="Q18" s="1263"/>
      <c r="R18" s="667"/>
      <c r="S18" s="668"/>
      <c r="T18" s="667"/>
      <c r="U18" s="668"/>
      <c r="V18" s="667"/>
      <c r="W18" s="668"/>
      <c r="X18" s="1265"/>
      <c r="Y18" s="3470"/>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77"/>
      <c r="Q19" s="1263" t="str">
        <f>B19</f>
        <v>公共配套设施</v>
      </c>
      <c r="R19" s="667" t="s">
        <v>14</v>
      </c>
      <c r="S19" s="668">
        <f>F19</f>
        <v>100</v>
      </c>
      <c r="T19" s="667" t="s">
        <v>14</v>
      </c>
      <c r="U19" s="668">
        <f>H19</f>
        <v>100</v>
      </c>
      <c r="V19" s="667" t="s">
        <v>14</v>
      </c>
      <c r="W19" s="668">
        <f>J19</f>
        <v>100</v>
      </c>
      <c r="X19" s="1265"/>
      <c r="Y19" s="3470"/>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77"/>
      <c r="Q20" s="1263"/>
      <c r="R20" s="667"/>
      <c r="S20" s="668"/>
      <c r="T20" s="667"/>
      <c r="U20" s="668"/>
      <c r="V20" s="667"/>
      <c r="W20" s="668"/>
      <c r="X20" s="1265"/>
      <c r="Y20" s="3470"/>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77"/>
      <c r="Q21" s="1263" t="str">
        <f>B21</f>
        <v>基础设施水平</v>
      </c>
      <c r="R21" s="667" t="s">
        <v>14</v>
      </c>
      <c r="S21" s="668">
        <f>F21</f>
        <v>100</v>
      </c>
      <c r="T21" s="667" t="s">
        <v>14</v>
      </c>
      <c r="U21" s="668">
        <f>H21</f>
        <v>100</v>
      </c>
      <c r="V21" s="667" t="s">
        <v>14</v>
      </c>
      <c r="W21" s="668">
        <f>J21</f>
        <v>100</v>
      </c>
      <c r="X21" s="1265"/>
      <c r="Y21" s="3470"/>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77"/>
      <c r="Q22" s="1263"/>
      <c r="R22" s="667"/>
      <c r="S22" s="668"/>
      <c r="T22" s="667"/>
      <c r="U22" s="668"/>
      <c r="V22" s="667"/>
      <c r="W22" s="668"/>
      <c r="X22" s="1265"/>
      <c r="Y22" s="3470"/>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77"/>
      <c r="Q23" s="1263" t="str">
        <f>B23</f>
        <v>环境质量</v>
      </c>
      <c r="R23" s="667" t="s">
        <v>14</v>
      </c>
      <c r="S23" s="668">
        <f>F23</f>
        <v>100</v>
      </c>
      <c r="T23" s="667" t="s">
        <v>14</v>
      </c>
      <c r="U23" s="668">
        <f>H23</f>
        <v>100</v>
      </c>
      <c r="V23" s="667" t="s">
        <v>14</v>
      </c>
      <c r="W23" s="668">
        <f>J23</f>
        <v>100</v>
      </c>
      <c r="X23" s="1265"/>
      <c r="Y23" s="3470"/>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77"/>
      <c r="Q24" s="1263"/>
      <c r="R24" s="667"/>
      <c r="S24" s="668"/>
      <c r="T24" s="667"/>
      <c r="U24" s="668"/>
      <c r="V24" s="667"/>
      <c r="W24" s="668"/>
      <c r="X24" s="1265"/>
      <c r="Y24" s="3470"/>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77"/>
      <c r="Q25" s="1263" t="str">
        <f>B25</f>
        <v>毗邻道路的类型与等级</v>
      </c>
      <c r="R25" s="667" t="s">
        <v>14</v>
      </c>
      <c r="S25" s="668">
        <f>F25</f>
        <v>100</v>
      </c>
      <c r="T25" s="667" t="s">
        <v>14</v>
      </c>
      <c r="U25" s="668">
        <f>H25</f>
        <v>100</v>
      </c>
      <c r="V25" s="667" t="s">
        <v>14</v>
      </c>
      <c r="W25" s="668">
        <f>J25</f>
        <v>100</v>
      </c>
      <c r="X25" s="1265"/>
      <c r="Y25" s="3470"/>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77"/>
      <c r="Q26" s="1263"/>
      <c r="R26" s="667"/>
      <c r="S26" s="668"/>
      <c r="T26" s="667"/>
      <c r="U26" s="668"/>
      <c r="V26" s="667"/>
      <c r="W26" s="668"/>
      <c r="X26" s="1265"/>
      <c r="Y26" s="3470"/>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77"/>
      <c r="Q27" s="1263" t="str">
        <f t="shared" ref="Q27:Q47" si="11">B27</f>
        <v>楼层</v>
      </c>
      <c r="R27" s="667" t="s">
        <v>14</v>
      </c>
      <c r="S27" s="668">
        <f>F27</f>
        <v>100</v>
      </c>
      <c r="T27" s="667" t="s">
        <v>14</v>
      </c>
      <c r="U27" s="668">
        <f>H27</f>
        <v>100</v>
      </c>
      <c r="V27" s="667" t="s">
        <v>14</v>
      </c>
      <c r="W27" s="668">
        <f>J27</f>
        <v>100</v>
      </c>
      <c r="X27" s="1265"/>
      <c r="Y27" s="3470"/>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77"/>
      <c r="Q28" s="530" t="str">
        <f t="shared" si="11"/>
        <v>朝向</v>
      </c>
      <c r="R28" s="664" t="s">
        <v>14</v>
      </c>
      <c r="S28" s="665">
        <f>F28</f>
        <v>100</v>
      </c>
      <c r="T28" s="664" t="s">
        <v>14</v>
      </c>
      <c r="U28" s="665">
        <f>H28</f>
        <v>100</v>
      </c>
      <c r="V28" s="664" t="s">
        <v>14</v>
      </c>
      <c r="W28" s="665">
        <f>J28</f>
        <v>100</v>
      </c>
      <c r="X28" s="666"/>
      <c r="Y28" s="3470"/>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77"/>
      <c r="Q29" s="1263">
        <f t="shared" si="11"/>
        <v>111</v>
      </c>
      <c r="R29" s="667" t="s">
        <v>14</v>
      </c>
      <c r="S29" s="668">
        <f t="shared" ref="S29:S47" si="12">F29</f>
        <v>100</v>
      </c>
      <c r="T29" s="667" t="s">
        <v>14</v>
      </c>
      <c r="U29" s="668">
        <f t="shared" ref="U29:U47" si="13">H29</f>
        <v>100</v>
      </c>
      <c r="V29" s="667" t="s">
        <v>14</v>
      </c>
      <c r="W29" s="668">
        <f t="shared" ref="W29:W47" si="14">J29</f>
        <v>100</v>
      </c>
      <c r="X29" s="1265"/>
      <c r="Y29" s="3470"/>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77"/>
      <c r="Q30" s="1263">
        <f t="shared" si="11"/>
        <v>111</v>
      </c>
      <c r="R30" s="667" t="s">
        <v>14</v>
      </c>
      <c r="S30" s="668">
        <f t="shared" si="12"/>
        <v>100</v>
      </c>
      <c r="T30" s="667" t="s">
        <v>14</v>
      </c>
      <c r="U30" s="668">
        <f t="shared" si="13"/>
        <v>100</v>
      </c>
      <c r="V30" s="667" t="s">
        <v>14</v>
      </c>
      <c r="W30" s="668">
        <f t="shared" si="14"/>
        <v>100</v>
      </c>
      <c r="X30" s="1265"/>
      <c r="Y30" s="3470"/>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77"/>
      <c r="Q31" s="1263">
        <f t="shared" si="11"/>
        <v>111</v>
      </c>
      <c r="R31" s="667" t="s">
        <v>14</v>
      </c>
      <c r="S31" s="668">
        <f t="shared" si="12"/>
        <v>100</v>
      </c>
      <c r="T31" s="667" t="s">
        <v>14</v>
      </c>
      <c r="U31" s="668">
        <f t="shared" si="13"/>
        <v>100</v>
      </c>
      <c r="V31" s="667" t="s">
        <v>14</v>
      </c>
      <c r="W31" s="668">
        <f t="shared" si="14"/>
        <v>100</v>
      </c>
      <c r="X31" s="1265"/>
      <c r="Y31" s="3470"/>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77"/>
      <c r="Q32" s="1263">
        <f t="shared" si="11"/>
        <v>111</v>
      </c>
      <c r="R32" s="667" t="s">
        <v>14</v>
      </c>
      <c r="S32" s="668">
        <f t="shared" si="12"/>
        <v>100</v>
      </c>
      <c r="T32" s="667" t="s">
        <v>14</v>
      </c>
      <c r="U32" s="668">
        <f t="shared" si="13"/>
        <v>100</v>
      </c>
      <c r="V32" s="667" t="s">
        <v>14</v>
      </c>
      <c r="W32" s="668">
        <f t="shared" si="14"/>
        <v>100</v>
      </c>
      <c r="X32" s="1265"/>
      <c r="Y32" s="3470"/>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71" t="s">
        <v>1696</v>
      </c>
      <c r="Q33" s="1263" t="str">
        <f t="shared" si="11"/>
        <v>建筑类型</v>
      </c>
      <c r="R33" s="667" t="s">
        <v>14</v>
      </c>
      <c r="S33" s="668">
        <f t="shared" si="12"/>
        <v>100</v>
      </c>
      <c r="T33" s="667" t="s">
        <v>14</v>
      </c>
      <c r="U33" s="668">
        <f t="shared" si="13"/>
        <v>100</v>
      </c>
      <c r="V33" s="667" t="s">
        <v>14</v>
      </c>
      <c r="W33" s="668">
        <f t="shared" si="14"/>
        <v>100</v>
      </c>
      <c r="X33" s="1265"/>
      <c r="Y33" s="3474"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72"/>
      <c r="Q34" s="531" t="str">
        <f t="shared" si="11"/>
        <v>项目建筑规模</v>
      </c>
      <c r="R34" s="669" t="s">
        <v>14</v>
      </c>
      <c r="S34" s="670" t="e">
        <f t="shared" si="12"/>
        <v>#N/A</v>
      </c>
      <c r="T34" s="669" t="s">
        <v>14</v>
      </c>
      <c r="U34" s="670" t="e">
        <f t="shared" si="13"/>
        <v>#N/A</v>
      </c>
      <c r="V34" s="669" t="s">
        <v>14</v>
      </c>
      <c r="W34" s="670" t="e">
        <f t="shared" si="14"/>
        <v>#N/A</v>
      </c>
      <c r="X34" s="671"/>
      <c r="Y34" s="3474"/>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72"/>
      <c r="Q35" s="1263" t="str">
        <f t="shared" si="11"/>
        <v>建筑结构</v>
      </c>
      <c r="R35" s="667" t="s">
        <v>14</v>
      </c>
      <c r="S35" s="668">
        <f t="shared" si="12"/>
        <v>100</v>
      </c>
      <c r="T35" s="667" t="s">
        <v>14</v>
      </c>
      <c r="U35" s="668">
        <f t="shared" si="13"/>
        <v>100</v>
      </c>
      <c r="V35" s="667" t="s">
        <v>14</v>
      </c>
      <c r="W35" s="668">
        <f t="shared" si="14"/>
        <v>100</v>
      </c>
      <c r="X35" s="1265"/>
      <c r="Y35" s="3474"/>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72"/>
      <c r="Q36" s="1263" t="str">
        <f t="shared" si="11"/>
        <v>公共部分装修</v>
      </c>
      <c r="R36" s="667" t="s">
        <v>14</v>
      </c>
      <c r="S36" s="668">
        <f t="shared" si="12"/>
        <v>100</v>
      </c>
      <c r="T36" s="667" t="s">
        <v>14</v>
      </c>
      <c r="U36" s="668">
        <f t="shared" si="13"/>
        <v>100</v>
      </c>
      <c r="V36" s="667" t="s">
        <v>14</v>
      </c>
      <c r="W36" s="668">
        <f t="shared" si="14"/>
        <v>100</v>
      </c>
      <c r="X36" s="1265"/>
      <c r="Y36" s="3474"/>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72"/>
      <c r="Q37" s="1263" t="str">
        <f t="shared" si="11"/>
        <v>成新度</v>
      </c>
      <c r="R37" s="667" t="s">
        <v>14</v>
      </c>
      <c r="S37" s="668" t="e">
        <f t="shared" si="12"/>
        <v>#N/A</v>
      </c>
      <c r="T37" s="667" t="s">
        <v>14</v>
      </c>
      <c r="U37" s="668" t="e">
        <f t="shared" si="13"/>
        <v>#N/A</v>
      </c>
      <c r="V37" s="667" t="s">
        <v>14</v>
      </c>
      <c r="W37" s="668" t="e">
        <f t="shared" si="14"/>
        <v>#N/A</v>
      </c>
      <c r="X37" s="1265"/>
      <c r="Y37" s="3474"/>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72"/>
      <c r="Q38" s="530" t="str">
        <f t="shared" si="11"/>
        <v>写字楼等级</v>
      </c>
      <c r="R38" s="664" t="s">
        <v>14</v>
      </c>
      <c r="S38" s="665">
        <f t="shared" si="12"/>
        <v>100</v>
      </c>
      <c r="T38" s="664" t="s">
        <v>14</v>
      </c>
      <c r="U38" s="665">
        <f t="shared" si="13"/>
        <v>100</v>
      </c>
      <c r="V38" s="664" t="s">
        <v>14</v>
      </c>
      <c r="W38" s="665">
        <f t="shared" si="14"/>
        <v>100</v>
      </c>
      <c r="X38" s="666"/>
      <c r="Y38" s="3474"/>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72" t="s">
        <v>1696</v>
      </c>
      <c r="Q39" s="1263" t="str">
        <f t="shared" si="11"/>
        <v>物业管理</v>
      </c>
      <c r="R39" s="667" t="s">
        <v>14</v>
      </c>
      <c r="S39" s="668">
        <f t="shared" si="12"/>
        <v>100</v>
      </c>
      <c r="T39" s="667" t="s">
        <v>14</v>
      </c>
      <c r="U39" s="668">
        <f t="shared" si="13"/>
        <v>100</v>
      </c>
      <c r="V39" s="667" t="s">
        <v>14</v>
      </c>
      <c r="W39" s="668">
        <f t="shared" si="14"/>
        <v>100</v>
      </c>
      <c r="X39" s="1265"/>
      <c r="Y39" s="3474"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72"/>
      <c r="Q40" s="1263" t="str">
        <f t="shared" si="11"/>
        <v>市政基础设施</v>
      </c>
      <c r="R40" s="667" t="s">
        <v>14</v>
      </c>
      <c r="S40" s="668">
        <f t="shared" si="12"/>
        <v>100</v>
      </c>
      <c r="T40" s="667" t="s">
        <v>14</v>
      </c>
      <c r="U40" s="668">
        <f t="shared" si="13"/>
        <v>100</v>
      </c>
      <c r="V40" s="667" t="s">
        <v>14</v>
      </c>
      <c r="W40" s="668">
        <f t="shared" si="14"/>
        <v>100</v>
      </c>
      <c r="X40" s="1265"/>
      <c r="Y40" s="3474"/>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72"/>
      <c r="Q41" s="1263" t="str">
        <f t="shared" si="11"/>
        <v>层高</v>
      </c>
      <c r="R41" s="667" t="s">
        <v>14</v>
      </c>
      <c r="S41" s="668">
        <f t="shared" si="12"/>
        <v>100</v>
      </c>
      <c r="T41" s="667" t="s">
        <v>14</v>
      </c>
      <c r="U41" s="668">
        <f t="shared" si="13"/>
        <v>100</v>
      </c>
      <c r="V41" s="667" t="s">
        <v>14</v>
      </c>
      <c r="W41" s="668">
        <f t="shared" si="14"/>
        <v>100</v>
      </c>
      <c r="X41" s="1265"/>
      <c r="Y41" s="3474"/>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72"/>
      <c r="Q42" s="531" t="str">
        <f t="shared" si="11"/>
        <v>单套建筑面积</v>
      </c>
      <c r="R42" s="669" t="s">
        <v>14</v>
      </c>
      <c r="S42" s="670">
        <f t="shared" si="12"/>
        <v>100</v>
      </c>
      <c r="T42" s="669" t="s">
        <v>14</v>
      </c>
      <c r="U42" s="670">
        <f t="shared" si="13"/>
        <v>100</v>
      </c>
      <c r="V42" s="669" t="s">
        <v>14</v>
      </c>
      <c r="W42" s="670">
        <f t="shared" si="14"/>
        <v>100</v>
      </c>
      <c r="X42" s="671"/>
      <c r="Y42" s="3474"/>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72"/>
      <c r="Q43" s="1263" t="str">
        <f t="shared" si="11"/>
        <v>内部装修</v>
      </c>
      <c r="R43" s="667" t="s">
        <v>14</v>
      </c>
      <c r="S43" s="668">
        <f t="shared" si="12"/>
        <v>100</v>
      </c>
      <c r="T43" s="667" t="s">
        <v>14</v>
      </c>
      <c r="U43" s="668">
        <f t="shared" si="13"/>
        <v>100</v>
      </c>
      <c r="V43" s="667" t="s">
        <v>14</v>
      </c>
      <c r="W43" s="668">
        <f t="shared" si="14"/>
        <v>100</v>
      </c>
      <c r="X43" s="1265"/>
      <c r="Y43" s="3474"/>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72"/>
      <c r="Q44" s="1263" t="str">
        <f t="shared" si="11"/>
        <v>内部装修维护情况</v>
      </c>
      <c r="R44" s="667" t="s">
        <v>14</v>
      </c>
      <c r="S44" s="668">
        <f t="shared" si="12"/>
        <v>100</v>
      </c>
      <c r="T44" s="667" t="s">
        <v>14</v>
      </c>
      <c r="U44" s="668">
        <f t="shared" si="13"/>
        <v>100</v>
      </c>
      <c r="V44" s="667" t="s">
        <v>14</v>
      </c>
      <c r="W44" s="668">
        <f t="shared" si="14"/>
        <v>100</v>
      </c>
      <c r="X44" s="1265"/>
      <c r="Y44" s="3474"/>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72"/>
      <c r="Q45" s="530">
        <f t="shared" si="11"/>
        <v>111</v>
      </c>
      <c r="R45" s="664" t="s">
        <v>14</v>
      </c>
      <c r="S45" s="665">
        <f t="shared" si="12"/>
        <v>100</v>
      </c>
      <c r="T45" s="664" t="s">
        <v>14</v>
      </c>
      <c r="U45" s="665">
        <f t="shared" si="13"/>
        <v>100</v>
      </c>
      <c r="V45" s="664" t="s">
        <v>14</v>
      </c>
      <c r="W45" s="665">
        <f t="shared" si="14"/>
        <v>100</v>
      </c>
      <c r="X45" s="666"/>
      <c r="Y45" s="3474"/>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72"/>
      <c r="Q46" s="1263">
        <f t="shared" si="11"/>
        <v>111</v>
      </c>
      <c r="R46" s="667" t="s">
        <v>14</v>
      </c>
      <c r="S46" s="668">
        <f t="shared" si="12"/>
        <v>100</v>
      </c>
      <c r="T46" s="667" t="s">
        <v>14</v>
      </c>
      <c r="U46" s="668">
        <f t="shared" si="13"/>
        <v>100</v>
      </c>
      <c r="V46" s="667" t="s">
        <v>14</v>
      </c>
      <c r="W46" s="668">
        <f t="shared" si="14"/>
        <v>100</v>
      </c>
      <c r="X46" s="1265"/>
      <c r="Y46" s="3474"/>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73"/>
      <c r="Q47" s="1263">
        <f t="shared" si="11"/>
        <v>111</v>
      </c>
      <c r="R47" s="667" t="s">
        <v>14</v>
      </c>
      <c r="S47" s="668">
        <f t="shared" si="12"/>
        <v>100</v>
      </c>
      <c r="T47" s="667" t="s">
        <v>14</v>
      </c>
      <c r="U47" s="668">
        <f t="shared" si="13"/>
        <v>100</v>
      </c>
      <c r="V47" s="667" t="s">
        <v>14</v>
      </c>
      <c r="W47" s="668">
        <f t="shared" si="14"/>
        <v>100</v>
      </c>
      <c r="X47" s="1265"/>
      <c r="Y47" s="3475"/>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450" t="str">
        <f>A48</f>
        <v>成交单价（元/平方米）</v>
      </c>
      <c r="Q48" s="3468"/>
      <c r="R48" s="3463">
        <f>E48</f>
        <v>0</v>
      </c>
      <c r="S48" s="3463"/>
      <c r="T48" s="3463">
        <f>G48</f>
        <v>0</v>
      </c>
      <c r="U48" s="3463"/>
      <c r="V48" s="3463">
        <f>I48</f>
        <v>0</v>
      </c>
      <c r="W48" s="3463"/>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450" t="str">
        <f>A49</f>
        <v>比较价值（元/平方米）</v>
      </c>
      <c r="Q49" s="3468"/>
      <c r="R49" s="3463" t="e">
        <f>IF(F1="售价",ROUND(PRODUCT(R48,AA7:AA47),0),ROUND(PRODUCT(R48,AA7:AA47),1))</f>
        <v>#DIV/0!</v>
      </c>
      <c r="S49" s="3463"/>
      <c r="T49" s="3463" t="e">
        <f>IF(F1="售价",ROUND(PRODUCT(T48,AB7:AB47),0),ROUND(PRODUCT(T48,AB7:AB47),1))</f>
        <v>#DIV/0!</v>
      </c>
      <c r="U49" s="3463"/>
      <c r="V49" s="3463" t="e">
        <f>IF(F1="售价",ROUND(PRODUCT(V48,AC7:AC47),0),ROUND(PRODUCT(V48,AC7:AC47),1))</f>
        <v>#DIV/0!</v>
      </c>
      <c r="W49" s="3463"/>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90" t="str">
        <f>A50</f>
        <v>估价对象XX用房的比较价值（楼面单价，元/平方米）</v>
      </c>
      <c r="Q50" s="3491"/>
      <c r="R50" s="3492" t="e">
        <f>IF(F1="售价",ROUND(IF(D49="简单平均",AVERAGE(R49:V49),R49*F49+T49*H49+V49*J49),0),ROUND(IF(D49="简单平均",AVERAGE(R49:V49),R49*F49+T49*H49+V49*J49),1))</f>
        <v>#DIV/0!</v>
      </c>
      <c r="S50" s="3492"/>
      <c r="T50" s="3492"/>
      <c r="U50" s="3492"/>
      <c r="V50" s="3492"/>
      <c r="W50" s="3492"/>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2025-4</v>
      </c>
      <c r="D59" s="1104">
        <f>EDATE(C59,-1)</f>
        <v>45717</v>
      </c>
      <c r="E59" s="1104">
        <f>EDATE(D59,-1)</f>
        <v>45689</v>
      </c>
      <c r="F59" s="1104">
        <f t="shared" ref="F59:O59" si="16">EDATE(E59,-1)</f>
        <v>45658</v>
      </c>
      <c r="G59" s="1104">
        <f t="shared" si="16"/>
        <v>45627</v>
      </c>
      <c r="H59" s="1104">
        <f t="shared" si="16"/>
        <v>45597</v>
      </c>
      <c r="I59" s="1104">
        <f t="shared" si="16"/>
        <v>45566</v>
      </c>
      <c r="J59" s="1104">
        <f t="shared" si="16"/>
        <v>45536</v>
      </c>
      <c r="K59" s="1104">
        <f t="shared" si="16"/>
        <v>45505</v>
      </c>
      <c r="L59" s="1104">
        <f t="shared" si="16"/>
        <v>45474</v>
      </c>
      <c r="M59" s="1104">
        <f t="shared" si="16"/>
        <v>45444</v>
      </c>
      <c r="N59" s="1104">
        <f t="shared" si="16"/>
        <v>45413</v>
      </c>
      <c r="O59" s="1104">
        <f t="shared" si="16"/>
        <v>45383</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27067.119999999988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51" t="s">
        <v>1770</v>
      </c>
      <c r="D4" s="3452"/>
      <c r="E4" s="3453" t="s">
        <v>1771</v>
      </c>
      <c r="F4" s="3454"/>
      <c r="G4" s="3451" t="s">
        <v>1772</v>
      </c>
      <c r="H4" s="3452"/>
      <c r="I4" s="3451" t="s">
        <v>1773</v>
      </c>
      <c r="J4" s="3452"/>
      <c r="K4" s="537" t="s">
        <v>1774</v>
      </c>
      <c r="L4" s="860"/>
      <c r="M4" s="861"/>
      <c r="N4" s="861"/>
      <c r="O4" s="861"/>
      <c r="P4" s="3455" t="s">
        <v>1775</v>
      </c>
      <c r="Q4" s="3456"/>
      <c r="R4" s="3438" t="s">
        <v>1771</v>
      </c>
      <c r="S4" s="3439"/>
      <c r="T4" s="3438" t="s">
        <v>1772</v>
      </c>
      <c r="U4" s="3439"/>
      <c r="V4" s="3463" t="s">
        <v>1773</v>
      </c>
      <c r="W4" s="3463"/>
      <c r="X4" s="1265"/>
      <c r="Y4" s="3438" t="s">
        <v>1775</v>
      </c>
      <c r="Z4" s="3439"/>
      <c r="AA4" s="3433" t="s">
        <v>1771</v>
      </c>
      <c r="AB4" s="3434" t="s">
        <v>1772</v>
      </c>
      <c r="AC4" s="3433" t="s">
        <v>1773</v>
      </c>
    </row>
    <row r="5" spans="1:29" ht="15">
      <c r="A5" s="348"/>
      <c r="B5" s="349"/>
      <c r="C5" s="3444" t="s">
        <v>1673</v>
      </c>
      <c r="D5" s="3445"/>
      <c r="E5" s="3442" t="s">
        <v>1674</v>
      </c>
      <c r="F5" s="3443"/>
      <c r="G5" s="3444" t="s">
        <v>1675</v>
      </c>
      <c r="H5" s="3445"/>
      <c r="I5" s="3444" t="s">
        <v>1676</v>
      </c>
      <c r="J5" s="3445"/>
      <c r="K5" s="537"/>
      <c r="L5" s="860"/>
      <c r="M5" s="861"/>
      <c r="N5" s="861"/>
      <c r="O5" s="861"/>
      <c r="P5" s="3457"/>
      <c r="Q5" s="3458"/>
      <c r="R5" s="3440"/>
      <c r="S5" s="3441"/>
      <c r="T5" s="3440"/>
      <c r="U5" s="3441"/>
      <c r="V5" s="3463"/>
      <c r="W5" s="3463"/>
      <c r="X5" s="1265"/>
      <c r="Y5" s="3440"/>
      <c r="Z5" s="3441"/>
      <c r="AA5" s="3434"/>
      <c r="AB5" s="3434"/>
      <c r="AC5" s="3434"/>
    </row>
    <row r="6" spans="1:29" ht="15.75" thickBot="1">
      <c r="A6" s="350"/>
      <c r="B6" s="351"/>
      <c r="C6" s="3446" t="s">
        <v>1677</v>
      </c>
      <c r="D6" s="3447"/>
      <c r="E6" s="3448" t="s">
        <v>1677</v>
      </c>
      <c r="F6" s="3449"/>
      <c r="G6" s="3446" t="s">
        <v>1677</v>
      </c>
      <c r="H6" s="3447"/>
      <c r="I6" s="3446" t="s">
        <v>1677</v>
      </c>
      <c r="J6" s="3447"/>
      <c r="K6" s="537" t="s">
        <v>1678</v>
      </c>
      <c r="L6" s="860"/>
      <c r="M6" s="861"/>
      <c r="N6" s="861"/>
      <c r="O6" s="861"/>
      <c r="P6" s="3459"/>
      <c r="Q6" s="3460"/>
      <c r="R6" s="3440"/>
      <c r="S6" s="3441"/>
      <c r="T6" s="3461"/>
      <c r="U6" s="3462"/>
      <c r="V6" s="3463"/>
      <c r="W6" s="3463"/>
      <c r="X6" s="1265"/>
      <c r="Y6" s="3461"/>
      <c r="Z6" s="3462"/>
      <c r="AA6" s="3435"/>
      <c r="AB6" s="3435"/>
      <c r="AC6" s="3435"/>
    </row>
    <row r="7" spans="1:29" s="102" customFormat="1" ht="15.75" thickBot="1">
      <c r="A7" s="352" t="s">
        <v>1679</v>
      </c>
      <c r="B7" s="353"/>
      <c r="C7" s="354">
        <f>'数据-取费表'!B2</f>
        <v>45748</v>
      </c>
      <c r="D7" s="355">
        <v>100</v>
      </c>
      <c r="E7" s="356"/>
      <c r="F7" s="357">
        <f>SUMIF(52:52,YEAR(E7)&amp;"-"&amp;MONTH(E7),53:53)</f>
        <v>0</v>
      </c>
      <c r="G7" s="356"/>
      <c r="H7" s="355">
        <f>SUMIF(52:52,YEAR(G7)&amp;"-"&amp;MONTH(G7),53:53)</f>
        <v>0</v>
      </c>
      <c r="I7" s="356"/>
      <c r="J7" s="355">
        <f>SUMIF(52:52,YEAR(I7)&amp;"-"&amp;MONTH(I7),53:53)</f>
        <v>0</v>
      </c>
      <c r="K7" s="38"/>
      <c r="L7" s="862"/>
      <c r="M7" s="863"/>
      <c r="N7" s="863"/>
      <c r="O7" s="863"/>
      <c r="P7" s="3436" t="s">
        <v>1680</v>
      </c>
      <c r="Q7" s="3464"/>
      <c r="R7" s="664" t="s">
        <v>14</v>
      </c>
      <c r="S7" s="665">
        <f t="shared" ref="S7:S15" si="0">F7</f>
        <v>0</v>
      </c>
      <c r="T7" s="664" t="s">
        <v>14</v>
      </c>
      <c r="U7" s="665">
        <f t="shared" ref="U7:U15" si="1">H7</f>
        <v>0</v>
      </c>
      <c r="V7" s="664" t="s">
        <v>14</v>
      </c>
      <c r="W7" s="665">
        <f t="shared" ref="W7:W15" si="2">J7</f>
        <v>0</v>
      </c>
      <c r="X7" s="666"/>
      <c r="Y7" s="3436" t="s">
        <v>1680</v>
      </c>
      <c r="Z7" s="3437"/>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36" t="s">
        <v>1683</v>
      </c>
      <c r="Q8" s="3437"/>
      <c r="R8" s="664" t="s">
        <v>14</v>
      </c>
      <c r="S8" s="665">
        <f t="shared" si="0"/>
        <v>100</v>
      </c>
      <c r="T8" s="664" t="s">
        <v>14</v>
      </c>
      <c r="U8" s="665">
        <f t="shared" si="1"/>
        <v>100</v>
      </c>
      <c r="V8" s="664" t="s">
        <v>14</v>
      </c>
      <c r="W8" s="665">
        <f t="shared" si="2"/>
        <v>100</v>
      </c>
      <c r="X8" s="666"/>
      <c r="Y8" s="3436" t="s">
        <v>1683</v>
      </c>
      <c r="Z8" s="3437"/>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68" t="s">
        <v>1686</v>
      </c>
      <c r="Q9" s="530" t="str">
        <f t="shared" ref="Q9:Q15" si="6">B9</f>
        <v>用途</v>
      </c>
      <c r="R9" s="664" t="s">
        <v>14</v>
      </c>
      <c r="S9" s="665">
        <f t="shared" si="0"/>
        <v>100</v>
      </c>
      <c r="T9" s="664" t="s">
        <v>14</v>
      </c>
      <c r="U9" s="665">
        <f t="shared" si="1"/>
        <v>100</v>
      </c>
      <c r="V9" s="664" t="s">
        <v>14</v>
      </c>
      <c r="W9" s="665">
        <f t="shared" si="2"/>
        <v>100</v>
      </c>
      <c r="X9" s="666"/>
      <c r="Y9" s="3361"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68"/>
      <c r="Q10" s="530" t="str">
        <f t="shared" si="6"/>
        <v>土地使用年限（年）</v>
      </c>
      <c r="R10" s="664" t="s">
        <v>14</v>
      </c>
      <c r="S10" s="665">
        <f t="shared" si="0"/>
        <v>100</v>
      </c>
      <c r="T10" s="664" t="s">
        <v>14</v>
      </c>
      <c r="U10" s="665">
        <f t="shared" si="1"/>
        <v>100</v>
      </c>
      <c r="V10" s="664" t="s">
        <v>14</v>
      </c>
      <c r="W10" s="665">
        <f t="shared" si="2"/>
        <v>100</v>
      </c>
      <c r="X10" s="666"/>
      <c r="Y10" s="336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68"/>
      <c r="Q11" s="530" t="str">
        <f t="shared" si="6"/>
        <v>容积率</v>
      </c>
      <c r="R11" s="664" t="s">
        <v>14</v>
      </c>
      <c r="S11" s="665">
        <f t="shared" si="0"/>
        <v>100</v>
      </c>
      <c r="T11" s="664" t="s">
        <v>14</v>
      </c>
      <c r="U11" s="665">
        <f t="shared" si="1"/>
        <v>100</v>
      </c>
      <c r="V11" s="664" t="s">
        <v>14</v>
      </c>
      <c r="W11" s="665">
        <f t="shared" si="2"/>
        <v>100</v>
      </c>
      <c r="X11" s="666"/>
      <c r="Y11" s="336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68"/>
      <c r="Q12" s="530">
        <f t="shared" si="6"/>
        <v>111</v>
      </c>
      <c r="R12" s="664" t="s">
        <v>14</v>
      </c>
      <c r="S12" s="665">
        <f t="shared" si="0"/>
        <v>100</v>
      </c>
      <c r="T12" s="664" t="s">
        <v>14</v>
      </c>
      <c r="U12" s="665">
        <f t="shared" si="1"/>
        <v>100</v>
      </c>
      <c r="V12" s="664" t="s">
        <v>14</v>
      </c>
      <c r="W12" s="665">
        <f t="shared" si="2"/>
        <v>100</v>
      </c>
      <c r="X12" s="666"/>
      <c r="Y12" s="336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68"/>
      <c r="Q13" s="530">
        <f t="shared" si="6"/>
        <v>111</v>
      </c>
      <c r="R13" s="664" t="s">
        <v>14</v>
      </c>
      <c r="S13" s="665">
        <f t="shared" si="0"/>
        <v>100</v>
      </c>
      <c r="T13" s="664" t="s">
        <v>14</v>
      </c>
      <c r="U13" s="665">
        <f t="shared" si="1"/>
        <v>100</v>
      </c>
      <c r="V13" s="664" t="s">
        <v>14</v>
      </c>
      <c r="W13" s="665">
        <f t="shared" si="2"/>
        <v>100</v>
      </c>
      <c r="X13" s="666"/>
      <c r="Y13" s="3361"/>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68"/>
      <c r="Q14" s="530">
        <f t="shared" si="6"/>
        <v>111</v>
      </c>
      <c r="R14" s="664" t="s">
        <v>14</v>
      </c>
      <c r="S14" s="665">
        <f t="shared" si="0"/>
        <v>100</v>
      </c>
      <c r="T14" s="664" t="s">
        <v>14</v>
      </c>
      <c r="U14" s="665">
        <f t="shared" si="1"/>
        <v>100</v>
      </c>
      <c r="V14" s="664" t="s">
        <v>14</v>
      </c>
      <c r="W14" s="665">
        <f t="shared" si="2"/>
        <v>100</v>
      </c>
      <c r="X14" s="666"/>
      <c r="Y14" s="3361"/>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69" t="s">
        <v>1691</v>
      </c>
      <c r="Q15" s="1263" t="str">
        <f t="shared" si="6"/>
        <v>产业集聚程度</v>
      </c>
      <c r="R15" s="667" t="s">
        <v>14</v>
      </c>
      <c r="S15" s="668">
        <f t="shared" si="0"/>
        <v>100</v>
      </c>
      <c r="T15" s="667" t="s">
        <v>14</v>
      </c>
      <c r="U15" s="668">
        <f t="shared" si="1"/>
        <v>100</v>
      </c>
      <c r="V15" s="667" t="s">
        <v>14</v>
      </c>
      <c r="W15" s="668">
        <f t="shared" si="2"/>
        <v>100</v>
      </c>
      <c r="X15" s="1265"/>
      <c r="Y15" s="3469"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70"/>
      <c r="Q16" s="1263"/>
      <c r="R16" s="667"/>
      <c r="S16" s="668"/>
      <c r="T16" s="667"/>
      <c r="U16" s="668"/>
      <c r="V16" s="667"/>
      <c r="W16" s="668"/>
      <c r="X16" s="1265"/>
      <c r="Y16" s="3470"/>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70"/>
      <c r="Q17" s="1263" t="str">
        <f>B17</f>
        <v>交通便捷度</v>
      </c>
      <c r="R17" s="667" t="s">
        <v>14</v>
      </c>
      <c r="S17" s="668">
        <f>F17</f>
        <v>100</v>
      </c>
      <c r="T17" s="667" t="s">
        <v>14</v>
      </c>
      <c r="U17" s="668">
        <f>H17</f>
        <v>100</v>
      </c>
      <c r="V17" s="667" t="s">
        <v>14</v>
      </c>
      <c r="W17" s="668">
        <f>J17</f>
        <v>100</v>
      </c>
      <c r="X17" s="1265"/>
      <c r="Y17" s="347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70"/>
      <c r="Q18" s="1263"/>
      <c r="R18" s="667"/>
      <c r="S18" s="668"/>
      <c r="T18" s="667"/>
      <c r="U18" s="668"/>
      <c r="V18" s="667"/>
      <c r="W18" s="668"/>
      <c r="X18" s="1265"/>
      <c r="Y18" s="3470"/>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70"/>
      <c r="Q19" s="1263" t="str">
        <f>B19</f>
        <v>公共配套设施</v>
      </c>
      <c r="R19" s="667" t="s">
        <v>14</v>
      </c>
      <c r="S19" s="668">
        <f>F19</f>
        <v>100</v>
      </c>
      <c r="T19" s="667" t="s">
        <v>14</v>
      </c>
      <c r="U19" s="668">
        <f>H19</f>
        <v>100</v>
      </c>
      <c r="V19" s="667" t="s">
        <v>14</v>
      </c>
      <c r="W19" s="668">
        <f>J19</f>
        <v>100</v>
      </c>
      <c r="X19" s="1265"/>
      <c r="Y19" s="347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70"/>
      <c r="Q20" s="1263"/>
      <c r="R20" s="667"/>
      <c r="S20" s="668"/>
      <c r="T20" s="667"/>
      <c r="U20" s="668"/>
      <c r="V20" s="667"/>
      <c r="W20" s="668"/>
      <c r="X20" s="1265"/>
      <c r="Y20" s="3470"/>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70"/>
      <c r="Q21" s="1263" t="str">
        <f>B21</f>
        <v>基础设施水平</v>
      </c>
      <c r="R21" s="667" t="s">
        <v>14</v>
      </c>
      <c r="S21" s="668">
        <f>F21</f>
        <v>100</v>
      </c>
      <c r="T21" s="667" t="s">
        <v>14</v>
      </c>
      <c r="U21" s="668">
        <f>H21</f>
        <v>100</v>
      </c>
      <c r="V21" s="667" t="s">
        <v>14</v>
      </c>
      <c r="W21" s="668">
        <f>J21</f>
        <v>100</v>
      </c>
      <c r="X21" s="1265"/>
      <c r="Y21" s="347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70"/>
      <c r="Q22" s="1263"/>
      <c r="R22" s="667"/>
      <c r="S22" s="668"/>
      <c r="T22" s="667"/>
      <c r="U22" s="668"/>
      <c r="V22" s="667"/>
      <c r="W22" s="668"/>
      <c r="X22" s="1265"/>
      <c r="Y22" s="3470"/>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70"/>
      <c r="Q23" s="1263" t="str">
        <f>B23</f>
        <v>环境质量</v>
      </c>
      <c r="R23" s="667" t="s">
        <v>14</v>
      </c>
      <c r="S23" s="668">
        <f>F23</f>
        <v>100</v>
      </c>
      <c r="T23" s="667" t="s">
        <v>14</v>
      </c>
      <c r="U23" s="668">
        <f>H23</f>
        <v>100</v>
      </c>
      <c r="V23" s="667" t="s">
        <v>14</v>
      </c>
      <c r="W23" s="668">
        <f>J23</f>
        <v>100</v>
      </c>
      <c r="X23" s="1265"/>
      <c r="Y23" s="3470"/>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70"/>
      <c r="Q24" s="1263"/>
      <c r="R24" s="667"/>
      <c r="S24" s="668"/>
      <c r="T24" s="667"/>
      <c r="U24" s="668"/>
      <c r="V24" s="667"/>
      <c r="W24" s="668"/>
      <c r="X24" s="1265"/>
      <c r="Y24" s="3470"/>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70"/>
      <c r="Q25" s="1263">
        <f>B25</f>
        <v>111</v>
      </c>
      <c r="R25" s="667" t="s">
        <v>14</v>
      </c>
      <c r="S25" s="668">
        <f>F25</f>
        <v>100</v>
      </c>
      <c r="T25" s="667" t="s">
        <v>14</v>
      </c>
      <c r="U25" s="668">
        <f>H25</f>
        <v>100</v>
      </c>
      <c r="V25" s="667" t="s">
        <v>14</v>
      </c>
      <c r="W25" s="668">
        <f>J25</f>
        <v>100</v>
      </c>
      <c r="X25" s="1265"/>
      <c r="Y25" s="3470"/>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70"/>
      <c r="Q26" s="1263">
        <f t="shared" ref="Q26:Q40" si="11">B26</f>
        <v>111</v>
      </c>
      <c r="R26" s="667" t="s">
        <v>14</v>
      </c>
      <c r="S26" s="668">
        <f>F26</f>
        <v>100</v>
      </c>
      <c r="T26" s="667" t="s">
        <v>14</v>
      </c>
      <c r="U26" s="668">
        <f>H26</f>
        <v>100</v>
      </c>
      <c r="V26" s="667" t="s">
        <v>14</v>
      </c>
      <c r="W26" s="668">
        <f>J26</f>
        <v>100</v>
      </c>
      <c r="X26" s="1265"/>
      <c r="Y26" s="3470"/>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70"/>
      <c r="Q27" s="530">
        <f t="shared" si="11"/>
        <v>111</v>
      </c>
      <c r="R27" s="664" t="s">
        <v>14</v>
      </c>
      <c r="S27" s="665">
        <f>F27</f>
        <v>100</v>
      </c>
      <c r="T27" s="664" t="s">
        <v>14</v>
      </c>
      <c r="U27" s="665">
        <f>H27</f>
        <v>100</v>
      </c>
      <c r="V27" s="664" t="s">
        <v>14</v>
      </c>
      <c r="W27" s="665">
        <f>J27</f>
        <v>100</v>
      </c>
      <c r="X27" s="666"/>
      <c r="Y27" s="3470"/>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70"/>
      <c r="Q28" s="1263">
        <f t="shared" si="11"/>
        <v>111</v>
      </c>
      <c r="R28" s="667" t="s">
        <v>14</v>
      </c>
      <c r="S28" s="668">
        <f t="shared" ref="S28:S40" si="12">F28</f>
        <v>100</v>
      </c>
      <c r="T28" s="667" t="s">
        <v>14</v>
      </c>
      <c r="U28" s="668">
        <f t="shared" ref="U28:U40" si="13">H28</f>
        <v>100</v>
      </c>
      <c r="V28" s="667" t="s">
        <v>14</v>
      </c>
      <c r="W28" s="668">
        <f t="shared" ref="W28:W40" si="14">J28</f>
        <v>100</v>
      </c>
      <c r="X28" s="1265"/>
      <c r="Y28" s="3470"/>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93" t="s">
        <v>1696</v>
      </c>
      <c r="Q29" s="1263" t="str">
        <f t="shared" si="11"/>
        <v>建筑类型</v>
      </c>
      <c r="R29" s="667" t="s">
        <v>14</v>
      </c>
      <c r="S29" s="668">
        <f t="shared" si="12"/>
        <v>100</v>
      </c>
      <c r="T29" s="667" t="s">
        <v>14</v>
      </c>
      <c r="U29" s="668">
        <f t="shared" si="13"/>
        <v>100</v>
      </c>
      <c r="V29" s="667" t="s">
        <v>14</v>
      </c>
      <c r="W29" s="668">
        <f t="shared" si="14"/>
        <v>100</v>
      </c>
      <c r="X29" s="1265"/>
      <c r="Y29" s="3474"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74"/>
      <c r="Q30" s="531" t="str">
        <f t="shared" si="11"/>
        <v>项目建筑规模</v>
      </c>
      <c r="R30" s="669" t="s">
        <v>14</v>
      </c>
      <c r="S30" s="670" t="e">
        <f t="shared" si="12"/>
        <v>#N/A</v>
      </c>
      <c r="T30" s="669" t="s">
        <v>14</v>
      </c>
      <c r="U30" s="670" t="e">
        <f t="shared" si="13"/>
        <v>#N/A</v>
      </c>
      <c r="V30" s="669" t="s">
        <v>14</v>
      </c>
      <c r="W30" s="670" t="e">
        <f t="shared" si="14"/>
        <v>#N/A</v>
      </c>
      <c r="X30" s="671"/>
      <c r="Y30" s="3474"/>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74"/>
      <c r="Q31" s="1263" t="str">
        <f t="shared" si="11"/>
        <v>建筑结构</v>
      </c>
      <c r="R31" s="667" t="s">
        <v>14</v>
      </c>
      <c r="S31" s="668">
        <f t="shared" si="12"/>
        <v>100</v>
      </c>
      <c r="T31" s="667" t="s">
        <v>14</v>
      </c>
      <c r="U31" s="668">
        <f t="shared" si="13"/>
        <v>100</v>
      </c>
      <c r="V31" s="667" t="s">
        <v>14</v>
      </c>
      <c r="W31" s="668">
        <f t="shared" si="14"/>
        <v>100</v>
      </c>
      <c r="X31" s="1265"/>
      <c r="Y31" s="3474"/>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74"/>
      <c r="Q32" s="1263" t="str">
        <f t="shared" si="11"/>
        <v>公共部分装修</v>
      </c>
      <c r="R32" s="667" t="s">
        <v>14</v>
      </c>
      <c r="S32" s="668">
        <f t="shared" si="12"/>
        <v>100</v>
      </c>
      <c r="T32" s="667" t="s">
        <v>14</v>
      </c>
      <c r="U32" s="668">
        <f t="shared" si="13"/>
        <v>100</v>
      </c>
      <c r="V32" s="667" t="s">
        <v>14</v>
      </c>
      <c r="W32" s="668">
        <f t="shared" si="14"/>
        <v>100</v>
      </c>
      <c r="X32" s="1265"/>
      <c r="Y32" s="3474"/>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74"/>
      <c r="Q33" s="1263" t="str">
        <f t="shared" si="11"/>
        <v>成新度</v>
      </c>
      <c r="R33" s="667" t="s">
        <v>14</v>
      </c>
      <c r="S33" s="668" t="e">
        <f t="shared" si="12"/>
        <v>#N/A</v>
      </c>
      <c r="T33" s="667" t="s">
        <v>14</v>
      </c>
      <c r="U33" s="668" t="e">
        <f t="shared" si="13"/>
        <v>#N/A</v>
      </c>
      <c r="V33" s="667" t="s">
        <v>14</v>
      </c>
      <c r="W33" s="668" t="e">
        <f t="shared" si="14"/>
        <v>#N/A</v>
      </c>
      <c r="X33" s="1265"/>
      <c r="Y33" s="3474"/>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74"/>
      <c r="Q34" s="530" t="str">
        <f t="shared" si="11"/>
        <v>物业管理</v>
      </c>
      <c r="R34" s="664" t="s">
        <v>14</v>
      </c>
      <c r="S34" s="665">
        <f t="shared" si="12"/>
        <v>100</v>
      </c>
      <c r="T34" s="664" t="s">
        <v>14</v>
      </c>
      <c r="U34" s="665">
        <f t="shared" si="13"/>
        <v>100</v>
      </c>
      <c r="V34" s="664" t="s">
        <v>14</v>
      </c>
      <c r="W34" s="665">
        <f t="shared" si="14"/>
        <v>100</v>
      </c>
      <c r="X34" s="666"/>
      <c r="Y34" s="3474"/>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74" t="s">
        <v>1696</v>
      </c>
      <c r="Q35" s="1263" t="str">
        <f t="shared" si="11"/>
        <v>市政基础设施</v>
      </c>
      <c r="R35" s="667" t="s">
        <v>14</v>
      </c>
      <c r="S35" s="668">
        <f t="shared" si="12"/>
        <v>100</v>
      </c>
      <c r="T35" s="667" t="s">
        <v>14</v>
      </c>
      <c r="U35" s="668">
        <f t="shared" si="13"/>
        <v>100</v>
      </c>
      <c r="V35" s="667" t="s">
        <v>14</v>
      </c>
      <c r="W35" s="668">
        <f t="shared" si="14"/>
        <v>100</v>
      </c>
      <c r="X35" s="1265"/>
      <c r="Y35" s="3474"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74"/>
      <c r="Q36" s="1263" t="str">
        <f t="shared" si="11"/>
        <v>内部装修</v>
      </c>
      <c r="R36" s="667" t="s">
        <v>14</v>
      </c>
      <c r="S36" s="668">
        <f t="shared" si="12"/>
        <v>100</v>
      </c>
      <c r="T36" s="667" t="s">
        <v>14</v>
      </c>
      <c r="U36" s="668">
        <f t="shared" si="13"/>
        <v>100</v>
      </c>
      <c r="V36" s="667" t="s">
        <v>14</v>
      </c>
      <c r="W36" s="668">
        <f t="shared" si="14"/>
        <v>100</v>
      </c>
      <c r="X36" s="1265"/>
      <c r="Y36" s="3474"/>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74"/>
      <c r="Q37" s="1263" t="str">
        <f t="shared" si="11"/>
        <v>内部装修状况</v>
      </c>
      <c r="R37" s="667" t="s">
        <v>14</v>
      </c>
      <c r="S37" s="668">
        <f t="shared" si="12"/>
        <v>100</v>
      </c>
      <c r="T37" s="667" t="s">
        <v>14</v>
      </c>
      <c r="U37" s="668">
        <f t="shared" si="13"/>
        <v>100</v>
      </c>
      <c r="V37" s="667" t="s">
        <v>14</v>
      </c>
      <c r="W37" s="668">
        <f t="shared" si="14"/>
        <v>100</v>
      </c>
      <c r="X37" s="1265"/>
      <c r="Y37" s="3474"/>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74"/>
      <c r="Q38" s="531">
        <f t="shared" si="11"/>
        <v>111</v>
      </c>
      <c r="R38" s="669" t="s">
        <v>14</v>
      </c>
      <c r="S38" s="670">
        <f t="shared" si="12"/>
        <v>100</v>
      </c>
      <c r="T38" s="669" t="s">
        <v>14</v>
      </c>
      <c r="U38" s="670">
        <f t="shared" si="13"/>
        <v>100</v>
      </c>
      <c r="V38" s="669" t="s">
        <v>14</v>
      </c>
      <c r="W38" s="670">
        <f t="shared" si="14"/>
        <v>100</v>
      </c>
      <c r="X38" s="671"/>
      <c r="Y38" s="3474"/>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74"/>
      <c r="Q39" s="1263">
        <f t="shared" si="11"/>
        <v>111</v>
      </c>
      <c r="R39" s="667" t="s">
        <v>14</v>
      </c>
      <c r="S39" s="668">
        <f t="shared" si="12"/>
        <v>100</v>
      </c>
      <c r="T39" s="667" t="s">
        <v>14</v>
      </c>
      <c r="U39" s="668">
        <f t="shared" si="13"/>
        <v>100</v>
      </c>
      <c r="V39" s="667" t="s">
        <v>14</v>
      </c>
      <c r="W39" s="668">
        <f t="shared" si="14"/>
        <v>100</v>
      </c>
      <c r="X39" s="1265"/>
      <c r="Y39" s="3474"/>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75"/>
      <c r="Q40" s="1263">
        <f t="shared" si="11"/>
        <v>111</v>
      </c>
      <c r="R40" s="667" t="s">
        <v>14</v>
      </c>
      <c r="S40" s="668">
        <f t="shared" si="12"/>
        <v>100</v>
      </c>
      <c r="T40" s="667" t="s">
        <v>14</v>
      </c>
      <c r="U40" s="668">
        <f t="shared" si="13"/>
        <v>100</v>
      </c>
      <c r="V40" s="667" t="s">
        <v>14</v>
      </c>
      <c r="W40" s="668">
        <f t="shared" si="14"/>
        <v>100</v>
      </c>
      <c r="X40" s="1265"/>
      <c r="Y40" s="3475"/>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68" t="str">
        <f>A41</f>
        <v>成交单价（元/平方米）</v>
      </c>
      <c r="Q41" s="3468"/>
      <c r="R41" s="3463">
        <f>E41</f>
        <v>0</v>
      </c>
      <c r="S41" s="3463"/>
      <c r="T41" s="3463">
        <f>G41</f>
        <v>0</v>
      </c>
      <c r="U41" s="3463"/>
      <c r="V41" s="3463">
        <f>I41</f>
        <v>0</v>
      </c>
      <c r="W41" s="3463"/>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68" t="str">
        <f>A42</f>
        <v>比较价值（元/平方米）</v>
      </c>
      <c r="Q42" s="3468"/>
      <c r="R42" s="3463" t="e">
        <f>IF(F1="售价",ROUND(PRODUCT(R41,AA7:AA40),0),ROUND(PRODUCT(R41,AA7:AA40),1))</f>
        <v>#DIV/0!</v>
      </c>
      <c r="S42" s="3463"/>
      <c r="T42" s="3463" t="e">
        <f>IF(F1="售价",ROUND(PRODUCT(T41,AB7:AB40),0),ROUND(PRODUCT(T41,AB7:AB40),1))</f>
        <v>#DIV/0!</v>
      </c>
      <c r="U42" s="3463"/>
      <c r="V42" s="3463" t="e">
        <f>IF(F1="售价",ROUND(PRODUCT(V41,AC7:AC40),0),ROUND(PRODUCT(V41,AC7:AC40),1))</f>
        <v>#DIV/0!</v>
      </c>
      <c r="W42" s="3463"/>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65" t="str">
        <f>A43</f>
        <v>估价对象XX用房的比较价值（楼面单价，元/平方米）</v>
      </c>
      <c r="Q43" s="3466"/>
      <c r="R43" s="3467" t="e">
        <f>IF(F1="售价",ROUND(IF(D42="简单平均",AVERAGE(R42:V42),R42*F42+T42*H42+V42*J42),0),ROUND(IF(D42="简单平均",AVERAGE(R42:V42),R42*F42+T42*H42+V42*J42),1))</f>
        <v>#DIV/0!</v>
      </c>
      <c r="S43" s="3467"/>
      <c r="T43" s="3467"/>
      <c r="U43" s="3467"/>
      <c r="V43" s="3467"/>
      <c r="W43" s="3467"/>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2025-4</v>
      </c>
      <c r="D52" s="1104">
        <f>EDATE(C52,-1)</f>
        <v>45717</v>
      </c>
      <c r="E52" s="1104">
        <f t="shared" ref="E52:O52" si="16">EDATE(D52,-1)</f>
        <v>45689</v>
      </c>
      <c r="F52" s="1104">
        <f t="shared" si="16"/>
        <v>45658</v>
      </c>
      <c r="G52" s="1104">
        <f t="shared" si="16"/>
        <v>45627</v>
      </c>
      <c r="H52" s="1104">
        <f t="shared" si="16"/>
        <v>45597</v>
      </c>
      <c r="I52" s="1104">
        <f t="shared" si="16"/>
        <v>45566</v>
      </c>
      <c r="J52" s="1104">
        <f t="shared" si="16"/>
        <v>45536</v>
      </c>
      <c r="K52" s="1104">
        <f t="shared" si="16"/>
        <v>45505</v>
      </c>
      <c r="L52" s="1104">
        <f t="shared" si="16"/>
        <v>45474</v>
      </c>
      <c r="M52" s="1104">
        <f t="shared" si="16"/>
        <v>45444</v>
      </c>
      <c r="N52" s="1104">
        <f t="shared" si="16"/>
        <v>45413</v>
      </c>
      <c r="O52" s="1104">
        <f t="shared" si="16"/>
        <v>45383</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3333</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451" t="s">
        <v>1770</v>
      </c>
      <c r="D4" s="3452"/>
      <c r="E4" s="3453" t="s">
        <v>1771</v>
      </c>
      <c r="F4" s="3454"/>
      <c r="G4" s="3451" t="s">
        <v>1772</v>
      </c>
      <c r="H4" s="3452"/>
      <c r="I4" s="3451" t="s">
        <v>1773</v>
      </c>
      <c r="J4" s="3452"/>
      <c r="K4" s="537" t="s">
        <v>1774</v>
      </c>
      <c r="L4" s="2487"/>
      <c r="M4" s="2488"/>
      <c r="N4" s="2488"/>
      <c r="O4" s="2488"/>
      <c r="P4" s="3455" t="s">
        <v>1775</v>
      </c>
      <c r="Q4" s="3456"/>
      <c r="R4" s="3438" t="s">
        <v>1771</v>
      </c>
      <c r="S4" s="3439"/>
      <c r="T4" s="3438" t="s">
        <v>1772</v>
      </c>
      <c r="U4" s="3439"/>
      <c r="V4" s="3463" t="s">
        <v>1773</v>
      </c>
      <c r="W4" s="3463"/>
      <c r="X4" s="1265"/>
      <c r="Y4" s="3438" t="s">
        <v>1775</v>
      </c>
      <c r="Z4" s="3439"/>
      <c r="AA4" s="3433" t="s">
        <v>1771</v>
      </c>
      <c r="AB4" s="3434" t="s">
        <v>1772</v>
      </c>
      <c r="AC4" s="3433" t="s">
        <v>1773</v>
      </c>
    </row>
    <row r="5" spans="1:29" ht="15">
      <c r="A5" s="348"/>
      <c r="B5" s="349"/>
      <c r="C5" s="3444" t="s">
        <v>1673</v>
      </c>
      <c r="D5" s="3445"/>
      <c r="E5" s="3442" t="s">
        <v>1674</v>
      </c>
      <c r="F5" s="3443"/>
      <c r="G5" s="3444" t="s">
        <v>1675</v>
      </c>
      <c r="H5" s="3445"/>
      <c r="I5" s="3444" t="s">
        <v>1676</v>
      </c>
      <c r="J5" s="3445"/>
      <c r="K5" s="537"/>
      <c r="L5" s="2487"/>
      <c r="M5" s="2488"/>
      <c r="N5" s="2488"/>
      <c r="O5" s="2488"/>
      <c r="P5" s="3457"/>
      <c r="Q5" s="3458"/>
      <c r="R5" s="3440"/>
      <c r="S5" s="3441"/>
      <c r="T5" s="3440"/>
      <c r="U5" s="3441"/>
      <c r="V5" s="3463"/>
      <c r="W5" s="3463"/>
      <c r="X5" s="1265"/>
      <c r="Y5" s="3440"/>
      <c r="Z5" s="3441"/>
      <c r="AA5" s="3434"/>
      <c r="AB5" s="3434"/>
      <c r="AC5" s="3434"/>
    </row>
    <row r="6" spans="1:29" ht="15.75" thickBot="1">
      <c r="A6" s="350"/>
      <c r="B6" s="351"/>
      <c r="C6" s="3446" t="s">
        <v>1677</v>
      </c>
      <c r="D6" s="3447"/>
      <c r="E6" s="3448" t="s">
        <v>1677</v>
      </c>
      <c r="F6" s="3449"/>
      <c r="G6" s="3446" t="s">
        <v>1677</v>
      </c>
      <c r="H6" s="3447"/>
      <c r="I6" s="3446" t="s">
        <v>1677</v>
      </c>
      <c r="J6" s="3447"/>
      <c r="K6" s="537" t="s">
        <v>1678</v>
      </c>
      <c r="L6" s="2487"/>
      <c r="M6" s="2488"/>
      <c r="N6" s="2488"/>
      <c r="O6" s="2488"/>
      <c r="P6" s="3459"/>
      <c r="Q6" s="3460"/>
      <c r="R6" s="3440"/>
      <c r="S6" s="3441"/>
      <c r="T6" s="3461"/>
      <c r="U6" s="3462"/>
      <c r="V6" s="3463"/>
      <c r="W6" s="3463"/>
      <c r="X6" s="1265"/>
      <c r="Y6" s="3461"/>
      <c r="Z6" s="3462"/>
      <c r="AA6" s="3435"/>
      <c r="AB6" s="3435"/>
      <c r="AC6" s="3435"/>
    </row>
    <row r="7" spans="1:29" s="102" customFormat="1" ht="15.75" thickBot="1">
      <c r="A7" s="352" t="s">
        <v>1679</v>
      </c>
      <c r="B7" s="353"/>
      <c r="C7" s="354">
        <f>'数据-取费表'!B2</f>
        <v>45748</v>
      </c>
      <c r="D7" s="355">
        <v>100</v>
      </c>
      <c r="E7" s="356"/>
      <c r="F7" s="357">
        <f>SUMIF(48:48,YEAR(E7)&amp;"-"&amp;MONTH(E7),49:49)</f>
        <v>0</v>
      </c>
      <c r="G7" s="356"/>
      <c r="H7" s="355">
        <f>SUMIF(48:48,YEAR(G7)&amp;"-"&amp;MONTH(G7),49:49)</f>
        <v>0</v>
      </c>
      <c r="I7" s="356"/>
      <c r="J7" s="355">
        <f>SUMIF(48:48,YEAR(I7)&amp;"-"&amp;MONTH(I7),49:49)</f>
        <v>0</v>
      </c>
      <c r="K7" s="38"/>
      <c r="L7" s="2489"/>
      <c r="M7" s="2440"/>
      <c r="N7" s="2440"/>
      <c r="O7" s="2440"/>
      <c r="P7" s="3436" t="s">
        <v>1680</v>
      </c>
      <c r="Q7" s="3464"/>
      <c r="R7" s="664" t="s">
        <v>14</v>
      </c>
      <c r="S7" s="665">
        <f t="shared" ref="S7:S14" si="0">F7</f>
        <v>0</v>
      </c>
      <c r="T7" s="664" t="s">
        <v>14</v>
      </c>
      <c r="U7" s="665">
        <f t="shared" ref="U7:U14" si="1">H7</f>
        <v>0</v>
      </c>
      <c r="V7" s="664" t="s">
        <v>14</v>
      </c>
      <c r="W7" s="665">
        <f t="shared" ref="W7:W14" si="2">J7</f>
        <v>0</v>
      </c>
      <c r="X7" s="666"/>
      <c r="Y7" s="3436" t="s">
        <v>1680</v>
      </c>
      <c r="Z7" s="3437"/>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36" t="s">
        <v>1683</v>
      </c>
      <c r="Q8" s="3437"/>
      <c r="R8" s="664" t="s">
        <v>14</v>
      </c>
      <c r="S8" s="665">
        <f t="shared" si="0"/>
        <v>100</v>
      </c>
      <c r="T8" s="664" t="s">
        <v>14</v>
      </c>
      <c r="U8" s="665">
        <f t="shared" si="1"/>
        <v>100</v>
      </c>
      <c r="V8" s="664" t="s">
        <v>14</v>
      </c>
      <c r="W8" s="665">
        <f t="shared" si="2"/>
        <v>100</v>
      </c>
      <c r="X8" s="666"/>
      <c r="Y8" s="3436" t="s">
        <v>1683</v>
      </c>
      <c r="Z8" s="3437"/>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68" t="s">
        <v>1686</v>
      </c>
      <c r="Q9" s="530" t="str">
        <f t="shared" ref="Q9:Q14" si="6">B9</f>
        <v>用途</v>
      </c>
      <c r="R9" s="664" t="s">
        <v>14</v>
      </c>
      <c r="S9" s="665">
        <f t="shared" si="0"/>
        <v>100</v>
      </c>
      <c r="T9" s="664" t="s">
        <v>14</v>
      </c>
      <c r="U9" s="665">
        <f t="shared" si="1"/>
        <v>100</v>
      </c>
      <c r="V9" s="664" t="s">
        <v>14</v>
      </c>
      <c r="W9" s="665">
        <f t="shared" si="2"/>
        <v>100</v>
      </c>
      <c r="X9" s="666"/>
      <c r="Y9" s="3361"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68"/>
      <c r="Q10" s="530" t="str">
        <f t="shared" si="6"/>
        <v>土地使用年限（年）</v>
      </c>
      <c r="R10" s="664" t="s">
        <v>14</v>
      </c>
      <c r="S10" s="665">
        <f t="shared" si="0"/>
        <v>100</v>
      </c>
      <c r="T10" s="664" t="s">
        <v>14</v>
      </c>
      <c r="U10" s="665">
        <f t="shared" si="1"/>
        <v>100</v>
      </c>
      <c r="V10" s="664" t="s">
        <v>14</v>
      </c>
      <c r="W10" s="665">
        <f t="shared" si="2"/>
        <v>100</v>
      </c>
      <c r="X10" s="666"/>
      <c r="Y10" s="336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68"/>
      <c r="Q11" s="530">
        <f t="shared" si="6"/>
        <v>111</v>
      </c>
      <c r="R11" s="664" t="s">
        <v>14</v>
      </c>
      <c r="S11" s="665">
        <f t="shared" si="0"/>
        <v>100</v>
      </c>
      <c r="T11" s="664" t="s">
        <v>14</v>
      </c>
      <c r="U11" s="665">
        <f t="shared" si="1"/>
        <v>100</v>
      </c>
      <c r="V11" s="664" t="s">
        <v>14</v>
      </c>
      <c r="W11" s="665">
        <f t="shared" si="2"/>
        <v>100</v>
      </c>
      <c r="X11" s="666"/>
      <c r="Y11" s="336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68"/>
      <c r="Q12" s="530">
        <f t="shared" si="6"/>
        <v>111</v>
      </c>
      <c r="R12" s="664" t="s">
        <v>14</v>
      </c>
      <c r="S12" s="665">
        <f t="shared" si="0"/>
        <v>100</v>
      </c>
      <c r="T12" s="664" t="s">
        <v>14</v>
      </c>
      <c r="U12" s="665">
        <f t="shared" si="1"/>
        <v>100</v>
      </c>
      <c r="V12" s="664" t="s">
        <v>14</v>
      </c>
      <c r="W12" s="665">
        <f t="shared" si="2"/>
        <v>100</v>
      </c>
      <c r="X12" s="666"/>
      <c r="Y12" s="3361"/>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68"/>
      <c r="Q13" s="530">
        <f t="shared" si="6"/>
        <v>111</v>
      </c>
      <c r="R13" s="664" t="s">
        <v>14</v>
      </c>
      <c r="S13" s="665">
        <f t="shared" si="0"/>
        <v>100</v>
      </c>
      <c r="T13" s="664" t="s">
        <v>14</v>
      </c>
      <c r="U13" s="665">
        <f t="shared" si="1"/>
        <v>100</v>
      </c>
      <c r="V13" s="664" t="s">
        <v>14</v>
      </c>
      <c r="W13" s="665">
        <f t="shared" si="2"/>
        <v>100</v>
      </c>
      <c r="X13" s="666"/>
      <c r="Y13" s="3361"/>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69" t="s">
        <v>1691</v>
      </c>
      <c r="Q14" s="1263" t="str">
        <f t="shared" si="6"/>
        <v>交通便捷度</v>
      </c>
      <c r="R14" s="667" t="s">
        <v>14</v>
      </c>
      <c r="S14" s="668">
        <f t="shared" si="0"/>
        <v>100</v>
      </c>
      <c r="T14" s="667" t="s">
        <v>14</v>
      </c>
      <c r="U14" s="668">
        <f t="shared" si="1"/>
        <v>100</v>
      </c>
      <c r="V14" s="667" t="s">
        <v>14</v>
      </c>
      <c r="W14" s="668">
        <f t="shared" si="2"/>
        <v>100</v>
      </c>
      <c r="X14" s="1265"/>
      <c r="Y14" s="3469"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70"/>
      <c r="Q15" s="1263"/>
      <c r="R15" s="667"/>
      <c r="S15" s="668"/>
      <c r="T15" s="667"/>
      <c r="U15" s="668"/>
      <c r="V15" s="667"/>
      <c r="W15" s="668"/>
      <c r="X15" s="1265"/>
      <c r="Y15" s="3470"/>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70"/>
      <c r="Q16" s="1263" t="str">
        <f>B16</f>
        <v>公共配套设施</v>
      </c>
      <c r="R16" s="667" t="s">
        <v>14</v>
      </c>
      <c r="S16" s="668">
        <f>F16</f>
        <v>100</v>
      </c>
      <c r="T16" s="667" t="s">
        <v>14</v>
      </c>
      <c r="U16" s="668">
        <f>H16</f>
        <v>100</v>
      </c>
      <c r="V16" s="667" t="s">
        <v>14</v>
      </c>
      <c r="W16" s="668">
        <f>J16</f>
        <v>100</v>
      </c>
      <c r="X16" s="1265"/>
      <c r="Y16" s="3470"/>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70"/>
      <c r="Q17" s="1263"/>
      <c r="R17" s="667"/>
      <c r="S17" s="668"/>
      <c r="T17" s="667"/>
      <c r="U17" s="668"/>
      <c r="V17" s="667"/>
      <c r="W17" s="668"/>
      <c r="X17" s="1265"/>
      <c r="Y17" s="3470"/>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70"/>
      <c r="Q18" s="1263" t="str">
        <f>B18</f>
        <v>基础设施水平</v>
      </c>
      <c r="R18" s="667" t="s">
        <v>14</v>
      </c>
      <c r="S18" s="668">
        <f>F18</f>
        <v>100</v>
      </c>
      <c r="T18" s="667" t="s">
        <v>14</v>
      </c>
      <c r="U18" s="668">
        <f>H18</f>
        <v>100</v>
      </c>
      <c r="V18" s="667" t="s">
        <v>14</v>
      </c>
      <c r="W18" s="668">
        <f>J18</f>
        <v>100</v>
      </c>
      <c r="X18" s="1265"/>
      <c r="Y18" s="3470"/>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70"/>
      <c r="Q19" s="1263"/>
      <c r="R19" s="667"/>
      <c r="S19" s="668"/>
      <c r="T19" s="667"/>
      <c r="U19" s="668"/>
      <c r="V19" s="667"/>
      <c r="W19" s="668"/>
      <c r="X19" s="1265"/>
      <c r="Y19" s="3470"/>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70"/>
      <c r="Q20" s="1263" t="str">
        <f>B20</f>
        <v>自然及人文环境</v>
      </c>
      <c r="R20" s="667" t="s">
        <v>14</v>
      </c>
      <c r="S20" s="668">
        <f>F20</f>
        <v>100</v>
      </c>
      <c r="T20" s="667" t="s">
        <v>14</v>
      </c>
      <c r="U20" s="668">
        <f>H20</f>
        <v>100</v>
      </c>
      <c r="V20" s="667" t="s">
        <v>14</v>
      </c>
      <c r="W20" s="668">
        <f>J20</f>
        <v>100</v>
      </c>
      <c r="X20" s="1265"/>
      <c r="Y20" s="3470"/>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70"/>
      <c r="Q21" s="1263"/>
      <c r="R21" s="667"/>
      <c r="S21" s="668"/>
      <c r="T21" s="667"/>
      <c r="U21" s="668"/>
      <c r="V21" s="667"/>
      <c r="W21" s="668"/>
      <c r="X21" s="1265"/>
      <c r="Y21" s="3470"/>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70"/>
      <c r="Q22" s="1263" t="str">
        <f>B22</f>
        <v>楼层</v>
      </c>
      <c r="R22" s="667" t="s">
        <v>14</v>
      </c>
      <c r="S22" s="668">
        <f>F22</f>
        <v>100</v>
      </c>
      <c r="T22" s="667" t="s">
        <v>14</v>
      </c>
      <c r="U22" s="668">
        <f>H22</f>
        <v>100</v>
      </c>
      <c r="V22" s="667" t="s">
        <v>14</v>
      </c>
      <c r="W22" s="668">
        <f>J22</f>
        <v>100</v>
      </c>
      <c r="X22" s="1265"/>
      <c r="Y22" s="3470"/>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70"/>
      <c r="Q23" s="1263">
        <f>B23</f>
        <v>111</v>
      </c>
      <c r="R23" s="667" t="s">
        <v>14</v>
      </c>
      <c r="S23" s="668">
        <f>F23</f>
        <v>100</v>
      </c>
      <c r="T23" s="667" t="s">
        <v>14</v>
      </c>
      <c r="U23" s="668">
        <f>H23</f>
        <v>100</v>
      </c>
      <c r="V23" s="667" t="s">
        <v>14</v>
      </c>
      <c r="W23" s="668">
        <f>J23</f>
        <v>100</v>
      </c>
      <c r="X23" s="1265"/>
      <c r="Y23" s="3470"/>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70"/>
      <c r="Q24" s="1263">
        <f t="shared" ref="Q24:Q36" si="11">B24</f>
        <v>111</v>
      </c>
      <c r="R24" s="667" t="s">
        <v>14</v>
      </c>
      <c r="S24" s="668">
        <f>F24</f>
        <v>100</v>
      </c>
      <c r="T24" s="667" t="s">
        <v>14</v>
      </c>
      <c r="U24" s="668">
        <f>H24</f>
        <v>100</v>
      </c>
      <c r="V24" s="667" t="s">
        <v>14</v>
      </c>
      <c r="W24" s="668">
        <f>J24</f>
        <v>100</v>
      </c>
      <c r="X24" s="1265"/>
      <c r="Y24" s="3470"/>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70"/>
      <c r="Q25" s="530">
        <f t="shared" si="11"/>
        <v>111</v>
      </c>
      <c r="R25" s="664" t="s">
        <v>14</v>
      </c>
      <c r="S25" s="665">
        <f>F25</f>
        <v>100</v>
      </c>
      <c r="T25" s="664" t="s">
        <v>14</v>
      </c>
      <c r="U25" s="665">
        <f>H25</f>
        <v>100</v>
      </c>
      <c r="V25" s="664" t="s">
        <v>14</v>
      </c>
      <c r="W25" s="665">
        <f>J25</f>
        <v>100</v>
      </c>
      <c r="X25" s="666"/>
      <c r="Y25" s="3470"/>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93"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74"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74"/>
      <c r="Q27" s="531" t="str">
        <f t="shared" si="11"/>
        <v>项目停车位配比</v>
      </c>
      <c r="R27" s="669" t="s">
        <v>14</v>
      </c>
      <c r="S27" s="670">
        <f t="shared" si="12"/>
        <v>100</v>
      </c>
      <c r="T27" s="669" t="s">
        <v>14</v>
      </c>
      <c r="U27" s="670">
        <f t="shared" si="13"/>
        <v>100</v>
      </c>
      <c r="V27" s="669" t="s">
        <v>14</v>
      </c>
      <c r="W27" s="670">
        <f t="shared" si="14"/>
        <v>100</v>
      </c>
      <c r="X27" s="671"/>
      <c r="Y27" s="3474"/>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74"/>
      <c r="Q28" s="1263" t="str">
        <f t="shared" si="11"/>
        <v>公共部分装修</v>
      </c>
      <c r="R28" s="667" t="s">
        <v>14</v>
      </c>
      <c r="S28" s="668">
        <f t="shared" si="12"/>
        <v>100</v>
      </c>
      <c r="T28" s="667" t="s">
        <v>14</v>
      </c>
      <c r="U28" s="668">
        <f t="shared" si="13"/>
        <v>100</v>
      </c>
      <c r="V28" s="667" t="s">
        <v>14</v>
      </c>
      <c r="W28" s="668">
        <f t="shared" si="14"/>
        <v>100</v>
      </c>
      <c r="X28" s="1265"/>
      <c r="Y28" s="3474"/>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74"/>
      <c r="Q29" s="1263" t="str">
        <f t="shared" si="11"/>
        <v>成新率</v>
      </c>
      <c r="R29" s="667" t="s">
        <v>14</v>
      </c>
      <c r="S29" s="668" t="e">
        <f t="shared" si="12"/>
        <v>#N/A</v>
      </c>
      <c r="T29" s="667" t="s">
        <v>14</v>
      </c>
      <c r="U29" s="668" t="e">
        <f t="shared" si="13"/>
        <v>#N/A</v>
      </c>
      <c r="V29" s="667" t="s">
        <v>14</v>
      </c>
      <c r="W29" s="668" t="e">
        <f t="shared" si="14"/>
        <v>#N/A</v>
      </c>
      <c r="X29" s="1265"/>
      <c r="Y29" s="3474"/>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74"/>
      <c r="Q30" s="1263" t="str">
        <f t="shared" si="11"/>
        <v>物业等级</v>
      </c>
      <c r="R30" s="667" t="s">
        <v>14</v>
      </c>
      <c r="S30" s="668">
        <f t="shared" si="12"/>
        <v>100</v>
      </c>
      <c r="T30" s="667" t="s">
        <v>14</v>
      </c>
      <c r="U30" s="668">
        <f t="shared" si="13"/>
        <v>100</v>
      </c>
      <c r="V30" s="667" t="s">
        <v>14</v>
      </c>
      <c r="W30" s="668">
        <f t="shared" si="14"/>
        <v>100</v>
      </c>
      <c r="X30" s="1265"/>
      <c r="Y30" s="3474"/>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74"/>
      <c r="Q31" s="530" t="str">
        <f t="shared" si="11"/>
        <v>停车位面积</v>
      </c>
      <c r="R31" s="664" t="s">
        <v>14</v>
      </c>
      <c r="S31" s="665" t="e">
        <f t="shared" si="12"/>
        <v>#N/A</v>
      </c>
      <c r="T31" s="664" t="s">
        <v>14</v>
      </c>
      <c r="U31" s="665" t="e">
        <f t="shared" si="13"/>
        <v>#N/A</v>
      </c>
      <c r="V31" s="664" t="s">
        <v>14</v>
      </c>
      <c r="W31" s="665" t="e">
        <f t="shared" si="14"/>
        <v>#N/A</v>
      </c>
      <c r="X31" s="666"/>
      <c r="Y31" s="3474"/>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74" t="s">
        <v>1696</v>
      </c>
      <c r="Q32" s="1263" t="str">
        <f t="shared" si="11"/>
        <v>车位类型</v>
      </c>
      <c r="R32" s="667" t="s">
        <v>14</v>
      </c>
      <c r="S32" s="668">
        <f t="shared" si="12"/>
        <v>100</v>
      </c>
      <c r="T32" s="667" t="s">
        <v>14</v>
      </c>
      <c r="U32" s="668">
        <f t="shared" si="13"/>
        <v>100</v>
      </c>
      <c r="V32" s="667" t="s">
        <v>14</v>
      </c>
      <c r="W32" s="668">
        <f t="shared" si="14"/>
        <v>100</v>
      </c>
      <c r="X32" s="1265"/>
      <c r="Y32" s="3474"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74"/>
      <c r="Q33" s="1263" t="str">
        <f t="shared" si="11"/>
        <v>是否直接入户</v>
      </c>
      <c r="R33" s="667" t="s">
        <v>14</v>
      </c>
      <c r="S33" s="668">
        <f t="shared" si="12"/>
        <v>100</v>
      </c>
      <c r="T33" s="667" t="s">
        <v>14</v>
      </c>
      <c r="U33" s="668">
        <f t="shared" si="13"/>
        <v>100</v>
      </c>
      <c r="V33" s="667" t="s">
        <v>14</v>
      </c>
      <c r="W33" s="668">
        <f t="shared" si="14"/>
        <v>100</v>
      </c>
      <c r="X33" s="1265"/>
      <c r="Y33" s="3474"/>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74"/>
      <c r="Q34" s="1263">
        <f t="shared" si="11"/>
        <v>111</v>
      </c>
      <c r="R34" s="667" t="s">
        <v>14</v>
      </c>
      <c r="S34" s="668">
        <f t="shared" si="12"/>
        <v>100</v>
      </c>
      <c r="T34" s="667" t="s">
        <v>14</v>
      </c>
      <c r="U34" s="668">
        <f t="shared" si="13"/>
        <v>100</v>
      </c>
      <c r="V34" s="667" t="s">
        <v>14</v>
      </c>
      <c r="W34" s="668">
        <f t="shared" si="14"/>
        <v>100</v>
      </c>
      <c r="X34" s="1265"/>
      <c r="Y34" s="3474"/>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74"/>
      <c r="Q35" s="531">
        <f t="shared" si="11"/>
        <v>111</v>
      </c>
      <c r="R35" s="669" t="s">
        <v>14</v>
      </c>
      <c r="S35" s="670">
        <f t="shared" si="12"/>
        <v>100</v>
      </c>
      <c r="T35" s="669" t="s">
        <v>14</v>
      </c>
      <c r="U35" s="670">
        <f t="shared" si="13"/>
        <v>100</v>
      </c>
      <c r="V35" s="669" t="s">
        <v>14</v>
      </c>
      <c r="W35" s="670">
        <f t="shared" si="14"/>
        <v>100</v>
      </c>
      <c r="X35" s="671"/>
      <c r="Y35" s="3474"/>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74"/>
      <c r="Q36" s="1263">
        <f t="shared" si="11"/>
        <v>111</v>
      </c>
      <c r="R36" s="667" t="s">
        <v>14</v>
      </c>
      <c r="S36" s="668">
        <f t="shared" si="12"/>
        <v>100</v>
      </c>
      <c r="T36" s="667" t="s">
        <v>14</v>
      </c>
      <c r="U36" s="668">
        <f t="shared" si="13"/>
        <v>100</v>
      </c>
      <c r="V36" s="667" t="s">
        <v>14</v>
      </c>
      <c r="W36" s="668">
        <f t="shared" si="14"/>
        <v>100</v>
      </c>
      <c r="X36" s="1265"/>
      <c r="Y36" s="3474"/>
      <c r="Z36" s="1264">
        <f t="shared" si="15"/>
        <v>111</v>
      </c>
      <c r="AA36" s="1264">
        <f t="shared" si="3"/>
        <v>1</v>
      </c>
      <c r="AB36" s="1264">
        <f t="shared" si="4"/>
        <v>1</v>
      </c>
      <c r="AC36" s="1264">
        <f t="shared" si="5"/>
        <v>1</v>
      </c>
    </row>
    <row r="37" spans="1:29" ht="15">
      <c r="A37" s="416" t="s">
        <v>1844</v>
      </c>
      <c r="B37" s="1821" t="s">
        <v>3353</v>
      </c>
      <c r="C37" s="1081" t="s">
        <v>0</v>
      </c>
      <c r="D37" s="418"/>
      <c r="E37" s="419"/>
      <c r="F37" s="420"/>
      <c r="G37" s="421"/>
      <c r="H37" s="422"/>
      <c r="I37" s="419"/>
      <c r="J37" s="422"/>
      <c r="K37" s="545"/>
      <c r="L37" s="2495"/>
      <c r="M37" s="2488"/>
      <c r="N37" s="2488"/>
      <c r="O37" s="2488"/>
      <c r="P37" s="3468" t="str">
        <f>A37</f>
        <v>成交单价</v>
      </c>
      <c r="Q37" s="3468"/>
      <c r="R37" s="3463">
        <f>E37</f>
        <v>0</v>
      </c>
      <c r="S37" s="3463"/>
      <c r="T37" s="3463">
        <f>G37</f>
        <v>0</v>
      </c>
      <c r="U37" s="3463"/>
      <c r="V37" s="3463">
        <f>I37</f>
        <v>0</v>
      </c>
      <c r="W37" s="3463"/>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468" t="str">
        <f>A38</f>
        <v>比较价值（元/平方米）</v>
      </c>
      <c r="Q38" s="3468"/>
      <c r="R38" s="3463" t="e">
        <f>IF(F1="售价",ROUND(PRODUCT(R37,AA7:AA36),0),ROUND(PRODUCT(R37,AA7:AA36),1))</f>
        <v>#DIV/0!</v>
      </c>
      <c r="S38" s="3463"/>
      <c r="T38" s="3463" t="e">
        <f>IF(F1="售价",ROUND(PRODUCT(T37,AB7:AB36),0),ROUND(PRODUCT(T37,AB7:AB36),1))</f>
        <v>#DIV/0!</v>
      </c>
      <c r="U38" s="3463"/>
      <c r="V38" s="3463" t="e">
        <f>IF(F1="售价",ROUND(PRODUCT(V37,AC7:AC36),0),ROUND(PRODUCT(V37,AC7:AC36),1))</f>
        <v>#DIV/0!</v>
      </c>
      <c r="W38" s="3463"/>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465" t="str">
        <f>A39</f>
        <v>估价对象XX用房的比较价值（楼面单价，元/平方米）</v>
      </c>
      <c r="Q39" s="3466"/>
      <c r="R39" s="3494" t="e">
        <f>IF(F1="售价",ROUND(IF(D38="简单平均",AVERAGE(R38:W38),R38*F38+T38*H38+V38*J38),0),ROUND(IF(D38="简单平均",AVERAGE(R38:V38),R38*F38+T38*H38+V38*J38),1))</f>
        <v>#DIV/0!</v>
      </c>
      <c r="S39" s="3494"/>
      <c r="T39" s="3494"/>
      <c r="U39" s="3494"/>
      <c r="V39" s="3494"/>
      <c r="W39" s="3494"/>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2025-4</v>
      </c>
      <c r="D48" s="1104">
        <f>EDATE(C48,-1)</f>
        <v>45717</v>
      </c>
      <c r="E48" s="1104">
        <f t="shared" ref="E48:O48" si="16">EDATE(D48,-1)</f>
        <v>45689</v>
      </c>
      <c r="F48" s="1104">
        <f t="shared" si="16"/>
        <v>45658</v>
      </c>
      <c r="G48" s="1104">
        <f t="shared" si="16"/>
        <v>45627</v>
      </c>
      <c r="H48" s="1104">
        <f t="shared" si="16"/>
        <v>45597</v>
      </c>
      <c r="I48" s="1104">
        <f t="shared" si="16"/>
        <v>45566</v>
      </c>
      <c r="J48" s="1104">
        <f t="shared" si="16"/>
        <v>45536</v>
      </c>
      <c r="K48" s="1104">
        <f t="shared" si="16"/>
        <v>45505</v>
      </c>
      <c r="L48" s="1104">
        <f t="shared" si="16"/>
        <v>45474</v>
      </c>
      <c r="M48" s="1104">
        <f t="shared" si="16"/>
        <v>45444</v>
      </c>
      <c r="N48" s="1104">
        <f t="shared" si="16"/>
        <v>45413</v>
      </c>
      <c r="O48" s="1104">
        <f t="shared" si="16"/>
        <v>45383</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3334</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51" t="s">
        <v>1770</v>
      </c>
      <c r="D4" s="3452"/>
      <c r="E4" s="3453" t="s">
        <v>1771</v>
      </c>
      <c r="F4" s="3454"/>
      <c r="G4" s="3451" t="s">
        <v>1772</v>
      </c>
      <c r="H4" s="3452"/>
      <c r="I4" s="3451" t="s">
        <v>1773</v>
      </c>
      <c r="J4" s="3452"/>
      <c r="K4" s="537" t="s">
        <v>1774</v>
      </c>
      <c r="L4" s="2487"/>
      <c r="M4" s="2488"/>
      <c r="N4" s="2488"/>
      <c r="O4" s="2488"/>
      <c r="P4" s="3455" t="s">
        <v>1775</v>
      </c>
      <c r="Q4" s="3456"/>
      <c r="R4" s="3438" t="s">
        <v>1771</v>
      </c>
      <c r="S4" s="3439"/>
      <c r="T4" s="3438" t="s">
        <v>1772</v>
      </c>
      <c r="U4" s="3439"/>
      <c r="V4" s="3463" t="s">
        <v>1773</v>
      </c>
      <c r="W4" s="3463"/>
      <c r="X4" s="1265"/>
      <c r="Y4" s="3438" t="s">
        <v>1775</v>
      </c>
      <c r="Z4" s="3439"/>
      <c r="AA4" s="3433" t="s">
        <v>1771</v>
      </c>
      <c r="AB4" s="3434" t="s">
        <v>1772</v>
      </c>
      <c r="AC4" s="3433" t="s">
        <v>1773</v>
      </c>
    </row>
    <row r="5" spans="1:29" ht="15">
      <c r="A5" s="348"/>
      <c r="B5" s="349"/>
      <c r="C5" s="3444" t="s">
        <v>1673</v>
      </c>
      <c r="D5" s="3445"/>
      <c r="E5" s="3442" t="s">
        <v>1674</v>
      </c>
      <c r="F5" s="3443"/>
      <c r="G5" s="3444" t="s">
        <v>1675</v>
      </c>
      <c r="H5" s="3445"/>
      <c r="I5" s="3444" t="s">
        <v>1676</v>
      </c>
      <c r="J5" s="3445"/>
      <c r="K5" s="537"/>
      <c r="L5" s="2487"/>
      <c r="M5" s="2488"/>
      <c r="N5" s="2488"/>
      <c r="O5" s="2488"/>
      <c r="P5" s="3457"/>
      <c r="Q5" s="3458"/>
      <c r="R5" s="3440"/>
      <c r="S5" s="3441"/>
      <c r="T5" s="3440"/>
      <c r="U5" s="3441"/>
      <c r="V5" s="3463"/>
      <c r="W5" s="3463"/>
      <c r="X5" s="1265"/>
      <c r="Y5" s="3440"/>
      <c r="Z5" s="3441"/>
      <c r="AA5" s="3434"/>
      <c r="AB5" s="3434"/>
      <c r="AC5" s="3434"/>
    </row>
    <row r="6" spans="1:29" ht="15.75" thickBot="1">
      <c r="A6" s="350"/>
      <c r="B6" s="351"/>
      <c r="C6" s="3446" t="s">
        <v>1677</v>
      </c>
      <c r="D6" s="3447"/>
      <c r="E6" s="3448" t="s">
        <v>1677</v>
      </c>
      <c r="F6" s="3449"/>
      <c r="G6" s="3446" t="s">
        <v>1677</v>
      </c>
      <c r="H6" s="3447"/>
      <c r="I6" s="3446" t="s">
        <v>1677</v>
      </c>
      <c r="J6" s="3447"/>
      <c r="K6" s="537" t="s">
        <v>1678</v>
      </c>
      <c r="L6" s="2487"/>
      <c r="M6" s="2488"/>
      <c r="N6" s="2488"/>
      <c r="O6" s="2488"/>
      <c r="P6" s="3459"/>
      <c r="Q6" s="3460"/>
      <c r="R6" s="3440"/>
      <c r="S6" s="3441"/>
      <c r="T6" s="3461"/>
      <c r="U6" s="3462"/>
      <c r="V6" s="3463"/>
      <c r="W6" s="3463"/>
      <c r="X6" s="1265"/>
      <c r="Y6" s="3461"/>
      <c r="Z6" s="3462"/>
      <c r="AA6" s="3435"/>
      <c r="AB6" s="3435"/>
      <c r="AC6" s="3435"/>
    </row>
    <row r="7" spans="1:29" s="102" customFormat="1" ht="15.75" thickBot="1">
      <c r="A7" s="352" t="s">
        <v>1679</v>
      </c>
      <c r="B7" s="353"/>
      <c r="C7" s="354">
        <f>'数据-取费表'!B2</f>
        <v>45748</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36" t="s">
        <v>1680</v>
      </c>
      <c r="Q7" s="3464"/>
      <c r="R7" s="664" t="s">
        <v>14</v>
      </c>
      <c r="S7" s="665">
        <f t="shared" ref="S7:S14" si="0">F7</f>
        <v>0</v>
      </c>
      <c r="T7" s="664" t="s">
        <v>14</v>
      </c>
      <c r="U7" s="665">
        <f t="shared" ref="U7:U14" si="1">H7</f>
        <v>0</v>
      </c>
      <c r="V7" s="664" t="s">
        <v>14</v>
      </c>
      <c r="W7" s="665">
        <f t="shared" ref="W7:W14" si="2">J7</f>
        <v>0</v>
      </c>
      <c r="X7" s="666"/>
      <c r="Y7" s="3436" t="s">
        <v>1680</v>
      </c>
      <c r="Z7" s="3437"/>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36" t="s">
        <v>1683</v>
      </c>
      <c r="Q8" s="3437"/>
      <c r="R8" s="664" t="s">
        <v>14</v>
      </c>
      <c r="S8" s="665">
        <f t="shared" si="0"/>
        <v>100</v>
      </c>
      <c r="T8" s="664" t="s">
        <v>14</v>
      </c>
      <c r="U8" s="665">
        <f t="shared" si="1"/>
        <v>100</v>
      </c>
      <c r="V8" s="664" t="s">
        <v>14</v>
      </c>
      <c r="W8" s="665">
        <f t="shared" si="2"/>
        <v>100</v>
      </c>
      <c r="X8" s="666"/>
      <c r="Y8" s="3436" t="s">
        <v>1683</v>
      </c>
      <c r="Z8" s="3437"/>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68" t="s">
        <v>1686</v>
      </c>
      <c r="Q9" s="530" t="str">
        <f t="shared" ref="Q9:Q14" si="6">B9</f>
        <v>用途</v>
      </c>
      <c r="R9" s="664" t="s">
        <v>14</v>
      </c>
      <c r="S9" s="665">
        <f t="shared" si="0"/>
        <v>100</v>
      </c>
      <c r="T9" s="664" t="s">
        <v>14</v>
      </c>
      <c r="U9" s="665">
        <f t="shared" si="1"/>
        <v>100</v>
      </c>
      <c r="V9" s="664" t="s">
        <v>14</v>
      </c>
      <c r="W9" s="665">
        <f t="shared" si="2"/>
        <v>100</v>
      </c>
      <c r="X9" s="666"/>
      <c r="Y9" s="3361"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68"/>
      <c r="Q10" s="530" t="str">
        <f t="shared" si="6"/>
        <v>土地使用年限（年）</v>
      </c>
      <c r="R10" s="664" t="s">
        <v>14</v>
      </c>
      <c r="S10" s="665">
        <f t="shared" si="0"/>
        <v>100</v>
      </c>
      <c r="T10" s="664" t="s">
        <v>14</v>
      </c>
      <c r="U10" s="665">
        <f t="shared" si="1"/>
        <v>100</v>
      </c>
      <c r="V10" s="664" t="s">
        <v>14</v>
      </c>
      <c r="W10" s="665">
        <f t="shared" si="2"/>
        <v>100</v>
      </c>
      <c r="X10" s="666"/>
      <c r="Y10" s="336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68"/>
      <c r="Q11" s="530">
        <f t="shared" si="6"/>
        <v>111</v>
      </c>
      <c r="R11" s="664" t="s">
        <v>14</v>
      </c>
      <c r="S11" s="665">
        <f t="shared" si="0"/>
        <v>100</v>
      </c>
      <c r="T11" s="664" t="s">
        <v>14</v>
      </c>
      <c r="U11" s="665">
        <f t="shared" si="1"/>
        <v>100</v>
      </c>
      <c r="V11" s="664" t="s">
        <v>14</v>
      </c>
      <c r="W11" s="665">
        <f t="shared" si="2"/>
        <v>100</v>
      </c>
      <c r="X11" s="666"/>
      <c r="Y11" s="336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68"/>
      <c r="Q12" s="530">
        <f t="shared" si="6"/>
        <v>111</v>
      </c>
      <c r="R12" s="664" t="s">
        <v>14</v>
      </c>
      <c r="S12" s="665">
        <f t="shared" si="0"/>
        <v>100</v>
      </c>
      <c r="T12" s="664" t="s">
        <v>14</v>
      </c>
      <c r="U12" s="665">
        <f t="shared" si="1"/>
        <v>100</v>
      </c>
      <c r="V12" s="664" t="s">
        <v>14</v>
      </c>
      <c r="W12" s="665">
        <f t="shared" si="2"/>
        <v>100</v>
      </c>
      <c r="X12" s="666"/>
      <c r="Y12" s="3361"/>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68"/>
      <c r="Q13" s="530">
        <f t="shared" si="6"/>
        <v>111</v>
      </c>
      <c r="R13" s="664" t="s">
        <v>14</v>
      </c>
      <c r="S13" s="665">
        <f t="shared" si="0"/>
        <v>100</v>
      </c>
      <c r="T13" s="664" t="s">
        <v>14</v>
      </c>
      <c r="U13" s="665">
        <f t="shared" si="1"/>
        <v>100</v>
      </c>
      <c r="V13" s="664" t="s">
        <v>14</v>
      </c>
      <c r="W13" s="665">
        <f t="shared" si="2"/>
        <v>100</v>
      </c>
      <c r="X13" s="666"/>
      <c r="Y13" s="3361"/>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69" t="s">
        <v>1691</v>
      </c>
      <c r="Q14" s="1263" t="str">
        <f t="shared" si="6"/>
        <v>交通便捷度</v>
      </c>
      <c r="R14" s="667" t="s">
        <v>14</v>
      </c>
      <c r="S14" s="668">
        <f t="shared" si="0"/>
        <v>100</v>
      </c>
      <c r="T14" s="667" t="s">
        <v>14</v>
      </c>
      <c r="U14" s="668">
        <f t="shared" si="1"/>
        <v>100</v>
      </c>
      <c r="V14" s="667" t="s">
        <v>14</v>
      </c>
      <c r="W14" s="668">
        <f t="shared" si="2"/>
        <v>100</v>
      </c>
      <c r="X14" s="1265"/>
      <c r="Y14" s="3469"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70"/>
      <c r="Q15" s="1263"/>
      <c r="R15" s="667"/>
      <c r="S15" s="668"/>
      <c r="T15" s="667"/>
      <c r="U15" s="668"/>
      <c r="V15" s="667"/>
      <c r="W15" s="668"/>
      <c r="X15" s="1265"/>
      <c r="Y15" s="3470"/>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70"/>
      <c r="Q16" s="1263" t="str">
        <f>B16</f>
        <v>公共配套设施</v>
      </c>
      <c r="R16" s="667" t="s">
        <v>14</v>
      </c>
      <c r="S16" s="668">
        <f>F16</f>
        <v>100</v>
      </c>
      <c r="T16" s="667" t="s">
        <v>14</v>
      </c>
      <c r="U16" s="668">
        <f>H16</f>
        <v>100</v>
      </c>
      <c r="V16" s="667" t="s">
        <v>14</v>
      </c>
      <c r="W16" s="668">
        <f>J16</f>
        <v>100</v>
      </c>
      <c r="X16" s="1265"/>
      <c r="Y16" s="3470"/>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70"/>
      <c r="Q17" s="1263"/>
      <c r="R17" s="667"/>
      <c r="S17" s="668"/>
      <c r="T17" s="667"/>
      <c r="U17" s="668"/>
      <c r="V17" s="667"/>
      <c r="W17" s="668"/>
      <c r="X17" s="1265"/>
      <c r="Y17" s="3470"/>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70"/>
      <c r="Q18" s="1263" t="str">
        <f>B18</f>
        <v>基础设施水平</v>
      </c>
      <c r="R18" s="667" t="s">
        <v>14</v>
      </c>
      <c r="S18" s="668">
        <f>F18</f>
        <v>100</v>
      </c>
      <c r="T18" s="667" t="s">
        <v>14</v>
      </c>
      <c r="U18" s="668">
        <f>H18</f>
        <v>100</v>
      </c>
      <c r="V18" s="667" t="s">
        <v>14</v>
      </c>
      <c r="W18" s="668">
        <f>J18</f>
        <v>100</v>
      </c>
      <c r="X18" s="1265"/>
      <c r="Y18" s="3470"/>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70"/>
      <c r="Q19" s="1263"/>
      <c r="R19" s="667"/>
      <c r="S19" s="668"/>
      <c r="T19" s="667"/>
      <c r="U19" s="668"/>
      <c r="V19" s="667"/>
      <c r="W19" s="668"/>
      <c r="X19" s="1265"/>
      <c r="Y19" s="3470"/>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70"/>
      <c r="Q20" s="1263" t="str">
        <f>B20</f>
        <v>自然及人文环境</v>
      </c>
      <c r="R20" s="667" t="s">
        <v>14</v>
      </c>
      <c r="S20" s="668">
        <f>F20</f>
        <v>100</v>
      </c>
      <c r="T20" s="667" t="s">
        <v>14</v>
      </c>
      <c r="U20" s="668">
        <f>H20</f>
        <v>100</v>
      </c>
      <c r="V20" s="667" t="s">
        <v>14</v>
      </c>
      <c r="W20" s="668">
        <f>J20</f>
        <v>100</v>
      </c>
      <c r="X20" s="1265"/>
      <c r="Y20" s="3470"/>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70"/>
      <c r="Q21" s="1263"/>
      <c r="R21" s="667"/>
      <c r="S21" s="668"/>
      <c r="T21" s="667"/>
      <c r="U21" s="668"/>
      <c r="V21" s="667"/>
      <c r="W21" s="668"/>
      <c r="X21" s="1265"/>
      <c r="Y21" s="3470"/>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70"/>
      <c r="Q22" s="1263" t="str">
        <f>B22</f>
        <v>楼层</v>
      </c>
      <c r="R22" s="667" t="s">
        <v>14</v>
      </c>
      <c r="S22" s="668">
        <f>F22</f>
        <v>100</v>
      </c>
      <c r="T22" s="667" t="s">
        <v>14</v>
      </c>
      <c r="U22" s="668">
        <f>H22</f>
        <v>100</v>
      </c>
      <c r="V22" s="667" t="s">
        <v>14</v>
      </c>
      <c r="W22" s="668">
        <f>J22</f>
        <v>100</v>
      </c>
      <c r="X22" s="1265"/>
      <c r="Y22" s="3470"/>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70"/>
      <c r="Q23" s="1263">
        <f>B23</f>
        <v>111</v>
      </c>
      <c r="R23" s="667" t="s">
        <v>14</v>
      </c>
      <c r="S23" s="668">
        <f>F23</f>
        <v>100</v>
      </c>
      <c r="T23" s="667" t="s">
        <v>14</v>
      </c>
      <c r="U23" s="668">
        <f>H23</f>
        <v>100</v>
      </c>
      <c r="V23" s="667" t="s">
        <v>14</v>
      </c>
      <c r="W23" s="668">
        <f>J23</f>
        <v>100</v>
      </c>
      <c r="X23" s="1265"/>
      <c r="Y23" s="3470"/>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70"/>
      <c r="Q24" s="1263">
        <f t="shared" ref="Q24:Q34" si="11">B24</f>
        <v>111</v>
      </c>
      <c r="R24" s="667" t="s">
        <v>14</v>
      </c>
      <c r="S24" s="668">
        <f>F24</f>
        <v>100</v>
      </c>
      <c r="T24" s="667" t="s">
        <v>14</v>
      </c>
      <c r="U24" s="668">
        <f>H24</f>
        <v>100</v>
      </c>
      <c r="V24" s="667" t="s">
        <v>14</v>
      </c>
      <c r="W24" s="668">
        <f>J24</f>
        <v>100</v>
      </c>
      <c r="X24" s="1265"/>
      <c r="Y24" s="3470"/>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70"/>
      <c r="Q25" s="530">
        <f t="shared" si="11"/>
        <v>111</v>
      </c>
      <c r="R25" s="664" t="s">
        <v>14</v>
      </c>
      <c r="S25" s="665">
        <f>F25</f>
        <v>100</v>
      </c>
      <c r="T25" s="664" t="s">
        <v>14</v>
      </c>
      <c r="U25" s="665">
        <f>H25</f>
        <v>100</v>
      </c>
      <c r="V25" s="664" t="s">
        <v>14</v>
      </c>
      <c r="W25" s="665">
        <f>J25</f>
        <v>100</v>
      </c>
      <c r="X25" s="666"/>
      <c r="Y25" s="3470"/>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93"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74"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74"/>
      <c r="Q27" s="531" t="str">
        <f t="shared" si="11"/>
        <v>成新率</v>
      </c>
      <c r="R27" s="669" t="s">
        <v>14</v>
      </c>
      <c r="S27" s="670" t="e">
        <f t="shared" si="12"/>
        <v>#N/A</v>
      </c>
      <c r="T27" s="669" t="s">
        <v>14</v>
      </c>
      <c r="U27" s="670" t="e">
        <f t="shared" si="13"/>
        <v>#N/A</v>
      </c>
      <c r="V27" s="669" t="s">
        <v>14</v>
      </c>
      <c r="W27" s="670" t="e">
        <f t="shared" si="14"/>
        <v>#N/A</v>
      </c>
      <c r="X27" s="671"/>
      <c r="Y27" s="3474"/>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74"/>
      <c r="Q28" s="1263" t="str">
        <f t="shared" si="11"/>
        <v>物业等级</v>
      </c>
      <c r="R28" s="667" t="s">
        <v>14</v>
      </c>
      <c r="S28" s="668">
        <f t="shared" si="12"/>
        <v>100</v>
      </c>
      <c r="T28" s="667" t="s">
        <v>14</v>
      </c>
      <c r="U28" s="668">
        <f t="shared" si="13"/>
        <v>100</v>
      </c>
      <c r="V28" s="667" t="s">
        <v>14</v>
      </c>
      <c r="W28" s="668">
        <f t="shared" si="14"/>
        <v>100</v>
      </c>
      <c r="X28" s="1265"/>
      <c r="Y28" s="3474"/>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74"/>
      <c r="Q29" s="1263" t="str">
        <f t="shared" si="11"/>
        <v>有无电梯</v>
      </c>
      <c r="R29" s="667" t="s">
        <v>14</v>
      </c>
      <c r="S29" s="668">
        <f t="shared" si="12"/>
        <v>100</v>
      </c>
      <c r="T29" s="667" t="s">
        <v>14</v>
      </c>
      <c r="U29" s="668">
        <f t="shared" si="13"/>
        <v>100</v>
      </c>
      <c r="V29" s="667" t="s">
        <v>14</v>
      </c>
      <c r="W29" s="668">
        <f t="shared" si="14"/>
        <v>100</v>
      </c>
      <c r="X29" s="1265"/>
      <c r="Y29" s="3474"/>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74"/>
      <c r="Q30" s="1263" t="str">
        <f t="shared" si="11"/>
        <v>建筑面积</v>
      </c>
      <c r="R30" s="667" t="s">
        <v>14</v>
      </c>
      <c r="S30" s="668" t="e">
        <f t="shared" si="12"/>
        <v>#N/A</v>
      </c>
      <c r="T30" s="667" t="s">
        <v>14</v>
      </c>
      <c r="U30" s="668" t="e">
        <f t="shared" si="13"/>
        <v>#N/A</v>
      </c>
      <c r="V30" s="667" t="s">
        <v>14</v>
      </c>
      <c r="W30" s="668" t="e">
        <f t="shared" si="14"/>
        <v>#N/A</v>
      </c>
      <c r="X30" s="1265"/>
      <c r="Y30" s="3474"/>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74"/>
      <c r="Q31" s="530" t="str">
        <f t="shared" si="11"/>
        <v>是否封闭</v>
      </c>
      <c r="R31" s="664" t="s">
        <v>14</v>
      </c>
      <c r="S31" s="665">
        <f t="shared" si="12"/>
        <v>100</v>
      </c>
      <c r="T31" s="664" t="s">
        <v>14</v>
      </c>
      <c r="U31" s="665">
        <f t="shared" si="13"/>
        <v>100</v>
      </c>
      <c r="V31" s="664" t="s">
        <v>14</v>
      </c>
      <c r="W31" s="665">
        <f t="shared" si="14"/>
        <v>100</v>
      </c>
      <c r="X31" s="666"/>
      <c r="Y31" s="347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74" t="s">
        <v>1696</v>
      </c>
      <c r="Q32" s="1263">
        <f t="shared" si="11"/>
        <v>111</v>
      </c>
      <c r="R32" s="667" t="s">
        <v>14</v>
      </c>
      <c r="S32" s="668">
        <f t="shared" si="12"/>
        <v>100</v>
      </c>
      <c r="T32" s="667" t="s">
        <v>14</v>
      </c>
      <c r="U32" s="668">
        <f t="shared" si="13"/>
        <v>100</v>
      </c>
      <c r="V32" s="667" t="s">
        <v>14</v>
      </c>
      <c r="W32" s="668">
        <f t="shared" si="14"/>
        <v>100</v>
      </c>
      <c r="X32" s="1265"/>
      <c r="Y32" s="3474"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74"/>
      <c r="Q33" s="1263">
        <f t="shared" si="11"/>
        <v>111</v>
      </c>
      <c r="R33" s="667" t="s">
        <v>14</v>
      </c>
      <c r="S33" s="668">
        <f t="shared" si="12"/>
        <v>100</v>
      </c>
      <c r="T33" s="667" t="s">
        <v>14</v>
      </c>
      <c r="U33" s="668">
        <f t="shared" si="13"/>
        <v>100</v>
      </c>
      <c r="V33" s="667" t="s">
        <v>14</v>
      </c>
      <c r="W33" s="668">
        <f t="shared" si="14"/>
        <v>100</v>
      </c>
      <c r="X33" s="1265"/>
      <c r="Y33" s="3474"/>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74"/>
      <c r="Q34" s="1263">
        <f t="shared" si="11"/>
        <v>111</v>
      </c>
      <c r="R34" s="667" t="s">
        <v>14</v>
      </c>
      <c r="S34" s="668">
        <f t="shared" si="12"/>
        <v>100</v>
      </c>
      <c r="T34" s="667" t="s">
        <v>14</v>
      </c>
      <c r="U34" s="668">
        <f t="shared" si="13"/>
        <v>100</v>
      </c>
      <c r="V34" s="667" t="s">
        <v>14</v>
      </c>
      <c r="W34" s="668">
        <f t="shared" si="14"/>
        <v>100</v>
      </c>
      <c r="X34" s="1265"/>
      <c r="Y34" s="3474"/>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468" t="str">
        <f>A35</f>
        <v>成交单价（元/平方米）</v>
      </c>
      <c r="Q35" s="3468"/>
      <c r="R35" s="3463">
        <f>E35</f>
        <v>0</v>
      </c>
      <c r="S35" s="3463"/>
      <c r="T35" s="3463">
        <f>G35</f>
        <v>0</v>
      </c>
      <c r="U35" s="3463"/>
      <c r="V35" s="3463">
        <f>I35</f>
        <v>0</v>
      </c>
      <c r="W35" s="3463"/>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468" t="str">
        <f>A36</f>
        <v>比较价值（元/平方米）</v>
      </c>
      <c r="Q36" s="3468"/>
      <c r="R36" s="3463" t="e">
        <f>IF(F1="售价",ROUND(PRODUCT(R35,AA7:AA34),0),ROUND(PRODUCT(R35,AA7:AA34),1))</f>
        <v>#DIV/0!</v>
      </c>
      <c r="S36" s="3463"/>
      <c r="T36" s="3463" t="e">
        <f>IF(F1="售价",ROUND(PRODUCT(T35,AB7:AB34),0),ROUND(PRODUCT(T35,AB7:AB34),1))</f>
        <v>#DIV/0!</v>
      </c>
      <c r="U36" s="3463"/>
      <c r="V36" s="3463" t="e">
        <f>IF(F1="售价",ROUND(PRODUCT(V35,AC7:AC34),0),ROUND(PRODUCT(V35,AC7:AC34),1))</f>
        <v>#DIV/0!</v>
      </c>
      <c r="W36" s="3463"/>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465" t="str">
        <f>A37</f>
        <v>估价对象XX用房的比较价值（楼面单价，元/平方米）</v>
      </c>
      <c r="Q37" s="3466"/>
      <c r="R37" s="3494" t="e">
        <f>IF(F1="售价",ROUND(IF(D36="简单平均",AVERAGE(R36:W36),R36*F36+T36*H36+V36*J36),0),ROUND(IF(D36="简单平均",AVERAGE(R36:V36),R36*F36+T36*H36+V36*J36),1))</f>
        <v>#DIV/0!</v>
      </c>
      <c r="S37" s="3494"/>
      <c r="T37" s="3494"/>
      <c r="U37" s="3494"/>
      <c r="V37" s="3494"/>
      <c r="W37" s="3494"/>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2025-4</v>
      </c>
      <c r="D46" s="1104">
        <f>EDATE(C46,-1)</f>
        <v>45717</v>
      </c>
      <c r="E46" s="1104">
        <f t="shared" ref="E46:O46" si="16">EDATE(D46,-1)</f>
        <v>45689</v>
      </c>
      <c r="F46" s="1104">
        <f t="shared" si="16"/>
        <v>45658</v>
      </c>
      <c r="G46" s="1104">
        <f t="shared" si="16"/>
        <v>45627</v>
      </c>
      <c r="H46" s="1104">
        <f t="shared" si="16"/>
        <v>45597</v>
      </c>
      <c r="I46" s="1104">
        <f t="shared" si="16"/>
        <v>45566</v>
      </c>
      <c r="J46" s="1104">
        <f t="shared" si="16"/>
        <v>45536</v>
      </c>
      <c r="K46" s="1104">
        <f t="shared" si="16"/>
        <v>45505</v>
      </c>
      <c r="L46" s="1104">
        <f t="shared" si="16"/>
        <v>45474</v>
      </c>
      <c r="M46" s="1104">
        <f t="shared" si="16"/>
        <v>45444</v>
      </c>
      <c r="N46" s="1104">
        <f t="shared" si="16"/>
        <v>45413</v>
      </c>
      <c r="O46" s="1104">
        <f t="shared" si="16"/>
        <v>45383</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B65" sqref="B65:H66"/>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51" t="s">
        <v>1770</v>
      </c>
      <c r="D4" s="3452"/>
      <c r="E4" s="3453" t="s">
        <v>1771</v>
      </c>
      <c r="F4" s="3454"/>
      <c r="G4" s="3451" t="s">
        <v>1772</v>
      </c>
      <c r="H4" s="3452"/>
      <c r="I4" s="3451" t="s">
        <v>1773</v>
      </c>
      <c r="J4" s="3452"/>
      <c r="K4" s="537" t="s">
        <v>1774</v>
      </c>
      <c r="L4" s="2487"/>
      <c r="M4" s="2488"/>
      <c r="N4" s="2488"/>
      <c r="O4" s="2488"/>
      <c r="P4" s="3455" t="s">
        <v>1775</v>
      </c>
      <c r="Q4" s="3456"/>
      <c r="R4" s="3438" t="s">
        <v>1771</v>
      </c>
      <c r="S4" s="3439"/>
      <c r="T4" s="3438" t="s">
        <v>1772</v>
      </c>
      <c r="U4" s="3439"/>
      <c r="V4" s="3463" t="s">
        <v>1773</v>
      </c>
      <c r="W4" s="3463"/>
      <c r="X4" s="1265"/>
      <c r="Y4" s="3438" t="s">
        <v>1775</v>
      </c>
      <c r="Z4" s="3439"/>
      <c r="AA4" s="3433" t="s">
        <v>1771</v>
      </c>
      <c r="AB4" s="3434" t="s">
        <v>1772</v>
      </c>
      <c r="AC4" s="3433" t="s">
        <v>1773</v>
      </c>
    </row>
    <row r="5" spans="1:29" ht="15">
      <c r="A5" s="348"/>
      <c r="B5" s="349"/>
      <c r="C5" s="3444" t="s">
        <v>1673</v>
      </c>
      <c r="D5" s="3445"/>
      <c r="E5" s="3442" t="s">
        <v>1674</v>
      </c>
      <c r="F5" s="3443"/>
      <c r="G5" s="3444" t="s">
        <v>1675</v>
      </c>
      <c r="H5" s="3445"/>
      <c r="I5" s="3444" t="s">
        <v>1676</v>
      </c>
      <c r="J5" s="3445"/>
      <c r="K5" s="537"/>
      <c r="L5" s="2487"/>
      <c r="M5" s="2488"/>
      <c r="N5" s="2488"/>
      <c r="O5" s="2488"/>
      <c r="P5" s="3457"/>
      <c r="Q5" s="3458"/>
      <c r="R5" s="3440"/>
      <c r="S5" s="3441"/>
      <c r="T5" s="3440"/>
      <c r="U5" s="3441"/>
      <c r="V5" s="3463"/>
      <c r="W5" s="3463"/>
      <c r="X5" s="1265"/>
      <c r="Y5" s="3440"/>
      <c r="Z5" s="3441"/>
      <c r="AA5" s="3434"/>
      <c r="AB5" s="3434"/>
      <c r="AC5" s="3434"/>
    </row>
    <row r="6" spans="1:29" ht="15.75" thickBot="1">
      <c r="A6" s="350"/>
      <c r="B6" s="351"/>
      <c r="C6" s="3446" t="s">
        <v>1677</v>
      </c>
      <c r="D6" s="3447"/>
      <c r="E6" s="3448" t="s">
        <v>1677</v>
      </c>
      <c r="F6" s="3449"/>
      <c r="G6" s="3446" t="s">
        <v>1677</v>
      </c>
      <c r="H6" s="3447"/>
      <c r="I6" s="3446" t="s">
        <v>1677</v>
      </c>
      <c r="J6" s="3447"/>
      <c r="K6" s="537" t="s">
        <v>1678</v>
      </c>
      <c r="L6" s="2487"/>
      <c r="M6" s="2488"/>
      <c r="N6" s="2488"/>
      <c r="O6" s="2488"/>
      <c r="P6" s="3459"/>
      <c r="Q6" s="3460"/>
      <c r="R6" s="3440"/>
      <c r="S6" s="3441"/>
      <c r="T6" s="3461"/>
      <c r="U6" s="3462"/>
      <c r="V6" s="3463"/>
      <c r="W6" s="3463"/>
      <c r="X6" s="1265"/>
      <c r="Y6" s="3461"/>
      <c r="Z6" s="3462"/>
      <c r="AA6" s="3435"/>
      <c r="AB6" s="3435"/>
      <c r="AC6" s="3435"/>
    </row>
    <row r="7" spans="1:29" s="102" customFormat="1" ht="15.75" thickBot="1">
      <c r="A7" s="352" t="s">
        <v>1679</v>
      </c>
      <c r="B7" s="353"/>
      <c r="C7" s="354">
        <f>'数据-取费表'!B2</f>
        <v>45748</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36" t="s">
        <v>1680</v>
      </c>
      <c r="Q7" s="3464"/>
      <c r="R7" s="664" t="s">
        <v>14</v>
      </c>
      <c r="S7" s="665">
        <f t="shared" ref="S7:S15" si="0">F7</f>
        <v>0</v>
      </c>
      <c r="T7" s="664" t="s">
        <v>14</v>
      </c>
      <c r="U7" s="665">
        <f t="shared" ref="U7:U15" si="1">H7</f>
        <v>0</v>
      </c>
      <c r="V7" s="664" t="s">
        <v>14</v>
      </c>
      <c r="W7" s="665">
        <f t="shared" ref="W7:W15" si="2">J7</f>
        <v>0</v>
      </c>
      <c r="X7" s="666"/>
      <c r="Y7" s="3436" t="s">
        <v>1680</v>
      </c>
      <c r="Z7" s="3437"/>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36" t="s">
        <v>1683</v>
      </c>
      <c r="Q8" s="3437"/>
      <c r="R8" s="664" t="s">
        <v>14</v>
      </c>
      <c r="S8" s="665">
        <f t="shared" si="0"/>
        <v>0</v>
      </c>
      <c r="T8" s="664" t="s">
        <v>14</v>
      </c>
      <c r="U8" s="665">
        <f t="shared" si="1"/>
        <v>0</v>
      </c>
      <c r="V8" s="664" t="s">
        <v>14</v>
      </c>
      <c r="W8" s="665">
        <f t="shared" si="2"/>
        <v>0</v>
      </c>
      <c r="X8" s="666"/>
      <c r="Y8" s="3436" t="s">
        <v>1683</v>
      </c>
      <c r="Z8" s="3437"/>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68" t="s">
        <v>1686</v>
      </c>
      <c r="Q9" s="530" t="str">
        <f t="shared" ref="Q9:Q15" si="6">B9</f>
        <v>用途</v>
      </c>
      <c r="R9" s="664" t="s">
        <v>14</v>
      </c>
      <c r="S9" s="665">
        <f t="shared" si="0"/>
        <v>100</v>
      </c>
      <c r="T9" s="664" t="s">
        <v>14</v>
      </c>
      <c r="U9" s="665">
        <f t="shared" si="1"/>
        <v>100</v>
      </c>
      <c r="V9" s="664" t="s">
        <v>14</v>
      </c>
      <c r="W9" s="665">
        <f t="shared" si="2"/>
        <v>100</v>
      </c>
      <c r="X9" s="666"/>
      <c r="Y9" s="336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130</v>
      </c>
      <c r="G10" s="402"/>
      <c r="H10" s="119">
        <f>ROUND(100/'数据-取费表'!G16,0)</f>
        <v>130</v>
      </c>
      <c r="I10" s="402"/>
      <c r="J10" s="119">
        <f>ROUND(100/'数据-取费表'!G16,0)</f>
        <v>130</v>
      </c>
      <c r="K10" s="592"/>
      <c r="L10" s="2490"/>
      <c r="M10" s="2491"/>
      <c r="N10" s="2491"/>
      <c r="O10" s="2542"/>
      <c r="P10" s="3468"/>
      <c r="Q10" s="530" t="str">
        <f t="shared" si="6"/>
        <v>土地使用年限（年）</v>
      </c>
      <c r="R10" s="664" t="s">
        <v>14</v>
      </c>
      <c r="S10" s="665">
        <f t="shared" si="0"/>
        <v>130</v>
      </c>
      <c r="T10" s="664" t="s">
        <v>14</v>
      </c>
      <c r="U10" s="665">
        <f t="shared" si="1"/>
        <v>130</v>
      </c>
      <c r="V10" s="664" t="s">
        <v>14</v>
      </c>
      <c r="W10" s="665">
        <f t="shared" si="2"/>
        <v>130</v>
      </c>
      <c r="X10" s="666"/>
      <c r="Y10" s="3361"/>
      <c r="Z10" s="50" t="str">
        <f t="shared" si="7"/>
        <v>土地使用年限（年）</v>
      </c>
      <c r="AA10" s="50">
        <f t="shared" si="3"/>
        <v>0.76923076923076927</v>
      </c>
      <c r="AB10" s="50">
        <f t="shared" si="4"/>
        <v>0.76923076923076927</v>
      </c>
      <c r="AC10" s="50">
        <f t="shared" si="5"/>
        <v>0.76923076923076927</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68"/>
      <c r="Q11" s="530" t="str">
        <f t="shared" si="6"/>
        <v>容积率</v>
      </c>
      <c r="R11" s="664" t="s">
        <v>14</v>
      </c>
      <c r="S11" s="665" t="e">
        <f t="shared" si="0"/>
        <v>#N/A</v>
      </c>
      <c r="T11" s="664" t="s">
        <v>14</v>
      </c>
      <c r="U11" s="665" t="e">
        <f t="shared" si="1"/>
        <v>#N/A</v>
      </c>
      <c r="V11" s="664" t="s">
        <v>14</v>
      </c>
      <c r="W11" s="665" t="e">
        <f t="shared" si="2"/>
        <v>#N/A</v>
      </c>
      <c r="X11" s="666"/>
      <c r="Y11" s="336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68"/>
      <c r="Q12" s="530" t="str">
        <f t="shared" si="6"/>
        <v>配建</v>
      </c>
      <c r="R12" s="664" t="s">
        <v>14</v>
      </c>
      <c r="S12" s="665">
        <f t="shared" si="0"/>
        <v>100</v>
      </c>
      <c r="T12" s="664" t="s">
        <v>14</v>
      </c>
      <c r="U12" s="665">
        <f t="shared" si="1"/>
        <v>100</v>
      </c>
      <c r="V12" s="664" t="s">
        <v>14</v>
      </c>
      <c r="W12" s="665">
        <f t="shared" si="2"/>
        <v>100</v>
      </c>
      <c r="X12" s="666"/>
      <c r="Y12" s="336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68"/>
      <c r="Q13" s="530">
        <f t="shared" si="6"/>
        <v>111</v>
      </c>
      <c r="R13" s="664" t="s">
        <v>14</v>
      </c>
      <c r="S13" s="665">
        <f t="shared" si="0"/>
        <v>100</v>
      </c>
      <c r="T13" s="664" t="s">
        <v>14</v>
      </c>
      <c r="U13" s="665">
        <f t="shared" si="1"/>
        <v>100</v>
      </c>
      <c r="V13" s="664" t="s">
        <v>14</v>
      </c>
      <c r="W13" s="665">
        <f t="shared" si="2"/>
        <v>100</v>
      </c>
      <c r="X13" s="666"/>
      <c r="Y13" s="3361"/>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68"/>
      <c r="Q14" s="530">
        <f t="shared" si="6"/>
        <v>111</v>
      </c>
      <c r="R14" s="664" t="s">
        <v>14</v>
      </c>
      <c r="S14" s="665">
        <f t="shared" si="0"/>
        <v>100</v>
      </c>
      <c r="T14" s="664" t="s">
        <v>14</v>
      </c>
      <c r="U14" s="665">
        <f t="shared" si="1"/>
        <v>100</v>
      </c>
      <c r="V14" s="664" t="s">
        <v>14</v>
      </c>
      <c r="W14" s="665">
        <f t="shared" si="2"/>
        <v>100</v>
      </c>
      <c r="X14" s="666"/>
      <c r="Y14" s="3361"/>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69" t="s">
        <v>1691</v>
      </c>
      <c r="Q15" s="1263" t="str">
        <f t="shared" si="6"/>
        <v>居住社区成熟度</v>
      </c>
      <c r="R15" s="667" t="s">
        <v>14</v>
      </c>
      <c r="S15" s="668">
        <f t="shared" si="0"/>
        <v>100</v>
      </c>
      <c r="T15" s="667" t="s">
        <v>14</v>
      </c>
      <c r="U15" s="668">
        <f t="shared" si="1"/>
        <v>100</v>
      </c>
      <c r="V15" s="667" t="s">
        <v>14</v>
      </c>
      <c r="W15" s="668">
        <f t="shared" si="2"/>
        <v>100</v>
      </c>
      <c r="X15" s="1265"/>
      <c r="Y15" s="3469"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70"/>
      <c r="Q16" s="1263"/>
      <c r="R16" s="667"/>
      <c r="S16" s="668"/>
      <c r="T16" s="667"/>
      <c r="U16" s="668"/>
      <c r="V16" s="667"/>
      <c r="W16" s="668"/>
      <c r="X16" s="1265"/>
      <c r="Y16" s="3470"/>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70"/>
      <c r="Q17" s="1263" t="str">
        <f>B17</f>
        <v>商业繁华度</v>
      </c>
      <c r="R17" s="667" t="s">
        <v>14</v>
      </c>
      <c r="S17" s="668">
        <f>F17</f>
        <v>100</v>
      </c>
      <c r="T17" s="667" t="s">
        <v>14</v>
      </c>
      <c r="U17" s="668">
        <f>H17</f>
        <v>100</v>
      </c>
      <c r="V17" s="667" t="s">
        <v>14</v>
      </c>
      <c r="W17" s="668">
        <f>J17</f>
        <v>100</v>
      </c>
      <c r="X17" s="1265"/>
      <c r="Y17" s="3470"/>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70"/>
      <c r="Q18" s="1263"/>
      <c r="R18" s="667"/>
      <c r="S18" s="668"/>
      <c r="T18" s="667"/>
      <c r="U18" s="668"/>
      <c r="V18" s="667"/>
      <c r="W18" s="668"/>
      <c r="X18" s="1265"/>
      <c r="Y18" s="3470"/>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70"/>
      <c r="Q19" s="1263" t="str">
        <f>B19</f>
        <v>办公集聚程度</v>
      </c>
      <c r="R19" s="667" t="s">
        <v>14</v>
      </c>
      <c r="S19" s="668">
        <f>F19</f>
        <v>100</v>
      </c>
      <c r="T19" s="667" t="s">
        <v>14</v>
      </c>
      <c r="U19" s="668">
        <f>H19</f>
        <v>100</v>
      </c>
      <c r="V19" s="667" t="s">
        <v>14</v>
      </c>
      <c r="W19" s="668">
        <f>J19</f>
        <v>100</v>
      </c>
      <c r="X19" s="1265"/>
      <c r="Y19" s="3470"/>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70"/>
      <c r="Q20" s="1263"/>
      <c r="R20" s="667"/>
      <c r="S20" s="668"/>
      <c r="T20" s="667"/>
      <c r="U20" s="668"/>
      <c r="V20" s="667"/>
      <c r="W20" s="668"/>
      <c r="X20" s="1265"/>
      <c r="Y20" s="3470"/>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70"/>
      <c r="Q21" s="1263" t="str">
        <f>B21</f>
        <v>交通便捷度</v>
      </c>
      <c r="R21" s="667" t="s">
        <v>14</v>
      </c>
      <c r="S21" s="668">
        <f>F21</f>
        <v>100</v>
      </c>
      <c r="T21" s="667" t="s">
        <v>14</v>
      </c>
      <c r="U21" s="668">
        <f>H21</f>
        <v>100</v>
      </c>
      <c r="V21" s="667" t="s">
        <v>14</v>
      </c>
      <c r="W21" s="668">
        <f>J21</f>
        <v>100</v>
      </c>
      <c r="X21" s="1265"/>
      <c r="Y21" s="3470"/>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70"/>
      <c r="Q22" s="1263"/>
      <c r="R22" s="667"/>
      <c r="S22" s="668"/>
      <c r="T22" s="667"/>
      <c r="U22" s="668"/>
      <c r="V22" s="667"/>
      <c r="W22" s="668"/>
      <c r="X22" s="1265"/>
      <c r="Y22" s="3470"/>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70"/>
      <c r="Q23" s="1263" t="str">
        <f t="shared" ref="Q23:Q37" si="8">B23</f>
        <v>区域土地利用方向</v>
      </c>
      <c r="R23" s="667" t="s">
        <v>14</v>
      </c>
      <c r="S23" s="668">
        <f>F23</f>
        <v>100</v>
      </c>
      <c r="T23" s="667" t="s">
        <v>14</v>
      </c>
      <c r="U23" s="668">
        <f>H23</f>
        <v>100</v>
      </c>
      <c r="V23" s="667" t="s">
        <v>14</v>
      </c>
      <c r="W23" s="668">
        <f>J23</f>
        <v>100</v>
      </c>
      <c r="X23" s="1265"/>
      <c r="Y23" s="3470"/>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70"/>
      <c r="Q24" s="1263"/>
      <c r="R24" s="667"/>
      <c r="S24" s="668"/>
      <c r="T24" s="667"/>
      <c r="U24" s="668"/>
      <c r="V24" s="667"/>
      <c r="W24" s="668"/>
      <c r="X24" s="1265"/>
      <c r="Y24" s="3470"/>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70"/>
      <c r="Q25" s="1263" t="str">
        <f t="shared" si="8"/>
        <v>自然及人文环境状况</v>
      </c>
      <c r="R25" s="667" t="s">
        <v>14</v>
      </c>
      <c r="S25" s="668">
        <f>F25</f>
        <v>100</v>
      </c>
      <c r="T25" s="667" t="s">
        <v>14</v>
      </c>
      <c r="U25" s="668">
        <f>H25</f>
        <v>100</v>
      </c>
      <c r="V25" s="667" t="s">
        <v>14</v>
      </c>
      <c r="W25" s="668">
        <f>J25</f>
        <v>100</v>
      </c>
      <c r="X25" s="1265"/>
      <c r="Y25" s="3470"/>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70"/>
      <c r="Q26" s="1263"/>
      <c r="R26" s="667"/>
      <c r="S26" s="668"/>
      <c r="T26" s="667"/>
      <c r="U26" s="668"/>
      <c r="V26" s="667"/>
      <c r="W26" s="668"/>
      <c r="X26" s="1265"/>
      <c r="Y26" s="3470"/>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70"/>
      <c r="Q27" s="530" t="str">
        <f t="shared" si="8"/>
        <v>公共配套设施</v>
      </c>
      <c r="R27" s="664" t="s">
        <v>14</v>
      </c>
      <c r="S27" s="665">
        <f>F27</f>
        <v>100</v>
      </c>
      <c r="T27" s="664" t="s">
        <v>14</v>
      </c>
      <c r="U27" s="665">
        <f>H27</f>
        <v>100</v>
      </c>
      <c r="V27" s="664" t="s">
        <v>14</v>
      </c>
      <c r="W27" s="665">
        <f>J27</f>
        <v>100</v>
      </c>
      <c r="X27" s="666"/>
      <c r="Y27" s="3470"/>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70"/>
      <c r="Q28" s="530"/>
      <c r="R28" s="664"/>
      <c r="S28" s="665"/>
      <c r="T28" s="664"/>
      <c r="U28" s="665"/>
      <c r="V28" s="664"/>
      <c r="W28" s="665"/>
      <c r="X28" s="666"/>
      <c r="Y28" s="3470"/>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70"/>
      <c r="Q29" s="530" t="str">
        <f t="shared" ref="Q29" si="9">B29</f>
        <v>基础设施水平</v>
      </c>
      <c r="R29" s="664" t="s">
        <v>14</v>
      </c>
      <c r="S29" s="665">
        <f>F29</f>
        <v>100</v>
      </c>
      <c r="T29" s="664" t="s">
        <v>14</v>
      </c>
      <c r="U29" s="665">
        <f>H29</f>
        <v>100</v>
      </c>
      <c r="V29" s="664" t="s">
        <v>14</v>
      </c>
      <c r="W29" s="665">
        <f>J29</f>
        <v>100</v>
      </c>
      <c r="X29" s="666"/>
      <c r="Y29" s="3470"/>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70"/>
      <c r="Q30" s="530"/>
      <c r="R30" s="664"/>
      <c r="S30" s="665"/>
      <c r="T30" s="664"/>
      <c r="U30" s="665"/>
      <c r="V30" s="664"/>
      <c r="W30" s="665"/>
      <c r="X30" s="666"/>
      <c r="Y30" s="3470"/>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70"/>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70"/>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70"/>
      <c r="Q32" s="1263" t="str">
        <f t="shared" si="8"/>
        <v>毗邻道路的类型与等级</v>
      </c>
      <c r="R32" s="667" t="s">
        <v>14</v>
      </c>
      <c r="S32" s="668">
        <f t="shared" si="10"/>
        <v>100</v>
      </c>
      <c r="T32" s="667" t="s">
        <v>14</v>
      </c>
      <c r="U32" s="668">
        <f t="shared" si="11"/>
        <v>100</v>
      </c>
      <c r="V32" s="667" t="s">
        <v>14</v>
      </c>
      <c r="W32" s="668">
        <f t="shared" si="12"/>
        <v>100</v>
      </c>
      <c r="X32" s="1265"/>
      <c r="Y32" s="3470"/>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70"/>
      <c r="Q33" s="1263"/>
      <c r="R33" s="667"/>
      <c r="S33" s="668"/>
      <c r="T33" s="667"/>
      <c r="U33" s="668"/>
      <c r="V33" s="667"/>
      <c r="W33" s="668"/>
      <c r="X33" s="1265"/>
      <c r="Y33" s="3470"/>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70"/>
      <c r="Q34" s="1263" t="str">
        <f t="shared" si="8"/>
        <v>土地级别</v>
      </c>
      <c r="R34" s="667" t="s">
        <v>14</v>
      </c>
      <c r="S34" s="668">
        <f t="shared" si="10"/>
        <v>100</v>
      </c>
      <c r="T34" s="667" t="s">
        <v>14</v>
      </c>
      <c r="U34" s="668">
        <f t="shared" si="11"/>
        <v>100</v>
      </c>
      <c r="V34" s="667" t="s">
        <v>14</v>
      </c>
      <c r="W34" s="668">
        <f t="shared" si="12"/>
        <v>100</v>
      </c>
      <c r="X34" s="1265"/>
      <c r="Y34" s="3470"/>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70"/>
      <c r="Q35" s="1263">
        <f t="shared" si="8"/>
        <v>111</v>
      </c>
      <c r="R35" s="667" t="s">
        <v>14</v>
      </c>
      <c r="S35" s="668">
        <f t="shared" si="10"/>
        <v>100</v>
      </c>
      <c r="T35" s="667" t="s">
        <v>14</v>
      </c>
      <c r="U35" s="668">
        <f t="shared" si="11"/>
        <v>100</v>
      </c>
      <c r="V35" s="667" t="s">
        <v>14</v>
      </c>
      <c r="W35" s="668">
        <f t="shared" si="12"/>
        <v>100</v>
      </c>
      <c r="X35" s="1265"/>
      <c r="Y35" s="3470"/>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93" t="s">
        <v>1696</v>
      </c>
      <c r="Q36" s="1263">
        <f t="shared" si="8"/>
        <v>111</v>
      </c>
      <c r="R36" s="667" t="s">
        <v>14</v>
      </c>
      <c r="S36" s="668">
        <f t="shared" si="10"/>
        <v>100</v>
      </c>
      <c r="T36" s="667" t="s">
        <v>14</v>
      </c>
      <c r="U36" s="668">
        <f t="shared" si="11"/>
        <v>100</v>
      </c>
      <c r="V36" s="667" t="s">
        <v>14</v>
      </c>
      <c r="W36" s="668">
        <f t="shared" si="12"/>
        <v>100</v>
      </c>
      <c r="X36" s="1265"/>
      <c r="Y36" s="3474"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74"/>
      <c r="Q37" s="1263">
        <f t="shared" si="8"/>
        <v>111</v>
      </c>
      <c r="R37" s="669" t="s">
        <v>14</v>
      </c>
      <c r="S37" s="670">
        <f t="shared" si="10"/>
        <v>100</v>
      </c>
      <c r="T37" s="669" t="s">
        <v>14</v>
      </c>
      <c r="U37" s="670">
        <f t="shared" si="11"/>
        <v>100</v>
      </c>
      <c r="V37" s="669" t="s">
        <v>14</v>
      </c>
      <c r="W37" s="670">
        <f t="shared" si="12"/>
        <v>100</v>
      </c>
      <c r="X37" s="671"/>
      <c r="Y37" s="3474"/>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74"/>
      <c r="Q38" s="1263" t="str">
        <f>B38</f>
        <v>宗地面积</v>
      </c>
      <c r="R38" s="667" t="s">
        <v>14</v>
      </c>
      <c r="S38" s="668" t="e">
        <f t="shared" si="10"/>
        <v>#N/A</v>
      </c>
      <c r="T38" s="667" t="s">
        <v>14</v>
      </c>
      <c r="U38" s="668" t="e">
        <f t="shared" si="11"/>
        <v>#N/A</v>
      </c>
      <c r="V38" s="667" t="s">
        <v>14</v>
      </c>
      <c r="W38" s="668" t="e">
        <f t="shared" si="12"/>
        <v>#N/A</v>
      </c>
      <c r="X38" s="1265"/>
      <c r="Y38" s="3474"/>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74"/>
      <c r="Q39" s="1263" t="str">
        <f t="shared" ref="Q39:Q45" si="14">B39</f>
        <v>宗地形状</v>
      </c>
      <c r="R39" s="667" t="s">
        <v>14</v>
      </c>
      <c r="S39" s="668">
        <f t="shared" si="10"/>
        <v>100</v>
      </c>
      <c r="T39" s="667" t="s">
        <v>14</v>
      </c>
      <c r="U39" s="668">
        <f t="shared" si="11"/>
        <v>100</v>
      </c>
      <c r="V39" s="667" t="s">
        <v>14</v>
      </c>
      <c r="W39" s="668">
        <f t="shared" si="12"/>
        <v>100</v>
      </c>
      <c r="X39" s="1265"/>
      <c r="Y39" s="3474"/>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74"/>
      <c r="Q40" s="1263" t="str">
        <f t="shared" si="14"/>
        <v>临街宽度及深度</v>
      </c>
      <c r="R40" s="667" t="s">
        <v>14</v>
      </c>
      <c r="S40" s="668">
        <f t="shared" si="10"/>
        <v>100</v>
      </c>
      <c r="T40" s="667" t="s">
        <v>14</v>
      </c>
      <c r="U40" s="668">
        <f t="shared" si="11"/>
        <v>100</v>
      </c>
      <c r="V40" s="667" t="s">
        <v>14</v>
      </c>
      <c r="W40" s="668">
        <f t="shared" si="12"/>
        <v>100</v>
      </c>
      <c r="X40" s="1265"/>
      <c r="Y40" s="3474"/>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74"/>
      <c r="Q41" s="1263" t="str">
        <f t="shared" si="14"/>
        <v>宗地开发程度</v>
      </c>
      <c r="R41" s="664" t="s">
        <v>14</v>
      </c>
      <c r="S41" s="665">
        <f t="shared" si="10"/>
        <v>100</v>
      </c>
      <c r="T41" s="664" t="s">
        <v>14</v>
      </c>
      <c r="U41" s="665">
        <f t="shared" si="11"/>
        <v>100</v>
      </c>
      <c r="V41" s="664" t="s">
        <v>14</v>
      </c>
      <c r="W41" s="665">
        <f t="shared" si="12"/>
        <v>100</v>
      </c>
      <c r="X41" s="666"/>
      <c r="Y41" s="3474"/>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74" t="s">
        <v>1696</v>
      </c>
      <c r="Q42" s="1263" t="str">
        <f t="shared" si="14"/>
        <v>工程地质条件</v>
      </c>
      <c r="R42" s="667" t="s">
        <v>14</v>
      </c>
      <c r="S42" s="668">
        <f t="shared" si="10"/>
        <v>100</v>
      </c>
      <c r="T42" s="667" t="s">
        <v>14</v>
      </c>
      <c r="U42" s="668">
        <f t="shared" si="11"/>
        <v>100</v>
      </c>
      <c r="V42" s="667" t="s">
        <v>14</v>
      </c>
      <c r="W42" s="668">
        <f t="shared" si="12"/>
        <v>100</v>
      </c>
      <c r="X42" s="1265"/>
      <c r="Y42" s="3474"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74"/>
      <c r="Q43" s="1263">
        <f t="shared" si="14"/>
        <v>111</v>
      </c>
      <c r="R43" s="667" t="s">
        <v>14</v>
      </c>
      <c r="S43" s="668">
        <f t="shared" si="10"/>
        <v>100</v>
      </c>
      <c r="T43" s="667" t="s">
        <v>14</v>
      </c>
      <c r="U43" s="668">
        <f t="shared" si="11"/>
        <v>100</v>
      </c>
      <c r="V43" s="667" t="s">
        <v>14</v>
      </c>
      <c r="W43" s="668">
        <f t="shared" si="12"/>
        <v>100</v>
      </c>
      <c r="X43" s="1265"/>
      <c r="Y43" s="3474"/>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74"/>
      <c r="Q44" s="1263">
        <f t="shared" si="14"/>
        <v>111</v>
      </c>
      <c r="R44" s="667" t="s">
        <v>14</v>
      </c>
      <c r="S44" s="668">
        <f t="shared" si="10"/>
        <v>100</v>
      </c>
      <c r="T44" s="667" t="s">
        <v>14</v>
      </c>
      <c r="U44" s="668">
        <f t="shared" si="11"/>
        <v>100</v>
      </c>
      <c r="V44" s="667" t="s">
        <v>14</v>
      </c>
      <c r="W44" s="668">
        <f t="shared" si="12"/>
        <v>100</v>
      </c>
      <c r="X44" s="1265"/>
      <c r="Y44" s="3474"/>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74"/>
      <c r="Q45" s="1263">
        <f t="shared" si="14"/>
        <v>111</v>
      </c>
      <c r="R45" s="669" t="s">
        <v>14</v>
      </c>
      <c r="S45" s="670">
        <f t="shared" si="10"/>
        <v>100</v>
      </c>
      <c r="T45" s="669" t="s">
        <v>14</v>
      </c>
      <c r="U45" s="670">
        <f t="shared" si="11"/>
        <v>100</v>
      </c>
      <c r="V45" s="669" t="s">
        <v>14</v>
      </c>
      <c r="W45" s="670">
        <f t="shared" si="12"/>
        <v>100</v>
      </c>
      <c r="X45" s="671"/>
      <c r="Y45" s="3474"/>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468" t="str">
        <f>A46</f>
        <v>成交单价</v>
      </c>
      <c r="Q46" s="3468"/>
      <c r="R46" s="3463">
        <f>E46</f>
        <v>0</v>
      </c>
      <c r="S46" s="3463"/>
      <c r="T46" s="3463">
        <f>G46</f>
        <v>0</v>
      </c>
      <c r="U46" s="3463"/>
      <c r="V46" s="3463">
        <f>I46</f>
        <v>0</v>
      </c>
      <c r="W46" s="3463"/>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468" t="str">
        <f>A47</f>
        <v>比较价值（元/平方米）</v>
      </c>
      <c r="Q47" s="3468"/>
      <c r="R47" s="3495" t="e">
        <f>ROUND(PRODUCT(R46,AA7:AA45),0)</f>
        <v>#DIV/0!</v>
      </c>
      <c r="S47" s="3495"/>
      <c r="T47" s="3495" t="e">
        <f>ROUND(PRODUCT(T46,AB7:AB45),0)</f>
        <v>#DIV/0!</v>
      </c>
      <c r="U47" s="3495"/>
      <c r="V47" s="3495" t="e">
        <f>ROUND(PRODUCT(V46,AC7:AC45),0)</f>
        <v>#DIV/0!</v>
      </c>
      <c r="W47" s="3495"/>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465" t="str">
        <f>A48</f>
        <v>估价对象XX用房的比较价值（楼面单价，元/平方米）</v>
      </c>
      <c r="Q48" s="3466"/>
      <c r="R48" s="3496" t="e">
        <f>ROUND(IF(D47="简单平均",AVERAGE(R47:W47),R47*F47+T47*H47+V47*J47),0)</f>
        <v>#DIV/0!</v>
      </c>
      <c r="S48" s="3496"/>
      <c r="T48" s="3496"/>
      <c r="U48" s="3496"/>
      <c r="V48" s="3496"/>
      <c r="W48" s="3496"/>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51" t="s">
        <v>1887</v>
      </c>
      <c r="H55" s="3497"/>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12768.250000000011</v>
      </c>
      <c r="F56" s="833" t="e">
        <f t="shared" ref="F56:F64" si="15">ROUND(B56*E56/10000,0)</f>
        <v>#DIV/0!</v>
      </c>
      <c r="G56" s="3450"/>
      <c r="H56" s="3468"/>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0.6</v>
      </c>
      <c r="D57" s="891">
        <v>0.25</v>
      </c>
      <c r="E57" s="614"/>
      <c r="F57" s="833" t="e">
        <f t="shared" si="15"/>
        <v>#DIV/0!</v>
      </c>
      <c r="G57" s="2751" t="s">
        <v>1892</v>
      </c>
      <c r="H57" s="834" t="str">
        <f>项目基本情况!B37</f>
        <v>三级</v>
      </c>
      <c r="I57" s="838">
        <f>SUMIF(修正!A57:A68,H57,修正!B57:B68)</f>
        <v>0.6</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0.3</v>
      </c>
      <c r="D58" s="891">
        <v>0.25</v>
      </c>
      <c r="E58" s="614"/>
      <c r="F58" s="833" t="e">
        <f t="shared" si="15"/>
        <v>#DIV/0!</v>
      </c>
      <c r="G58" s="2752"/>
      <c r="H58" s="834" t="str">
        <f>项目基本情况!B37</f>
        <v>三级</v>
      </c>
      <c r="I58" s="838">
        <f>SUMIF(修正!A57:A68,H58,修正!C57:C68)</f>
        <v>0.3</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0.25</v>
      </c>
      <c r="D59" s="891">
        <v>0.25</v>
      </c>
      <c r="E59" s="614"/>
      <c r="F59" s="833" t="e">
        <f t="shared" si="15"/>
        <v>#DIV/0!</v>
      </c>
      <c r="G59" s="2752"/>
      <c r="H59" s="834" t="str">
        <f>项目基本情况!B37</f>
        <v>三级</v>
      </c>
      <c r="I59" s="838">
        <f>SUMIF(修正!A57:A68,H59,修正!D57:D68)</f>
        <v>0.25</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14298.869999999975</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0.15</v>
      </c>
      <c r="D63" s="891">
        <v>0.25</v>
      </c>
      <c r="E63" s="209">
        <f>'数据-汇总表'!E14</f>
        <v>0</v>
      </c>
      <c r="F63" s="833" t="e">
        <f t="shared" si="15"/>
        <v>#DIV/0!</v>
      </c>
      <c r="G63" s="1835" t="s">
        <v>1892</v>
      </c>
      <c r="H63" s="834" t="str">
        <f>项目基本情况!B37</f>
        <v>三级</v>
      </c>
      <c r="I63" s="838">
        <f>SUMIF(修正!A57:A68,H63,修正!G57:G68)</f>
        <v>0.15</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27067.119999999988</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2025-4-1</v>
      </c>
      <c r="D67" s="656">
        <f>EDATE(C67,-3)</f>
        <v>45658</v>
      </c>
      <c r="E67" s="656">
        <f>EDATE(D67,-3)</f>
        <v>45566</v>
      </c>
      <c r="F67" s="656">
        <f t="shared" ref="F67:O67" si="18">EDATE(E67,-3)</f>
        <v>45474</v>
      </c>
      <c r="G67" s="656">
        <f t="shared" si="18"/>
        <v>45383</v>
      </c>
      <c r="H67" s="656">
        <f t="shared" si="18"/>
        <v>45292</v>
      </c>
      <c r="I67" s="656">
        <f t="shared" si="18"/>
        <v>45200</v>
      </c>
      <c r="J67" s="656">
        <f t="shared" si="18"/>
        <v>45108</v>
      </c>
      <c r="K67" s="656">
        <f t="shared" si="18"/>
        <v>45017</v>
      </c>
      <c r="L67" s="656">
        <f t="shared" si="18"/>
        <v>44927</v>
      </c>
      <c r="M67" s="656">
        <f t="shared" si="18"/>
        <v>44835</v>
      </c>
      <c r="N67" s="656">
        <f t="shared" si="18"/>
        <v>44743</v>
      </c>
      <c r="O67" s="656">
        <f t="shared" si="18"/>
        <v>44652</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51" t="s">
        <v>1770</v>
      </c>
      <c r="D4" s="3452"/>
      <c r="E4" s="3453" t="s">
        <v>1771</v>
      </c>
      <c r="F4" s="3454"/>
      <c r="G4" s="3451" t="s">
        <v>1772</v>
      </c>
      <c r="H4" s="3452"/>
      <c r="I4" s="3451" t="s">
        <v>1773</v>
      </c>
      <c r="J4" s="3452"/>
      <c r="K4" s="537" t="s">
        <v>1774</v>
      </c>
      <c r="L4" s="2487"/>
      <c r="M4" s="2488"/>
      <c r="N4" s="2488"/>
      <c r="O4" s="2488"/>
      <c r="P4" s="3455" t="s">
        <v>1775</v>
      </c>
      <c r="Q4" s="3456"/>
      <c r="R4" s="3438" t="s">
        <v>1771</v>
      </c>
      <c r="S4" s="3439"/>
      <c r="T4" s="3438" t="s">
        <v>1772</v>
      </c>
      <c r="U4" s="3439"/>
      <c r="V4" s="3463" t="s">
        <v>1773</v>
      </c>
      <c r="W4" s="3463"/>
      <c r="X4" s="1265"/>
      <c r="Y4" s="3438" t="s">
        <v>1775</v>
      </c>
      <c r="Z4" s="3439"/>
      <c r="AA4" s="3433" t="s">
        <v>1771</v>
      </c>
      <c r="AB4" s="3434" t="s">
        <v>1772</v>
      </c>
      <c r="AC4" s="3433" t="s">
        <v>1773</v>
      </c>
    </row>
    <row r="5" spans="1:29" ht="15">
      <c r="A5" s="348"/>
      <c r="B5" s="349"/>
      <c r="C5" s="3444" t="s">
        <v>1673</v>
      </c>
      <c r="D5" s="3445"/>
      <c r="E5" s="3442" t="s">
        <v>1674</v>
      </c>
      <c r="F5" s="3443"/>
      <c r="G5" s="3444" t="s">
        <v>1675</v>
      </c>
      <c r="H5" s="3445"/>
      <c r="I5" s="3444" t="s">
        <v>1676</v>
      </c>
      <c r="J5" s="3445"/>
      <c r="K5" s="537"/>
      <c r="L5" s="2487"/>
      <c r="M5" s="2488"/>
      <c r="N5" s="2488"/>
      <c r="O5" s="2488"/>
      <c r="P5" s="3457"/>
      <c r="Q5" s="3458"/>
      <c r="R5" s="3440"/>
      <c r="S5" s="3441"/>
      <c r="T5" s="3440"/>
      <c r="U5" s="3441"/>
      <c r="V5" s="3463"/>
      <c r="W5" s="3463"/>
      <c r="X5" s="1265"/>
      <c r="Y5" s="3440"/>
      <c r="Z5" s="3441"/>
      <c r="AA5" s="3434"/>
      <c r="AB5" s="3434"/>
      <c r="AC5" s="3434"/>
    </row>
    <row r="6" spans="1:29" ht="15.75" thickBot="1">
      <c r="A6" s="350"/>
      <c r="B6" s="351"/>
      <c r="C6" s="3498" t="s">
        <v>1919</v>
      </c>
      <c r="D6" s="3499"/>
      <c r="E6" s="3500" t="s">
        <v>1919</v>
      </c>
      <c r="F6" s="3501"/>
      <c r="G6" s="3498" t="s">
        <v>1919</v>
      </c>
      <c r="H6" s="3499"/>
      <c r="I6" s="3498" t="s">
        <v>1919</v>
      </c>
      <c r="J6" s="3499"/>
      <c r="K6" s="537" t="s">
        <v>1678</v>
      </c>
      <c r="L6" s="2487"/>
      <c r="M6" s="2488"/>
      <c r="N6" s="2488"/>
      <c r="O6" s="2488"/>
      <c r="P6" s="3459"/>
      <c r="Q6" s="3460"/>
      <c r="R6" s="3440"/>
      <c r="S6" s="3441"/>
      <c r="T6" s="3461"/>
      <c r="U6" s="3462"/>
      <c r="V6" s="3463"/>
      <c r="W6" s="3463"/>
      <c r="X6" s="1265"/>
      <c r="Y6" s="3461"/>
      <c r="Z6" s="3462"/>
      <c r="AA6" s="3435"/>
      <c r="AB6" s="3435"/>
      <c r="AC6" s="3435"/>
    </row>
    <row r="7" spans="1:29" s="102" customFormat="1" ht="15.75" thickBot="1">
      <c r="A7" s="352" t="s">
        <v>1679</v>
      </c>
      <c r="B7" s="353"/>
      <c r="C7" s="354">
        <f>'数据-取费表'!B2</f>
        <v>45748</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36" t="s">
        <v>1680</v>
      </c>
      <c r="Q7" s="3464"/>
      <c r="R7" s="664" t="s">
        <v>14</v>
      </c>
      <c r="S7" s="665">
        <f t="shared" ref="S7:S15" si="0">F7</f>
        <v>0</v>
      </c>
      <c r="T7" s="664" t="s">
        <v>14</v>
      </c>
      <c r="U7" s="665">
        <f t="shared" ref="U7:U15" si="1">H7</f>
        <v>0</v>
      </c>
      <c r="V7" s="664" t="s">
        <v>14</v>
      </c>
      <c r="W7" s="665">
        <f t="shared" ref="W7:W15" si="2">J7</f>
        <v>0</v>
      </c>
      <c r="X7" s="666"/>
      <c r="Y7" s="3436" t="s">
        <v>1680</v>
      </c>
      <c r="Z7" s="3437"/>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36" t="s">
        <v>1683</v>
      </c>
      <c r="Q8" s="3437"/>
      <c r="R8" s="664" t="s">
        <v>14</v>
      </c>
      <c r="S8" s="665">
        <f t="shared" si="0"/>
        <v>0</v>
      </c>
      <c r="T8" s="664" t="s">
        <v>14</v>
      </c>
      <c r="U8" s="665">
        <f t="shared" si="1"/>
        <v>0</v>
      </c>
      <c r="V8" s="664" t="s">
        <v>14</v>
      </c>
      <c r="W8" s="665">
        <f t="shared" si="2"/>
        <v>0</v>
      </c>
      <c r="X8" s="666"/>
      <c r="Y8" s="3436" t="s">
        <v>1683</v>
      </c>
      <c r="Z8" s="3437"/>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68" t="s">
        <v>1686</v>
      </c>
      <c r="Q9" s="530" t="str">
        <f t="shared" ref="Q9:Q15" si="6">B9</f>
        <v>用途</v>
      </c>
      <c r="R9" s="664" t="s">
        <v>14</v>
      </c>
      <c r="S9" s="665">
        <f t="shared" si="0"/>
        <v>100</v>
      </c>
      <c r="T9" s="664" t="s">
        <v>14</v>
      </c>
      <c r="U9" s="665">
        <f t="shared" si="1"/>
        <v>100</v>
      </c>
      <c r="V9" s="664" t="s">
        <v>14</v>
      </c>
      <c r="W9" s="665">
        <f t="shared" si="2"/>
        <v>100</v>
      </c>
      <c r="X9" s="666"/>
      <c r="Y9" s="336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130</v>
      </c>
      <c r="G10" s="371"/>
      <c r="H10" s="119">
        <f>ROUND(100/'数据-取费表'!G16,0)</f>
        <v>130</v>
      </c>
      <c r="I10" s="371"/>
      <c r="J10" s="119">
        <f>ROUND(100/'数据-取费表'!G16,0)</f>
        <v>130</v>
      </c>
      <c r="K10" s="592"/>
      <c r="L10" s="2490"/>
      <c r="M10" s="2491"/>
      <c r="N10" s="2491"/>
      <c r="O10" s="2542"/>
      <c r="P10" s="3468"/>
      <c r="Q10" s="530" t="str">
        <f t="shared" si="6"/>
        <v>土地使用年限（年）</v>
      </c>
      <c r="R10" s="664" t="s">
        <v>14</v>
      </c>
      <c r="S10" s="665">
        <f t="shared" si="0"/>
        <v>130</v>
      </c>
      <c r="T10" s="664" t="s">
        <v>14</v>
      </c>
      <c r="U10" s="665">
        <f t="shared" si="1"/>
        <v>130</v>
      </c>
      <c r="V10" s="664" t="s">
        <v>14</v>
      </c>
      <c r="W10" s="665">
        <f t="shared" si="2"/>
        <v>130</v>
      </c>
      <c r="X10" s="666"/>
      <c r="Y10" s="3361"/>
      <c r="Z10" s="50" t="str">
        <f t="shared" si="7"/>
        <v>土地使用年限（年）</v>
      </c>
      <c r="AA10" s="50">
        <f t="shared" si="3"/>
        <v>0.76923076923076927</v>
      </c>
      <c r="AB10" s="50">
        <f t="shared" si="4"/>
        <v>0.76923076923076927</v>
      </c>
      <c r="AC10" s="50">
        <f t="shared" si="5"/>
        <v>0.76923076923076927</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68"/>
      <c r="Q11" s="530" t="str">
        <f t="shared" si="6"/>
        <v>容积率</v>
      </c>
      <c r="R11" s="664" t="s">
        <v>14</v>
      </c>
      <c r="S11" s="665" t="e">
        <f t="shared" si="0"/>
        <v>#N/A</v>
      </c>
      <c r="T11" s="664" t="s">
        <v>14</v>
      </c>
      <c r="U11" s="665" t="e">
        <f t="shared" si="1"/>
        <v>#N/A</v>
      </c>
      <c r="V11" s="664" t="s">
        <v>14</v>
      </c>
      <c r="W11" s="665" t="e">
        <f t="shared" si="2"/>
        <v>#N/A</v>
      </c>
      <c r="X11" s="666"/>
      <c r="Y11" s="336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68"/>
      <c r="Q12" s="530">
        <f t="shared" si="6"/>
        <v>111</v>
      </c>
      <c r="R12" s="664" t="s">
        <v>14</v>
      </c>
      <c r="S12" s="665">
        <f t="shared" si="0"/>
        <v>100</v>
      </c>
      <c r="T12" s="664" t="s">
        <v>14</v>
      </c>
      <c r="U12" s="665">
        <f t="shared" si="1"/>
        <v>100</v>
      </c>
      <c r="V12" s="664" t="s">
        <v>14</v>
      </c>
      <c r="W12" s="665">
        <f t="shared" si="2"/>
        <v>100</v>
      </c>
      <c r="X12" s="666"/>
      <c r="Y12" s="336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68"/>
      <c r="Q13" s="530">
        <f t="shared" si="6"/>
        <v>111</v>
      </c>
      <c r="R13" s="664" t="s">
        <v>14</v>
      </c>
      <c r="S13" s="665">
        <f t="shared" si="0"/>
        <v>100</v>
      </c>
      <c r="T13" s="664" t="s">
        <v>14</v>
      </c>
      <c r="U13" s="665">
        <f t="shared" si="1"/>
        <v>100</v>
      </c>
      <c r="V13" s="664" t="s">
        <v>14</v>
      </c>
      <c r="W13" s="665">
        <f t="shared" si="2"/>
        <v>100</v>
      </c>
      <c r="X13" s="666"/>
      <c r="Y13" s="3361"/>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68"/>
      <c r="Q14" s="530">
        <f t="shared" si="6"/>
        <v>111</v>
      </c>
      <c r="R14" s="664" t="s">
        <v>14</v>
      </c>
      <c r="S14" s="665">
        <f t="shared" si="0"/>
        <v>100</v>
      </c>
      <c r="T14" s="664" t="s">
        <v>14</v>
      </c>
      <c r="U14" s="665">
        <f t="shared" si="1"/>
        <v>100</v>
      </c>
      <c r="V14" s="664" t="s">
        <v>14</v>
      </c>
      <c r="W14" s="665">
        <f t="shared" si="2"/>
        <v>100</v>
      </c>
      <c r="X14" s="666"/>
      <c r="Y14" s="3361"/>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69" t="s">
        <v>1691</v>
      </c>
      <c r="Q15" s="1263" t="str">
        <f t="shared" si="6"/>
        <v>产业集聚程度</v>
      </c>
      <c r="R15" s="667" t="s">
        <v>14</v>
      </c>
      <c r="S15" s="668">
        <f t="shared" si="0"/>
        <v>100</v>
      </c>
      <c r="T15" s="667" t="s">
        <v>14</v>
      </c>
      <c r="U15" s="668">
        <f t="shared" si="1"/>
        <v>100</v>
      </c>
      <c r="V15" s="667" t="s">
        <v>14</v>
      </c>
      <c r="W15" s="668">
        <f t="shared" si="2"/>
        <v>100</v>
      </c>
      <c r="X15" s="1265"/>
      <c r="Y15" s="3469"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70"/>
      <c r="Q16" s="1263"/>
      <c r="R16" s="667"/>
      <c r="S16" s="668"/>
      <c r="T16" s="667"/>
      <c r="U16" s="668"/>
      <c r="V16" s="667"/>
      <c r="W16" s="668"/>
      <c r="X16" s="1265"/>
      <c r="Y16" s="3470"/>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70"/>
      <c r="Q17" s="1263" t="str">
        <f>B17</f>
        <v>交通便捷度</v>
      </c>
      <c r="R17" s="667" t="s">
        <v>14</v>
      </c>
      <c r="S17" s="668">
        <f>F17</f>
        <v>100</v>
      </c>
      <c r="T17" s="667" t="s">
        <v>14</v>
      </c>
      <c r="U17" s="668">
        <f>H17</f>
        <v>100</v>
      </c>
      <c r="V17" s="667" t="s">
        <v>14</v>
      </c>
      <c r="W17" s="668">
        <f>J17</f>
        <v>100</v>
      </c>
      <c r="X17" s="1265"/>
      <c r="Y17" s="3470"/>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70"/>
      <c r="Q18" s="1263"/>
      <c r="R18" s="667"/>
      <c r="S18" s="668"/>
      <c r="T18" s="667"/>
      <c r="U18" s="668"/>
      <c r="V18" s="667"/>
      <c r="W18" s="668"/>
      <c r="X18" s="1265"/>
      <c r="Y18" s="3470"/>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70"/>
      <c r="Q19" s="1263" t="str">
        <f t="shared" ref="Q19:Q33" si="8">B19</f>
        <v>区域土地利用方向</v>
      </c>
      <c r="R19" s="667" t="s">
        <v>14</v>
      </c>
      <c r="S19" s="668">
        <f>F19</f>
        <v>100</v>
      </c>
      <c r="T19" s="667" t="s">
        <v>14</v>
      </c>
      <c r="U19" s="668">
        <f>H19</f>
        <v>100</v>
      </c>
      <c r="V19" s="667" t="s">
        <v>14</v>
      </c>
      <c r="W19" s="668">
        <f>J19</f>
        <v>100</v>
      </c>
      <c r="X19" s="1265"/>
      <c r="Y19" s="3470"/>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70"/>
      <c r="Q20" s="1263"/>
      <c r="R20" s="667"/>
      <c r="S20" s="668"/>
      <c r="T20" s="667"/>
      <c r="U20" s="668"/>
      <c r="V20" s="667"/>
      <c r="W20" s="668"/>
      <c r="X20" s="1265"/>
      <c r="Y20" s="3470"/>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70"/>
      <c r="Q21" s="1263" t="str">
        <f t="shared" si="8"/>
        <v>环境状况</v>
      </c>
      <c r="R21" s="667" t="s">
        <v>14</v>
      </c>
      <c r="S21" s="668">
        <f>F21</f>
        <v>100</v>
      </c>
      <c r="T21" s="667" t="s">
        <v>14</v>
      </c>
      <c r="U21" s="668">
        <f>H21</f>
        <v>100</v>
      </c>
      <c r="V21" s="667" t="s">
        <v>14</v>
      </c>
      <c r="W21" s="668">
        <f>J21</f>
        <v>100</v>
      </c>
      <c r="X21" s="1265"/>
      <c r="Y21" s="3470"/>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70"/>
      <c r="Q22" s="1263"/>
      <c r="R22" s="667"/>
      <c r="S22" s="668"/>
      <c r="T22" s="667"/>
      <c r="U22" s="668"/>
      <c r="V22" s="667"/>
      <c r="W22" s="668"/>
      <c r="X22" s="1265"/>
      <c r="Y22" s="3470"/>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70"/>
      <c r="Q23" s="530" t="str">
        <f t="shared" si="8"/>
        <v>公共配套设施</v>
      </c>
      <c r="R23" s="664" t="s">
        <v>14</v>
      </c>
      <c r="S23" s="665">
        <f>F23</f>
        <v>100</v>
      </c>
      <c r="T23" s="664" t="s">
        <v>14</v>
      </c>
      <c r="U23" s="665">
        <f>H23</f>
        <v>100</v>
      </c>
      <c r="V23" s="664" t="s">
        <v>14</v>
      </c>
      <c r="W23" s="665">
        <f>J23</f>
        <v>100</v>
      </c>
      <c r="X23" s="666"/>
      <c r="Y23" s="3470"/>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70"/>
      <c r="Q24" s="530"/>
      <c r="R24" s="664"/>
      <c r="S24" s="665"/>
      <c r="T24" s="664"/>
      <c r="U24" s="665"/>
      <c r="V24" s="664"/>
      <c r="W24" s="665"/>
      <c r="X24" s="666"/>
      <c r="Y24" s="3470"/>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70"/>
      <c r="Q25" s="530" t="str">
        <f t="shared" ref="Q25" si="9">B25</f>
        <v>基础设施水平</v>
      </c>
      <c r="R25" s="664" t="s">
        <v>14</v>
      </c>
      <c r="S25" s="665">
        <f>F25</f>
        <v>100</v>
      </c>
      <c r="T25" s="664" t="s">
        <v>14</v>
      </c>
      <c r="U25" s="665">
        <f>H25</f>
        <v>100</v>
      </c>
      <c r="V25" s="664" t="s">
        <v>14</v>
      </c>
      <c r="W25" s="665">
        <f>J25</f>
        <v>100</v>
      </c>
      <c r="X25" s="666"/>
      <c r="Y25" s="3470"/>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70"/>
      <c r="Q26" s="530"/>
      <c r="R26" s="664"/>
      <c r="S26" s="665"/>
      <c r="T26" s="664"/>
      <c r="U26" s="665"/>
      <c r="V26" s="664"/>
      <c r="W26" s="665"/>
      <c r="X26" s="666"/>
      <c r="Y26" s="3470"/>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70"/>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70"/>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70"/>
      <c r="Q28" s="1263" t="str">
        <f t="shared" si="8"/>
        <v>毗邻道路的类型与等级</v>
      </c>
      <c r="R28" s="667" t="s">
        <v>14</v>
      </c>
      <c r="S28" s="668">
        <f t="shared" si="10"/>
        <v>100</v>
      </c>
      <c r="T28" s="667" t="s">
        <v>14</v>
      </c>
      <c r="U28" s="668">
        <f t="shared" si="11"/>
        <v>100</v>
      </c>
      <c r="V28" s="667" t="s">
        <v>14</v>
      </c>
      <c r="W28" s="668">
        <f t="shared" si="12"/>
        <v>100</v>
      </c>
      <c r="X28" s="1265"/>
      <c r="Y28" s="3470"/>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70"/>
      <c r="Q29" s="1263"/>
      <c r="R29" s="667"/>
      <c r="S29" s="668"/>
      <c r="T29" s="667"/>
      <c r="U29" s="668"/>
      <c r="V29" s="667"/>
      <c r="W29" s="668"/>
      <c r="X29" s="1265"/>
      <c r="Y29" s="3470"/>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70"/>
      <c r="Q30" s="1263" t="str">
        <f t="shared" si="8"/>
        <v>土地级别</v>
      </c>
      <c r="R30" s="667" t="s">
        <v>14</v>
      </c>
      <c r="S30" s="668">
        <f t="shared" si="10"/>
        <v>100</v>
      </c>
      <c r="T30" s="667" t="s">
        <v>14</v>
      </c>
      <c r="U30" s="668">
        <f t="shared" si="11"/>
        <v>100</v>
      </c>
      <c r="V30" s="667" t="s">
        <v>14</v>
      </c>
      <c r="W30" s="668">
        <f t="shared" si="12"/>
        <v>100</v>
      </c>
      <c r="X30" s="1265"/>
      <c r="Y30" s="3470"/>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70"/>
      <c r="Q31" s="1263">
        <f t="shared" si="8"/>
        <v>111</v>
      </c>
      <c r="R31" s="667" t="s">
        <v>14</v>
      </c>
      <c r="S31" s="668">
        <f t="shared" si="10"/>
        <v>100</v>
      </c>
      <c r="T31" s="667" t="s">
        <v>14</v>
      </c>
      <c r="U31" s="668">
        <f t="shared" si="11"/>
        <v>100</v>
      </c>
      <c r="V31" s="667" t="s">
        <v>14</v>
      </c>
      <c r="W31" s="668">
        <f t="shared" si="12"/>
        <v>100</v>
      </c>
      <c r="X31" s="1265"/>
      <c r="Y31" s="3470"/>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93" t="s">
        <v>1696</v>
      </c>
      <c r="Q32" s="1263">
        <f t="shared" si="8"/>
        <v>111</v>
      </c>
      <c r="R32" s="667" t="s">
        <v>14</v>
      </c>
      <c r="S32" s="668">
        <f t="shared" si="10"/>
        <v>100</v>
      </c>
      <c r="T32" s="667" t="s">
        <v>14</v>
      </c>
      <c r="U32" s="668">
        <f t="shared" si="11"/>
        <v>100</v>
      </c>
      <c r="V32" s="667" t="s">
        <v>14</v>
      </c>
      <c r="W32" s="668">
        <f t="shared" si="12"/>
        <v>100</v>
      </c>
      <c r="X32" s="1265"/>
      <c r="Y32" s="3474"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74"/>
      <c r="Q33" s="1263">
        <f t="shared" si="8"/>
        <v>111</v>
      </c>
      <c r="R33" s="669" t="s">
        <v>14</v>
      </c>
      <c r="S33" s="670">
        <f t="shared" si="10"/>
        <v>100</v>
      </c>
      <c r="T33" s="669" t="s">
        <v>14</v>
      </c>
      <c r="U33" s="670">
        <f t="shared" si="11"/>
        <v>100</v>
      </c>
      <c r="V33" s="669" t="s">
        <v>14</v>
      </c>
      <c r="W33" s="670">
        <f t="shared" si="12"/>
        <v>100</v>
      </c>
      <c r="X33" s="671"/>
      <c r="Y33" s="3474"/>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74"/>
      <c r="Q34" s="1263" t="str">
        <f>B34</f>
        <v>宗地面积</v>
      </c>
      <c r="R34" s="667" t="s">
        <v>14</v>
      </c>
      <c r="S34" s="668" t="e">
        <f t="shared" si="10"/>
        <v>#N/A</v>
      </c>
      <c r="T34" s="667" t="s">
        <v>14</v>
      </c>
      <c r="U34" s="668" t="e">
        <f t="shared" si="11"/>
        <v>#N/A</v>
      </c>
      <c r="V34" s="667" t="s">
        <v>14</v>
      </c>
      <c r="W34" s="668" t="e">
        <f t="shared" si="12"/>
        <v>#N/A</v>
      </c>
      <c r="X34" s="1265"/>
      <c r="Y34" s="3474"/>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74"/>
      <c r="Q35" s="1263" t="str">
        <f t="shared" ref="Q35:Q40" si="14">B35</f>
        <v>宗地形状</v>
      </c>
      <c r="R35" s="667" t="s">
        <v>14</v>
      </c>
      <c r="S35" s="668">
        <f t="shared" si="10"/>
        <v>100</v>
      </c>
      <c r="T35" s="667" t="s">
        <v>14</v>
      </c>
      <c r="U35" s="668">
        <f t="shared" si="11"/>
        <v>100</v>
      </c>
      <c r="V35" s="667" t="s">
        <v>14</v>
      </c>
      <c r="W35" s="668">
        <f t="shared" si="12"/>
        <v>100</v>
      </c>
      <c r="X35" s="1265"/>
      <c r="Y35" s="3474"/>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74"/>
      <c r="Q36" s="1263" t="str">
        <f t="shared" si="14"/>
        <v>宗地开发程度</v>
      </c>
      <c r="R36" s="664" t="s">
        <v>14</v>
      </c>
      <c r="S36" s="665">
        <f t="shared" si="10"/>
        <v>100</v>
      </c>
      <c r="T36" s="664" t="s">
        <v>14</v>
      </c>
      <c r="U36" s="665">
        <f t="shared" si="11"/>
        <v>100</v>
      </c>
      <c r="V36" s="664" t="s">
        <v>14</v>
      </c>
      <c r="W36" s="665">
        <f t="shared" si="12"/>
        <v>100</v>
      </c>
      <c r="X36" s="666"/>
      <c r="Y36" s="3474"/>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74" t="s">
        <v>1696</v>
      </c>
      <c r="Q37" s="1263" t="str">
        <f t="shared" si="14"/>
        <v>工程地质条件</v>
      </c>
      <c r="R37" s="667" t="s">
        <v>14</v>
      </c>
      <c r="S37" s="668">
        <f t="shared" si="10"/>
        <v>100</v>
      </c>
      <c r="T37" s="667" t="s">
        <v>14</v>
      </c>
      <c r="U37" s="668">
        <f t="shared" si="11"/>
        <v>100</v>
      </c>
      <c r="V37" s="667" t="s">
        <v>14</v>
      </c>
      <c r="W37" s="668">
        <f t="shared" si="12"/>
        <v>100</v>
      </c>
      <c r="X37" s="1265"/>
      <c r="Y37" s="3474"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74"/>
      <c r="Q38" s="1263">
        <f t="shared" si="14"/>
        <v>111</v>
      </c>
      <c r="R38" s="667" t="s">
        <v>14</v>
      </c>
      <c r="S38" s="668">
        <f t="shared" si="10"/>
        <v>100</v>
      </c>
      <c r="T38" s="667" t="s">
        <v>14</v>
      </c>
      <c r="U38" s="668">
        <f t="shared" si="11"/>
        <v>100</v>
      </c>
      <c r="V38" s="667" t="s">
        <v>14</v>
      </c>
      <c r="W38" s="668">
        <f t="shared" si="12"/>
        <v>100</v>
      </c>
      <c r="X38" s="1265"/>
      <c r="Y38" s="3474"/>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74"/>
      <c r="Q39" s="1263">
        <f t="shared" si="14"/>
        <v>111</v>
      </c>
      <c r="R39" s="667" t="s">
        <v>14</v>
      </c>
      <c r="S39" s="668">
        <f t="shared" si="10"/>
        <v>100</v>
      </c>
      <c r="T39" s="667" t="s">
        <v>14</v>
      </c>
      <c r="U39" s="668">
        <f t="shared" si="11"/>
        <v>100</v>
      </c>
      <c r="V39" s="667" t="s">
        <v>14</v>
      </c>
      <c r="W39" s="668">
        <f t="shared" si="12"/>
        <v>100</v>
      </c>
      <c r="X39" s="1265"/>
      <c r="Y39" s="3474"/>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74"/>
      <c r="Q40" s="1263">
        <f t="shared" si="14"/>
        <v>111</v>
      </c>
      <c r="R40" s="669" t="s">
        <v>14</v>
      </c>
      <c r="S40" s="670">
        <f t="shared" si="10"/>
        <v>100</v>
      </c>
      <c r="T40" s="669" t="s">
        <v>14</v>
      </c>
      <c r="U40" s="670">
        <f t="shared" si="11"/>
        <v>100</v>
      </c>
      <c r="V40" s="669" t="s">
        <v>14</v>
      </c>
      <c r="W40" s="670">
        <f t="shared" si="12"/>
        <v>100</v>
      </c>
      <c r="X40" s="671"/>
      <c r="Y40" s="3474"/>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468" t="str">
        <f>A41</f>
        <v>成交单价</v>
      </c>
      <c r="Q41" s="3468"/>
      <c r="R41" s="3463">
        <f>E41</f>
        <v>0</v>
      </c>
      <c r="S41" s="3463"/>
      <c r="T41" s="3463">
        <f>G41</f>
        <v>0</v>
      </c>
      <c r="U41" s="3463"/>
      <c r="V41" s="3463">
        <f>I41</f>
        <v>0</v>
      </c>
      <c r="W41" s="3463"/>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468" t="str">
        <f>A42</f>
        <v>比较价值（元/平方米）</v>
      </c>
      <c r="Q42" s="3468"/>
      <c r="R42" s="3495" t="e">
        <f>ROUND(PRODUCT(R41,AA7:AA40),0)</f>
        <v>#DIV/0!</v>
      </c>
      <c r="S42" s="3495"/>
      <c r="T42" s="3495" t="e">
        <f>ROUND(PRODUCT(T41,AB7:AB40),0)</f>
        <v>#DIV/0!</v>
      </c>
      <c r="U42" s="3495"/>
      <c r="V42" s="3495" t="e">
        <f>ROUND(PRODUCT(V41,AC7:AC40),0)</f>
        <v>#DIV/0!</v>
      </c>
      <c r="W42" s="3495"/>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465" t="str">
        <f>A43</f>
        <v>估价对象XX用房的比较价值（楼面单价，元/平方米）</v>
      </c>
      <c r="Q43" s="3466"/>
      <c r="R43" s="3496" t="e">
        <f>ROUND(IF(D42="简单平均",AVERAGE(R42:W42),R42*F42+T42*H42+V42*J42),0)</f>
        <v>#DIV/0!</v>
      </c>
      <c r="S43" s="3496"/>
      <c r="T43" s="3496"/>
      <c r="U43" s="3496"/>
      <c r="V43" s="3496"/>
      <c r="W43" s="3496"/>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451" t="s">
        <v>1887</v>
      </c>
      <c r="H50" s="3497"/>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12768.250000000011</v>
      </c>
      <c r="F51" s="611" t="e">
        <f t="shared" ref="F51:F60" si="15">ROUND(B51*E51/10000,0)</f>
        <v>#DIV/0!</v>
      </c>
      <c r="G51" s="3450"/>
      <c r="H51" s="3468"/>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0.6</v>
      </c>
      <c r="D52" s="891">
        <v>0.25</v>
      </c>
      <c r="E52" s="614"/>
      <c r="F52" s="611" t="e">
        <f t="shared" si="15"/>
        <v>#DIV/0!</v>
      </c>
      <c r="G52" s="2751" t="s">
        <v>1892</v>
      </c>
      <c r="H52" s="834" t="str">
        <f>项目基本情况!B37</f>
        <v>三级</v>
      </c>
      <c r="I52" s="727">
        <f>SUMIF(修正!A57:A68,H52,修正!B57:B68)</f>
        <v>0.6</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0.3</v>
      </c>
      <c r="D53" s="891">
        <v>0.25</v>
      </c>
      <c r="E53" s="614"/>
      <c r="F53" s="611" t="e">
        <f t="shared" si="15"/>
        <v>#DIV/0!</v>
      </c>
      <c r="G53" s="2752"/>
      <c r="H53" s="834" t="str">
        <f>项目基本情况!B37</f>
        <v>三级</v>
      </c>
      <c r="I53" s="727">
        <f>SUMIF(修正!A57:A68,H53,修正!C57:C68)</f>
        <v>0.3</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0.25</v>
      </c>
      <c r="D54" s="891">
        <v>0.25</v>
      </c>
      <c r="E54" s="614"/>
      <c r="F54" s="611" t="e">
        <f t="shared" si="15"/>
        <v>#DIV/0!</v>
      </c>
      <c r="G54" s="2752"/>
      <c r="H54" s="834" t="str">
        <f>项目基本情况!B37</f>
        <v>三级</v>
      </c>
      <c r="I54" s="727">
        <f>SUMIF(修正!A57:A68,H54,修正!D57:D68)</f>
        <v>0.25</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14298.869999999975</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0.15</v>
      </c>
      <c r="D59" s="891">
        <v>0.25</v>
      </c>
      <c r="E59" s="209">
        <f>'数据-汇总表'!E14</f>
        <v>0</v>
      </c>
      <c r="F59" s="611" t="e">
        <f t="shared" si="15"/>
        <v>#DIV/0!</v>
      </c>
      <c r="G59" s="1835" t="s">
        <v>1892</v>
      </c>
      <c r="H59" s="834" t="str">
        <f>项目基本情况!B37</f>
        <v>三级</v>
      </c>
      <c r="I59" s="727">
        <f>SUMIF(修正!A57:A68,H59,修正!G57:G68)</f>
        <v>0.15</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2025-4-1</v>
      </c>
      <c r="D63" s="656">
        <f>EDATE(C63,-3)</f>
        <v>45658</v>
      </c>
      <c r="E63" s="656">
        <f>EDATE(D63,-3)</f>
        <v>45566</v>
      </c>
      <c r="F63" s="656">
        <f t="shared" ref="F63:O63" si="18">EDATE(E63,-3)</f>
        <v>45474</v>
      </c>
      <c r="G63" s="656">
        <f t="shared" si="18"/>
        <v>45383</v>
      </c>
      <c r="H63" s="656">
        <f t="shared" si="18"/>
        <v>45292</v>
      </c>
      <c r="I63" s="656">
        <f t="shared" si="18"/>
        <v>45200</v>
      </c>
      <c r="J63" s="656">
        <f t="shared" si="18"/>
        <v>45108</v>
      </c>
      <c r="K63" s="656">
        <f t="shared" si="18"/>
        <v>45017</v>
      </c>
      <c r="L63" s="656">
        <f t="shared" si="18"/>
        <v>44927</v>
      </c>
      <c r="M63" s="656">
        <f t="shared" si="18"/>
        <v>44835</v>
      </c>
      <c r="N63" s="656">
        <f t="shared" si="18"/>
        <v>44743</v>
      </c>
      <c r="O63" s="656">
        <f t="shared" si="18"/>
        <v>44652</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505" t="s">
        <v>2084</v>
      </c>
      <c r="D1" s="3506"/>
      <c r="E1" s="3506"/>
      <c r="F1" s="3506"/>
      <c r="G1" s="3506"/>
      <c r="H1" s="3506"/>
      <c r="I1" s="3506"/>
      <c r="J1" s="3506"/>
      <c r="K1" s="3506"/>
      <c r="L1" s="3506"/>
      <c r="M1" s="3506"/>
      <c r="N1" s="3506"/>
      <c r="O1" s="3506"/>
      <c r="P1" s="3506"/>
      <c r="Q1" s="3506"/>
      <c r="R1" s="3506"/>
      <c r="S1" s="3507"/>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502" t="s">
        <v>27</v>
      </c>
      <c r="D22" s="3503"/>
      <c r="E22" s="3503"/>
      <c r="F22" s="3503"/>
      <c r="G22" s="3503"/>
      <c r="H22" s="3503"/>
      <c r="I22" s="3503"/>
      <c r="J22" s="3503"/>
      <c r="K22" s="3503"/>
      <c r="L22" s="3503"/>
      <c r="M22" s="3503"/>
      <c r="N22" s="3503"/>
      <c r="O22" s="3503"/>
      <c r="P22" s="3503"/>
      <c r="Q22" s="3504"/>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37027</v>
      </c>
      <c r="C2" s="1984" t="s">
        <v>2074</v>
      </c>
      <c r="D2" s="1984" t="s">
        <v>2075</v>
      </c>
      <c r="E2" s="2398">
        <f ca="1">SUMIF(E6:E13,"&lt;&gt;#ref!",E6:E13)</f>
        <v>27067.119999999988</v>
      </c>
      <c r="F2" s="2545"/>
      <c r="G2" s="2545"/>
      <c r="H2" s="2545"/>
      <c r="I2" s="2545"/>
      <c r="J2" s="2545"/>
      <c r="K2" s="2545"/>
      <c r="L2" s="2545"/>
      <c r="M2" s="2545"/>
      <c r="N2" s="2545"/>
      <c r="O2" s="2545"/>
      <c r="P2" s="2545"/>
    </row>
    <row r="3" spans="1:16" ht="15.75">
      <c r="A3" s="1984" t="s">
        <v>2076</v>
      </c>
      <c r="B3" s="2388">
        <f ca="1">ROUND(B2*10000/E2,0)</f>
        <v>13680</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37027</v>
      </c>
      <c r="C6" s="1984" t="s">
        <v>2074</v>
      </c>
      <c r="D6" s="2545"/>
      <c r="E6" s="2398">
        <f ca="1">SUMIF(INDIRECT("'"&amp;A6&amp;"'"&amp;"!C:C"),"建筑面积",INDIRECT("'"&amp;A6&amp;"'"&amp;"!D:D"))</f>
        <v>27067.119999999988</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2594</v>
      </c>
      <c r="B1" s="2812" t="s">
        <v>2595</v>
      </c>
      <c r="C1" s="2812" t="s">
        <v>2596</v>
      </c>
      <c r="D1" s="2812" t="s">
        <v>2597</v>
      </c>
      <c r="E1" s="2812" t="s">
        <v>2598</v>
      </c>
      <c r="F1" s="2812" t="s">
        <v>2599</v>
      </c>
      <c r="G1" s="2812" t="s">
        <v>2600</v>
      </c>
      <c r="H1" s="2812" t="s">
        <v>2601</v>
      </c>
      <c r="I1" s="2812" t="s">
        <v>2602</v>
      </c>
      <c r="J1" s="2812" t="s">
        <v>2603</v>
      </c>
      <c r="K1" s="2812" t="s">
        <v>2604</v>
      </c>
      <c r="L1" s="2812" t="s">
        <v>2605</v>
      </c>
      <c r="M1" s="2813" t="s">
        <v>2606</v>
      </c>
    </row>
    <row r="2" spans="1:13" ht="19.5" customHeight="1">
      <c r="A2" s="2815" t="s">
        <v>2607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2623</v>
      </c>
      <c r="B18" s="2837"/>
      <c r="C18" s="2838"/>
      <c r="D18" s="2838"/>
      <c r="E18" s="2837"/>
      <c r="F18" s="2838"/>
      <c r="G18" s="2838"/>
    </row>
    <row r="19" spans="1:13" ht="19.5" customHeight="1" thickBot="1">
      <c r="A19" s="2835" t="s">
        <v>2624</v>
      </c>
      <c r="B19" s="2840" t="s">
        <v>2625</v>
      </c>
      <c r="C19" s="2840" t="s">
        <v>2626</v>
      </c>
      <c r="D19" s="2841"/>
      <c r="E19" s="2835" t="s">
        <v>2627</v>
      </c>
      <c r="F19" s="2842"/>
      <c r="G19" s="2842"/>
    </row>
    <row r="20" spans="1:13" ht="19.5" customHeight="1">
      <c r="A20" s="3515" t="s">
        <v>2607</v>
      </c>
      <c r="B20" s="3508" t="s">
        <v>2628</v>
      </c>
      <c r="C20" s="2843" t="s">
        <v>2439</v>
      </c>
      <c r="D20" s="2844"/>
      <c r="E20" s="2845">
        <v>1</v>
      </c>
      <c r="F20" s="2846" t="s">
        <v>2440</v>
      </c>
      <c r="G20" s="2846"/>
    </row>
    <row r="21" spans="1:13" ht="19.5" customHeight="1">
      <c r="A21" s="3516"/>
      <c r="B21" s="3509"/>
      <c r="C21" s="2847" t="s">
        <v>2441</v>
      </c>
      <c r="D21" s="2848"/>
      <c r="E21" s="2849">
        <v>1</v>
      </c>
      <c r="F21" s="2846" t="s">
        <v>2442</v>
      </c>
      <c r="G21" s="2846"/>
    </row>
    <row r="22" spans="1:13" ht="19.5" customHeight="1">
      <c r="A22" s="3516"/>
      <c r="B22" s="3509"/>
      <c r="C22" s="2847" t="s">
        <v>2443</v>
      </c>
      <c r="D22" s="2848"/>
      <c r="E22" s="2849">
        <v>0.9</v>
      </c>
      <c r="F22" s="2846" t="s">
        <v>2444</v>
      </c>
      <c r="G22" s="2846"/>
    </row>
    <row r="23" spans="1:13" ht="19.5" customHeight="1">
      <c r="A23" s="3516"/>
      <c r="B23" s="3509"/>
      <c r="C23" s="2847" t="s">
        <v>2445</v>
      </c>
      <c r="D23" s="2848"/>
      <c r="E23" s="2849">
        <v>0.9</v>
      </c>
      <c r="F23" s="2846" t="s">
        <v>2446</v>
      </c>
      <c r="G23" s="2846"/>
    </row>
    <row r="24" spans="1:13" ht="19.5" customHeight="1">
      <c r="A24" s="3516"/>
      <c r="B24" s="3509"/>
      <c r="C24" s="2847" t="s">
        <v>2447</v>
      </c>
      <c r="D24" s="2848"/>
      <c r="E24" s="2849">
        <v>0.8</v>
      </c>
      <c r="F24" s="2846" t="s">
        <v>2448</v>
      </c>
      <c r="G24" s="2846"/>
    </row>
    <row r="25" spans="1:13" ht="19.5" customHeight="1" thickBot="1">
      <c r="A25" s="3517"/>
      <c r="B25" s="3510"/>
      <c r="C25" s="2850" t="s">
        <v>2449</v>
      </c>
      <c r="D25" s="2851"/>
      <c r="E25" s="2852">
        <v>0.8</v>
      </c>
      <c r="F25" s="2846" t="s">
        <v>2450</v>
      </c>
      <c r="G25" s="2846"/>
    </row>
    <row r="26" spans="1:13" ht="19.5" customHeight="1" thickBot="1">
      <c r="A26" s="2853" t="s">
        <v>2629</v>
      </c>
      <c r="B26" s="2854" t="s">
        <v>2628</v>
      </c>
      <c r="C26" s="2855" t="s">
        <v>2630</v>
      </c>
      <c r="D26" s="2856"/>
      <c r="E26" s="2857">
        <v>1</v>
      </c>
      <c r="F26" s="2846" t="s">
        <v>2451</v>
      </c>
      <c r="G26" s="2846"/>
    </row>
    <row r="27" spans="1:13" ht="19.5" customHeight="1">
      <c r="A27" s="3511" t="s">
        <v>2631</v>
      </c>
      <c r="B27" s="3508" t="s">
        <v>2612</v>
      </c>
      <c r="C27" s="2843" t="s">
        <v>2452</v>
      </c>
      <c r="D27" s="2844"/>
      <c r="E27" s="2845">
        <v>1</v>
      </c>
      <c r="F27" s="2846" t="s">
        <v>2453</v>
      </c>
      <c r="G27" s="2846"/>
    </row>
    <row r="28" spans="1:13" ht="19.5" customHeight="1">
      <c r="A28" s="3512"/>
      <c r="B28" s="3509"/>
      <c r="C28" s="2847" t="s">
        <v>2454</v>
      </c>
      <c r="D28" s="2848"/>
      <c r="E28" s="2849">
        <v>1</v>
      </c>
      <c r="F28" s="2846" t="s">
        <v>2455</v>
      </c>
      <c r="G28" s="2846"/>
    </row>
    <row r="29" spans="1:13" ht="19.5" customHeight="1">
      <c r="A29" s="3512"/>
      <c r="B29" s="3509"/>
      <c r="C29" s="2847" t="s">
        <v>2456</v>
      </c>
      <c r="D29" s="2848"/>
      <c r="E29" s="2849">
        <v>0.8</v>
      </c>
      <c r="F29" s="2846" t="s">
        <v>2457</v>
      </c>
      <c r="G29" s="2846"/>
    </row>
    <row r="30" spans="1:13" ht="19.5" customHeight="1">
      <c r="A30" s="3512"/>
      <c r="B30" s="3509"/>
      <c r="C30" s="2847" t="s">
        <v>2458</v>
      </c>
      <c r="D30" s="2848"/>
      <c r="E30" s="2849">
        <v>0.8</v>
      </c>
      <c r="F30" s="2846" t="s">
        <v>2459</v>
      </c>
      <c r="G30" s="2846"/>
    </row>
    <row r="31" spans="1:13" ht="19.5" customHeight="1">
      <c r="A31" s="3512"/>
      <c r="B31" s="3509"/>
      <c r="C31" s="2847" t="s">
        <v>2460</v>
      </c>
      <c r="D31" s="2848"/>
      <c r="E31" s="2849">
        <v>0.8</v>
      </c>
      <c r="F31" s="2846" t="s">
        <v>2461</v>
      </c>
      <c r="G31" s="2846"/>
    </row>
    <row r="32" spans="1:13" ht="19.5" customHeight="1">
      <c r="A32" s="3512"/>
      <c r="B32" s="3509"/>
      <c r="C32" s="2847" t="s">
        <v>2462</v>
      </c>
      <c r="D32" s="2848"/>
      <c r="E32" s="2849">
        <v>0.7</v>
      </c>
      <c r="F32" s="2846" t="s">
        <v>2463</v>
      </c>
      <c r="G32" s="2846"/>
    </row>
    <row r="33" spans="1:7" ht="19.5" customHeight="1">
      <c r="A33" s="3512"/>
      <c r="B33" s="3509"/>
      <c r="C33" s="2847" t="s">
        <v>2464</v>
      </c>
      <c r="D33" s="2848"/>
      <c r="E33" s="2849">
        <v>0.8</v>
      </c>
      <c r="F33" s="2846" t="s">
        <v>2465</v>
      </c>
      <c r="G33" s="2846"/>
    </row>
    <row r="34" spans="1:7" ht="19.5" customHeight="1">
      <c r="A34" s="3512"/>
      <c r="B34" s="3509"/>
      <c r="C34" s="2847" t="s">
        <v>2466</v>
      </c>
      <c r="D34" s="2848"/>
      <c r="E34" s="2849">
        <v>0.6</v>
      </c>
      <c r="F34" s="2846" t="s">
        <v>2467</v>
      </c>
      <c r="G34" s="2846"/>
    </row>
    <row r="35" spans="1:7" ht="19.5" customHeight="1">
      <c r="A35" s="3512"/>
      <c r="B35" s="3509"/>
      <c r="C35" s="2847" t="s">
        <v>2468</v>
      </c>
      <c r="D35" s="2848"/>
      <c r="E35" s="2849">
        <v>0.2</v>
      </c>
      <c r="F35" s="2846" t="s">
        <v>2469</v>
      </c>
      <c r="G35" s="2846"/>
    </row>
    <row r="36" spans="1:7" ht="19.5" customHeight="1">
      <c r="A36" s="3512"/>
      <c r="B36" s="3509"/>
      <c r="C36" s="2847" t="s">
        <v>2470</v>
      </c>
      <c r="D36" s="2848"/>
      <c r="E36" s="2849">
        <v>0.2</v>
      </c>
      <c r="F36" s="2846" t="s">
        <v>2471</v>
      </c>
      <c r="G36" s="2846"/>
    </row>
    <row r="37" spans="1:7" ht="19.5" customHeight="1">
      <c r="A37" s="3512"/>
      <c r="B37" s="3514" t="s">
        <v>2632</v>
      </c>
      <c r="C37" s="2847" t="s">
        <v>2472</v>
      </c>
      <c r="D37" s="2848"/>
      <c r="E37" s="2849">
        <v>0.6</v>
      </c>
      <c r="F37" s="2846" t="s">
        <v>2473</v>
      </c>
      <c r="G37" s="2846"/>
    </row>
    <row r="38" spans="1:7" ht="19.5" customHeight="1">
      <c r="A38" s="3512"/>
      <c r="B38" s="3509"/>
      <c r="C38" s="2847" t="s">
        <v>2474</v>
      </c>
      <c r="D38" s="2848"/>
      <c r="E38" s="2849">
        <v>0.6</v>
      </c>
      <c r="F38" s="2846" t="s">
        <v>2475</v>
      </c>
      <c r="G38" s="2846"/>
    </row>
    <row r="39" spans="1:7" ht="19.5" customHeight="1" thickBot="1">
      <c r="A39" s="3513"/>
      <c r="B39" s="3510"/>
      <c r="C39" s="2850" t="s">
        <v>2476</v>
      </c>
      <c r="D39" s="2851"/>
      <c r="E39" s="2852">
        <v>0.6</v>
      </c>
      <c r="F39" s="2846" t="s">
        <v>2477</v>
      </c>
      <c r="G39" s="2846"/>
    </row>
    <row r="40" spans="1:7" ht="19.5" customHeight="1" thickBot="1">
      <c r="A40" s="2853" t="s">
        <v>2609</v>
      </c>
      <c r="B40" s="2854" t="s">
        <v>2609</v>
      </c>
      <c r="C40" s="2855" t="s">
        <v>2633</v>
      </c>
      <c r="D40" s="2856"/>
      <c r="E40" s="2857">
        <v>1</v>
      </c>
      <c r="F40" s="2846" t="s">
        <v>2478</v>
      </c>
      <c r="G40" s="2846"/>
    </row>
    <row r="41" spans="1:7" ht="19.5" customHeight="1">
      <c r="A41" s="3515" t="s">
        <v>2610</v>
      </c>
      <c r="B41" s="3508" t="s">
        <v>2634</v>
      </c>
      <c r="C41" s="2843" t="s">
        <v>2479</v>
      </c>
      <c r="D41" s="2844"/>
      <c r="E41" s="2845">
        <v>1</v>
      </c>
      <c r="F41" s="2846" t="s">
        <v>2480</v>
      </c>
      <c r="G41" s="2846"/>
    </row>
    <row r="42" spans="1:7" ht="19.5" customHeight="1">
      <c r="A42" s="3516"/>
      <c r="B42" s="3509"/>
      <c r="C42" s="2847" t="s">
        <v>2481</v>
      </c>
      <c r="D42" s="2848"/>
      <c r="E42" s="2849">
        <v>1</v>
      </c>
      <c r="F42" s="2846" t="s">
        <v>2482</v>
      </c>
      <c r="G42" s="2846"/>
    </row>
    <row r="43" spans="1:7" ht="19.5" customHeight="1">
      <c r="A43" s="3516"/>
      <c r="B43" s="3518"/>
      <c r="C43" s="2847" t="s">
        <v>2483</v>
      </c>
      <c r="D43" s="2848"/>
      <c r="E43" s="2849">
        <v>1.5</v>
      </c>
      <c r="F43" s="2846" t="s">
        <v>2484</v>
      </c>
      <c r="G43" s="2846"/>
    </row>
    <row r="44" spans="1:7" ht="19.5" customHeight="1">
      <c r="A44" s="3516"/>
      <c r="B44" s="2858" t="s">
        <v>2635</v>
      </c>
      <c r="C44" s="2847" t="s">
        <v>2636</v>
      </c>
      <c r="D44" s="2848"/>
      <c r="E44" s="2849">
        <v>2</v>
      </c>
      <c r="F44" s="2846" t="s">
        <v>2485</v>
      </c>
      <c r="G44" s="2846"/>
    </row>
    <row r="45" spans="1:7" ht="19.5" customHeight="1">
      <c r="A45" s="3516"/>
      <c r="B45" s="3514" t="s">
        <v>2637</v>
      </c>
      <c r="C45" s="2847" t="s">
        <v>2486</v>
      </c>
      <c r="D45" s="2848"/>
      <c r="E45" s="2849">
        <v>1</v>
      </c>
      <c r="F45" s="2846" t="s">
        <v>2487</v>
      </c>
      <c r="G45" s="2846"/>
    </row>
    <row r="46" spans="1:7" ht="19.5" customHeight="1">
      <c r="A46" s="3516"/>
      <c r="B46" s="3509"/>
      <c r="C46" s="2847" t="s">
        <v>2488</v>
      </c>
      <c r="D46" s="2848"/>
      <c r="E46" s="2849">
        <v>1</v>
      </c>
      <c r="F46" s="2846" t="s">
        <v>2489</v>
      </c>
      <c r="G46" s="2846"/>
    </row>
    <row r="47" spans="1:7" ht="19.5" customHeight="1">
      <c r="A47" s="3516"/>
      <c r="B47" s="3509"/>
      <c r="C47" s="2847" t="s">
        <v>2490</v>
      </c>
      <c r="D47" s="2848"/>
      <c r="E47" s="2849">
        <v>1</v>
      </c>
      <c r="F47" s="2846" t="s">
        <v>2491</v>
      </c>
      <c r="G47" s="2846"/>
    </row>
    <row r="48" spans="1:7" ht="19.5" customHeight="1">
      <c r="A48" s="3516"/>
      <c r="B48" s="3509"/>
      <c r="C48" s="2847" t="s">
        <v>2492</v>
      </c>
      <c r="D48" s="2848"/>
      <c r="E48" s="2849">
        <v>1</v>
      </c>
      <c r="F48" s="2846" t="s">
        <v>2493</v>
      </c>
      <c r="G48" s="2846"/>
    </row>
    <row r="49" spans="1:7" ht="19.5" customHeight="1">
      <c r="A49" s="3516"/>
      <c r="B49" s="3509"/>
      <c r="C49" s="2847" t="s">
        <v>2494</v>
      </c>
      <c r="D49" s="2848"/>
      <c r="E49" s="2849">
        <v>1</v>
      </c>
      <c r="F49" s="2846" t="s">
        <v>2495</v>
      </c>
      <c r="G49" s="2846"/>
    </row>
    <row r="50" spans="1:7" ht="19.5" customHeight="1">
      <c r="A50" s="3516"/>
      <c r="B50" s="3509"/>
      <c r="C50" s="2847" t="s">
        <v>2496</v>
      </c>
      <c r="D50" s="2848"/>
      <c r="E50" s="2849">
        <v>1</v>
      </c>
      <c r="F50" s="2846" t="s">
        <v>2497</v>
      </c>
      <c r="G50" s="2846"/>
    </row>
    <row r="51" spans="1:7" ht="19.5" customHeight="1" thickBot="1">
      <c r="A51" s="3517"/>
      <c r="B51" s="3510"/>
      <c r="C51" s="2850" t="s">
        <v>2498</v>
      </c>
      <c r="D51" s="2851"/>
      <c r="E51" s="2852">
        <v>1</v>
      </c>
      <c r="F51" s="2846" t="s">
        <v>2499</v>
      </c>
      <c r="G51" s="2846"/>
    </row>
    <row r="52" spans="1:7" ht="19.5" customHeight="1">
      <c r="A52" s="2859"/>
      <c r="B52" s="2859"/>
      <c r="C52" s="2859"/>
      <c r="D52" s="2859"/>
      <c r="E52" s="2859"/>
      <c r="F52" s="2859"/>
      <c r="G52" s="2859"/>
    </row>
    <row r="54" spans="1:7" ht="19.5" customHeight="1">
      <c r="A54" s="2860"/>
      <c r="B54" s="2832" t="s">
        <v>2638</v>
      </c>
      <c r="C54" s="2832" t="s">
        <v>2638</v>
      </c>
      <c r="D54" s="2832" t="s">
        <v>2638</v>
      </c>
      <c r="E54" s="2835" t="s">
        <v>2638</v>
      </c>
      <c r="F54" s="2835" t="s">
        <v>2639</v>
      </c>
      <c r="G54" s="2835" t="s">
        <v>2640</v>
      </c>
    </row>
    <row r="55" spans="1:7" ht="19.5" customHeight="1">
      <c r="A55" s="2861"/>
      <c r="B55" s="2835" t="s">
        <v>2607</v>
      </c>
      <c r="C55" s="2835" t="s">
        <v>2607</v>
      </c>
      <c r="D55" s="2835" t="s">
        <v>2607</v>
      </c>
      <c r="E55" s="2832" t="s">
        <v>2608</v>
      </c>
      <c r="F55" s="2832" t="s">
        <v>2610</v>
      </c>
      <c r="G55" s="2832" t="s">
        <v>2641</v>
      </c>
    </row>
    <row r="56" spans="1:7" ht="19.5" customHeight="1">
      <c r="A56" s="2862"/>
      <c r="B56" s="2832">
        <v>1</v>
      </c>
      <c r="C56" s="2832">
        <v>2</v>
      </c>
      <c r="D56" s="2832">
        <v>3</v>
      </c>
      <c r="E56" s="2863" t="s">
        <v>2642</v>
      </c>
      <c r="F56" s="2863" t="s">
        <v>2642</v>
      </c>
      <c r="G56" s="2863" t="s">
        <v>2642</v>
      </c>
    </row>
    <row r="57" spans="1:7" ht="19.5" customHeight="1">
      <c r="A57" s="2864" t="s">
        <v>2595</v>
      </c>
      <c r="B57" s="2832">
        <v>0.7</v>
      </c>
      <c r="C57" s="2832">
        <v>0.4</v>
      </c>
      <c r="D57" s="2832">
        <v>0.3</v>
      </c>
      <c r="E57" s="2863">
        <v>0.3</v>
      </c>
      <c r="F57" s="2832">
        <v>0.3</v>
      </c>
      <c r="G57" s="2832">
        <v>0.2</v>
      </c>
    </row>
    <row r="58" spans="1:7" ht="19.5" customHeight="1">
      <c r="A58" s="2864" t="s">
        <v>2596</v>
      </c>
      <c r="B58" s="2832">
        <v>0.7</v>
      </c>
      <c r="C58" s="2832">
        <v>0.4</v>
      </c>
      <c r="D58" s="2832">
        <v>0.3</v>
      </c>
      <c r="E58" s="2832">
        <v>0.3</v>
      </c>
      <c r="F58" s="2832">
        <v>0.3</v>
      </c>
      <c r="G58" s="2832">
        <v>0.2</v>
      </c>
    </row>
    <row r="59" spans="1:7" ht="19.5" customHeight="1">
      <c r="A59" s="2864" t="s">
        <v>2597</v>
      </c>
      <c r="B59" s="2832">
        <v>0.6</v>
      </c>
      <c r="C59" s="2832">
        <v>0.3</v>
      </c>
      <c r="D59" s="2832">
        <v>0.25</v>
      </c>
      <c r="E59" s="2832">
        <v>0.25</v>
      </c>
      <c r="F59" s="2832">
        <v>0.25</v>
      </c>
      <c r="G59" s="2832">
        <v>0.15</v>
      </c>
    </row>
    <row r="60" spans="1:7" ht="19.5" customHeight="1">
      <c r="A60" s="2864" t="s">
        <v>2598</v>
      </c>
      <c r="B60" s="2832">
        <v>0.6</v>
      </c>
      <c r="C60" s="2832">
        <v>0.3</v>
      </c>
      <c r="D60" s="2832">
        <v>0.25</v>
      </c>
      <c r="E60" s="2832">
        <v>0.25</v>
      </c>
      <c r="F60" s="2832">
        <v>0.25</v>
      </c>
      <c r="G60" s="2832">
        <v>0.15</v>
      </c>
    </row>
    <row r="61" spans="1:7" ht="19.5" customHeight="1">
      <c r="A61" s="2864" t="s">
        <v>2599</v>
      </c>
      <c r="B61" s="2832">
        <v>0.6</v>
      </c>
      <c r="C61" s="2832">
        <v>0.3</v>
      </c>
      <c r="D61" s="2832">
        <v>0.25</v>
      </c>
      <c r="E61" s="2832">
        <v>0.25</v>
      </c>
      <c r="F61" s="2832">
        <v>0.25</v>
      </c>
      <c r="G61" s="2832">
        <v>0.15</v>
      </c>
    </row>
    <row r="62" spans="1:7" ht="19.5" customHeight="1">
      <c r="A62" s="2864" t="s">
        <v>2600</v>
      </c>
      <c r="B62" s="2832">
        <v>0.6</v>
      </c>
      <c r="C62" s="2832">
        <v>0.3</v>
      </c>
      <c r="D62" s="2832">
        <v>0.25</v>
      </c>
      <c r="E62" s="2832">
        <v>0.25</v>
      </c>
      <c r="F62" s="2832">
        <v>0.25</v>
      </c>
      <c r="G62" s="2832">
        <v>0.15</v>
      </c>
    </row>
    <row r="63" spans="1:7" ht="19.5" customHeight="1">
      <c r="A63" s="2864" t="s">
        <v>2601</v>
      </c>
      <c r="B63" s="2832">
        <v>0.6</v>
      </c>
      <c r="C63" s="2832">
        <v>0.3</v>
      </c>
      <c r="D63" s="2832">
        <v>0.25</v>
      </c>
      <c r="E63" s="2832">
        <v>0.25</v>
      </c>
      <c r="F63" s="2832">
        <v>0.25</v>
      </c>
      <c r="G63" s="2832">
        <v>0.15</v>
      </c>
    </row>
    <row r="64" spans="1:7" ht="19.5" customHeight="1">
      <c r="A64" s="2864" t="s">
        <v>2602</v>
      </c>
      <c r="B64" s="2832">
        <v>0.5</v>
      </c>
      <c r="C64" s="2832">
        <v>0.2</v>
      </c>
      <c r="D64" s="2832">
        <v>0.2</v>
      </c>
      <c r="E64" s="2832">
        <v>0.2</v>
      </c>
      <c r="F64" s="2832">
        <v>0.2</v>
      </c>
      <c r="G64" s="2832">
        <v>0.1</v>
      </c>
    </row>
    <row r="65" spans="1:7" ht="19.5" customHeight="1">
      <c r="A65" s="2864" t="s">
        <v>2603</v>
      </c>
      <c r="B65" s="2832">
        <v>0.5</v>
      </c>
      <c r="C65" s="2832">
        <v>0.2</v>
      </c>
      <c r="D65" s="2832">
        <v>0.2</v>
      </c>
      <c r="E65" s="2832">
        <v>0.2</v>
      </c>
      <c r="F65" s="2832">
        <v>0.2</v>
      </c>
      <c r="G65" s="2832">
        <v>0.1</v>
      </c>
    </row>
    <row r="66" spans="1:7" ht="19.5" customHeight="1">
      <c r="A66" s="2864" t="s">
        <v>2604</v>
      </c>
      <c r="B66" s="2832">
        <v>0.5</v>
      </c>
      <c r="C66" s="2832">
        <v>0.2</v>
      </c>
      <c r="D66" s="2832">
        <v>0.2</v>
      </c>
      <c r="E66" s="2832">
        <v>0.2</v>
      </c>
      <c r="F66" s="2832">
        <v>0.2</v>
      </c>
      <c r="G66" s="2832">
        <v>0.1</v>
      </c>
    </row>
    <row r="67" spans="1:7" ht="19.5" customHeight="1">
      <c r="A67" s="2864" t="s">
        <v>2605</v>
      </c>
      <c r="B67" s="2832">
        <v>0.5</v>
      </c>
      <c r="C67" s="2832">
        <v>0.2</v>
      </c>
      <c r="D67" s="2832">
        <v>0.2</v>
      </c>
      <c r="E67" s="2832">
        <v>0.2</v>
      </c>
      <c r="F67" s="2832">
        <v>0.2</v>
      </c>
      <c r="G67" s="2832">
        <v>0.1</v>
      </c>
    </row>
    <row r="68" spans="1:7" ht="19.5" customHeight="1">
      <c r="A68" s="2864" t="s">
        <v>2606</v>
      </c>
      <c r="B68" s="2832">
        <v>0.5</v>
      </c>
      <c r="C68" s="2832">
        <v>0.2</v>
      </c>
      <c r="D68" s="2832">
        <v>0.2</v>
      </c>
      <c r="E68" s="2832">
        <v>0.2</v>
      </c>
      <c r="F68" s="2832">
        <v>0.2</v>
      </c>
      <c r="G68" s="2832">
        <v>0.1</v>
      </c>
    </row>
    <row r="70" spans="1:7" ht="19.5" customHeight="1">
      <c r="A70" s="2846"/>
      <c r="B70" s="2865"/>
      <c r="C70" s="2865"/>
      <c r="D70" s="2865" t="s">
        <v>2643</v>
      </c>
      <c r="E70" s="2865"/>
      <c r="F70" s="2865"/>
    </row>
    <row r="71" spans="1:7" ht="19.5" customHeight="1">
      <c r="A71" s="2858" t="s">
        <v>2644</v>
      </c>
      <c r="B71" s="2858" t="s">
        <v>2645</v>
      </c>
      <c r="C71" s="2858" t="s">
        <v>2646</v>
      </c>
      <c r="D71" s="2858" t="s">
        <v>2647</v>
      </c>
      <c r="E71" s="2858" t="s">
        <v>2648</v>
      </c>
      <c r="F71" s="2858" t="s">
        <v>2649</v>
      </c>
    </row>
    <row r="72" spans="1:7" ht="13.5">
      <c r="A72" s="2858"/>
      <c r="B72" s="2858"/>
      <c r="C72" s="2858" t="s">
        <v>2650</v>
      </c>
      <c r="D72" s="2858"/>
      <c r="E72" s="2858" t="s">
        <v>2621</v>
      </c>
      <c r="F72" s="2858" t="s">
        <v>2621</v>
      </c>
    </row>
    <row r="73" spans="1:7" ht="13.5">
      <c r="A73" s="2858">
        <v>1</v>
      </c>
      <c r="B73" s="3514" t="s">
        <v>2651</v>
      </c>
      <c r="C73" s="2832" t="s">
        <v>2652</v>
      </c>
      <c r="D73" s="2832" t="s">
        <v>2653</v>
      </c>
      <c r="E73" s="2858">
        <v>0.2</v>
      </c>
      <c r="F73" s="2858">
        <v>25</v>
      </c>
    </row>
    <row r="74" spans="1:7" ht="24">
      <c r="A74" s="2858">
        <v>2</v>
      </c>
      <c r="B74" s="3509"/>
      <c r="C74" s="2832" t="s">
        <v>2654</v>
      </c>
      <c r="D74" s="2832" t="s">
        <v>2655</v>
      </c>
      <c r="E74" s="2858">
        <v>0.2</v>
      </c>
      <c r="F74" s="2858">
        <v>25</v>
      </c>
    </row>
    <row r="75" spans="1:7" ht="24">
      <c r="A75" s="2858">
        <v>3</v>
      </c>
      <c r="B75" s="3509"/>
      <c r="C75" s="2832" t="s">
        <v>2656</v>
      </c>
      <c r="D75" s="2832" t="s">
        <v>2657</v>
      </c>
      <c r="E75" s="2858">
        <v>0.2</v>
      </c>
      <c r="F75" s="2858">
        <v>25</v>
      </c>
    </row>
    <row r="76" spans="1:7" ht="13.5">
      <c r="A76" s="2858">
        <v>4</v>
      </c>
      <c r="B76" s="3509"/>
      <c r="C76" s="2832" t="s">
        <v>2658</v>
      </c>
      <c r="D76" s="2832" t="s">
        <v>2659</v>
      </c>
      <c r="E76" s="2858">
        <v>0.15</v>
      </c>
      <c r="F76" s="2858">
        <v>20</v>
      </c>
    </row>
    <row r="77" spans="1:7" ht="24">
      <c r="A77" s="2858">
        <v>5</v>
      </c>
      <c r="B77" s="3509"/>
      <c r="C77" s="2832" t="s">
        <v>2660</v>
      </c>
      <c r="D77" s="2832" t="s">
        <v>2661</v>
      </c>
      <c r="E77" s="2858">
        <v>0.15</v>
      </c>
      <c r="F77" s="2858">
        <v>20</v>
      </c>
    </row>
    <row r="78" spans="1:7" ht="24">
      <c r="A78" s="2858">
        <v>6</v>
      </c>
      <c r="B78" s="3509"/>
      <c r="C78" s="2832" t="s">
        <v>2662</v>
      </c>
      <c r="D78" s="2832" t="s">
        <v>2663</v>
      </c>
      <c r="E78" s="2858">
        <v>0.15</v>
      </c>
      <c r="F78" s="2858">
        <v>20</v>
      </c>
    </row>
    <row r="79" spans="1:7" ht="24">
      <c r="A79" s="2858">
        <v>7</v>
      </c>
      <c r="B79" s="3509"/>
      <c r="C79" s="2832" t="s">
        <v>2664</v>
      </c>
      <c r="D79" s="2832" t="s">
        <v>2665</v>
      </c>
      <c r="E79" s="2858">
        <v>0.15</v>
      </c>
      <c r="F79" s="2858">
        <v>20</v>
      </c>
    </row>
    <row r="80" spans="1:7" ht="24">
      <c r="A80" s="2858">
        <v>8</v>
      </c>
      <c r="B80" s="3509"/>
      <c r="C80" s="2832" t="s">
        <v>2666</v>
      </c>
      <c r="D80" s="2832" t="s">
        <v>2667</v>
      </c>
      <c r="E80" s="2858">
        <v>0.1</v>
      </c>
      <c r="F80" s="2858">
        <v>15</v>
      </c>
    </row>
    <row r="81" spans="1:6" ht="24">
      <c r="A81" s="2858">
        <v>9</v>
      </c>
      <c r="B81" s="3509"/>
      <c r="C81" s="2832" t="s">
        <v>2668</v>
      </c>
      <c r="D81" s="2832" t="s">
        <v>2669</v>
      </c>
      <c r="E81" s="2858">
        <v>0.1</v>
      </c>
      <c r="F81" s="2858">
        <v>15</v>
      </c>
    </row>
    <row r="82" spans="1:6" ht="24">
      <c r="A82" s="2858">
        <v>10</v>
      </c>
      <c r="B82" s="3509"/>
      <c r="C82" s="2832" t="s">
        <v>2670</v>
      </c>
      <c r="D82" s="2832" t="s">
        <v>2671</v>
      </c>
      <c r="E82" s="2858">
        <v>0.1</v>
      </c>
      <c r="F82" s="2858">
        <v>15</v>
      </c>
    </row>
    <row r="83" spans="1:6" ht="24">
      <c r="A83" s="2858">
        <v>11</v>
      </c>
      <c r="B83" s="3509"/>
      <c r="C83" s="2832" t="s">
        <v>2672</v>
      </c>
      <c r="D83" s="2832" t="s">
        <v>2673</v>
      </c>
      <c r="E83" s="2858">
        <v>0.1</v>
      </c>
      <c r="F83" s="2858">
        <v>15</v>
      </c>
    </row>
    <row r="84" spans="1:6" ht="24">
      <c r="A84" s="2858">
        <v>12</v>
      </c>
      <c r="B84" s="3509"/>
      <c r="C84" s="2832" t="s">
        <v>2674</v>
      </c>
      <c r="D84" s="2832" t="s">
        <v>2675</v>
      </c>
      <c r="E84" s="2858">
        <v>0.1</v>
      </c>
      <c r="F84" s="2858">
        <v>15</v>
      </c>
    </row>
    <row r="85" spans="1:6" ht="13.5">
      <c r="A85" s="2858">
        <v>13</v>
      </c>
      <c r="B85" s="3509"/>
      <c r="C85" s="2832" t="s">
        <v>2676</v>
      </c>
      <c r="D85" s="2832" t="s">
        <v>2677</v>
      </c>
      <c r="E85" s="2858">
        <v>0.1</v>
      </c>
      <c r="F85" s="2858">
        <v>15</v>
      </c>
    </row>
    <row r="86" spans="1:6" ht="13.5">
      <c r="A86" s="2858">
        <v>14</v>
      </c>
      <c r="B86" s="3509"/>
      <c r="C86" s="2832" t="s">
        <v>2678</v>
      </c>
      <c r="D86" s="2832" t="s">
        <v>2679</v>
      </c>
      <c r="E86" s="2858">
        <v>0.1</v>
      </c>
      <c r="F86" s="2858">
        <v>15</v>
      </c>
    </row>
    <row r="87" spans="1:6" ht="13.5">
      <c r="A87" s="2858">
        <v>15</v>
      </c>
      <c r="B87" s="3509"/>
      <c r="C87" s="2832" t="s">
        <v>2680</v>
      </c>
      <c r="D87" s="2832" t="s">
        <v>2681</v>
      </c>
      <c r="E87" s="2858">
        <v>0.1</v>
      </c>
      <c r="F87" s="2858">
        <v>15</v>
      </c>
    </row>
    <row r="88" spans="1:6" ht="24">
      <c r="A88" s="2858">
        <v>16</v>
      </c>
      <c r="B88" s="3509"/>
      <c r="C88" s="2832" t="s">
        <v>2682</v>
      </c>
      <c r="D88" s="2832" t="s">
        <v>2683</v>
      </c>
      <c r="E88" s="2858">
        <v>0.1</v>
      </c>
      <c r="F88" s="2858">
        <v>15</v>
      </c>
    </row>
    <row r="89" spans="1:6" ht="24">
      <c r="A89" s="2858">
        <v>17</v>
      </c>
      <c r="B89" s="3518"/>
      <c r="C89" s="2832" t="s">
        <v>2684</v>
      </c>
      <c r="D89" s="2832" t="s">
        <v>2685</v>
      </c>
      <c r="E89" s="2858">
        <v>0.1</v>
      </c>
      <c r="F89" s="2858">
        <v>15</v>
      </c>
    </row>
    <row r="90" spans="1:6" ht="13.5">
      <c r="A90" s="2858">
        <v>18</v>
      </c>
      <c r="B90" s="3514" t="s">
        <v>2686</v>
      </c>
      <c r="C90" s="2832" t="s">
        <v>2687</v>
      </c>
      <c r="D90" s="2832" t="s">
        <v>2688</v>
      </c>
      <c r="E90" s="2858">
        <v>0.2</v>
      </c>
      <c r="F90" s="2858">
        <v>25</v>
      </c>
    </row>
    <row r="91" spans="1:6" ht="24">
      <c r="A91" s="2858">
        <v>19</v>
      </c>
      <c r="B91" s="3509"/>
      <c r="C91" s="2832" t="s">
        <v>2689</v>
      </c>
      <c r="D91" s="2832" t="s">
        <v>2690</v>
      </c>
      <c r="E91" s="2858">
        <v>0.2</v>
      </c>
      <c r="F91" s="2858">
        <v>25</v>
      </c>
    </row>
    <row r="92" spans="1:6" ht="13.5">
      <c r="A92" s="2858">
        <v>20</v>
      </c>
      <c r="B92" s="3509"/>
      <c r="C92" s="2832" t="s">
        <v>2691</v>
      </c>
      <c r="D92" s="2832" t="s">
        <v>2692</v>
      </c>
      <c r="E92" s="2858">
        <v>0.15</v>
      </c>
      <c r="F92" s="2858">
        <v>20</v>
      </c>
    </row>
    <row r="93" spans="1:6" ht="13.5">
      <c r="A93" s="2858">
        <v>21</v>
      </c>
      <c r="B93" s="3509"/>
      <c r="C93" s="2832" t="s">
        <v>2693</v>
      </c>
      <c r="D93" s="2832" t="s">
        <v>2694</v>
      </c>
      <c r="E93" s="2858">
        <v>0.15</v>
      </c>
      <c r="F93" s="2858">
        <v>20</v>
      </c>
    </row>
    <row r="94" spans="1:6" ht="13.5">
      <c r="A94" s="2858">
        <v>22</v>
      </c>
      <c r="B94" s="3509"/>
      <c r="C94" s="2832" t="s">
        <v>2695</v>
      </c>
      <c r="D94" s="2832" t="s">
        <v>2696</v>
      </c>
      <c r="E94" s="2858">
        <v>0.15</v>
      </c>
      <c r="F94" s="2858">
        <v>20</v>
      </c>
    </row>
    <row r="95" spans="1:6" ht="36">
      <c r="A95" s="2858">
        <v>23</v>
      </c>
      <c r="B95" s="3509"/>
      <c r="C95" s="2832" t="s">
        <v>2697</v>
      </c>
      <c r="D95" s="2832" t="s">
        <v>2698</v>
      </c>
      <c r="E95" s="2858">
        <v>0.15</v>
      </c>
      <c r="F95" s="2858">
        <v>20</v>
      </c>
    </row>
    <row r="96" spans="1:6" ht="13.5">
      <c r="A96" s="2858">
        <v>24</v>
      </c>
      <c r="B96" s="3509"/>
      <c r="C96" s="2832" t="s">
        <v>2699</v>
      </c>
      <c r="D96" s="2832" t="s">
        <v>2700</v>
      </c>
      <c r="E96" s="2858">
        <v>0.1</v>
      </c>
      <c r="F96" s="2858">
        <v>15</v>
      </c>
    </row>
    <row r="97" spans="1:6" ht="13.5">
      <c r="A97" s="2858">
        <v>25</v>
      </c>
      <c r="B97" s="3509"/>
      <c r="C97" s="2832" t="s">
        <v>2701</v>
      </c>
      <c r="D97" s="2832" t="s">
        <v>2702</v>
      </c>
      <c r="E97" s="2858">
        <v>0.1</v>
      </c>
      <c r="F97" s="2858">
        <v>15</v>
      </c>
    </row>
    <row r="98" spans="1:6" ht="24">
      <c r="A98" s="2858">
        <v>26</v>
      </c>
      <c r="B98" s="3509"/>
      <c r="C98" s="2832" t="s">
        <v>2703</v>
      </c>
      <c r="D98" s="2832" t="s">
        <v>2704</v>
      </c>
      <c r="E98" s="2858">
        <v>0.1</v>
      </c>
      <c r="F98" s="2858">
        <v>15</v>
      </c>
    </row>
    <row r="99" spans="1:6" ht="24">
      <c r="A99" s="2858">
        <v>27</v>
      </c>
      <c r="B99" s="3509"/>
      <c r="C99" s="2832" t="s">
        <v>2705</v>
      </c>
      <c r="D99" s="2832" t="s">
        <v>2706</v>
      </c>
      <c r="E99" s="2858">
        <v>0.1</v>
      </c>
      <c r="F99" s="2858">
        <v>15</v>
      </c>
    </row>
    <row r="100" spans="1:6" ht="13.5">
      <c r="A100" s="2858">
        <v>28</v>
      </c>
      <c r="B100" s="3509"/>
      <c r="C100" s="2832" t="s">
        <v>2707</v>
      </c>
      <c r="D100" s="2832" t="s">
        <v>2708</v>
      </c>
      <c r="E100" s="2858">
        <v>0.1</v>
      </c>
      <c r="F100" s="2858">
        <v>15</v>
      </c>
    </row>
    <row r="101" spans="1:6" ht="13.5">
      <c r="A101" s="2858">
        <v>29</v>
      </c>
      <c r="B101" s="3509"/>
      <c r="C101" s="2832" t="s">
        <v>2709</v>
      </c>
      <c r="D101" s="2832" t="s">
        <v>2710</v>
      </c>
      <c r="E101" s="2858">
        <v>0.1</v>
      </c>
      <c r="F101" s="2858">
        <v>15</v>
      </c>
    </row>
    <row r="102" spans="1:6" ht="13.5">
      <c r="A102" s="2858">
        <v>30</v>
      </c>
      <c r="B102" s="3509"/>
      <c r="C102" s="2832" t="s">
        <v>2711</v>
      </c>
      <c r="D102" s="2832" t="s">
        <v>2712</v>
      </c>
      <c r="E102" s="2858">
        <v>0.1</v>
      </c>
      <c r="F102" s="2858">
        <v>15</v>
      </c>
    </row>
    <row r="103" spans="1:6" ht="24">
      <c r="A103" s="2858">
        <v>31</v>
      </c>
      <c r="B103" s="3509"/>
      <c r="C103" s="2832" t="s">
        <v>2713</v>
      </c>
      <c r="D103" s="2832" t="s">
        <v>2714</v>
      </c>
      <c r="E103" s="2858">
        <v>0.1</v>
      </c>
      <c r="F103" s="2858">
        <v>15</v>
      </c>
    </row>
    <row r="104" spans="1:6" ht="24">
      <c r="A104" s="2858">
        <v>32</v>
      </c>
      <c r="B104" s="3509"/>
      <c r="C104" s="2832" t="s">
        <v>2715</v>
      </c>
      <c r="D104" s="2832" t="s">
        <v>2716</v>
      </c>
      <c r="E104" s="2858">
        <v>0.1</v>
      </c>
      <c r="F104" s="2858">
        <v>15</v>
      </c>
    </row>
    <row r="105" spans="1:6" ht="24">
      <c r="A105" s="2858">
        <v>33</v>
      </c>
      <c r="B105" s="3509"/>
      <c r="C105" s="2832" t="s">
        <v>2717</v>
      </c>
      <c r="D105" s="2832" t="s">
        <v>2718</v>
      </c>
      <c r="E105" s="2858">
        <v>0.1</v>
      </c>
      <c r="F105" s="2858">
        <v>15</v>
      </c>
    </row>
    <row r="106" spans="1:6" ht="24">
      <c r="A106" s="2858">
        <v>34</v>
      </c>
      <c r="B106" s="3518"/>
      <c r="C106" s="2832" t="s">
        <v>2719</v>
      </c>
      <c r="D106" s="2832" t="s">
        <v>2720</v>
      </c>
      <c r="E106" s="2858">
        <v>0.1</v>
      </c>
      <c r="F106" s="2858">
        <v>15</v>
      </c>
    </row>
    <row r="107" spans="1:6" ht="24">
      <c r="A107" s="2858">
        <v>35</v>
      </c>
      <c r="B107" s="3514" t="s">
        <v>2721</v>
      </c>
      <c r="C107" s="2858" t="s">
        <v>2722</v>
      </c>
      <c r="D107" s="2832" t="s">
        <v>2723</v>
      </c>
      <c r="E107" s="2858">
        <v>0.15</v>
      </c>
      <c r="F107" s="2858">
        <v>20</v>
      </c>
    </row>
    <row r="108" spans="1:6" ht="13.5">
      <c r="A108" s="2858">
        <v>36</v>
      </c>
      <c r="B108" s="3509"/>
      <c r="C108" s="2858" t="s">
        <v>2724</v>
      </c>
      <c r="D108" s="2832" t="s">
        <v>2725</v>
      </c>
      <c r="E108" s="2858">
        <v>0.15</v>
      </c>
      <c r="F108" s="2858">
        <v>20</v>
      </c>
    </row>
    <row r="109" spans="1:6" ht="13.5">
      <c r="A109" s="2858">
        <v>37</v>
      </c>
      <c r="B109" s="3509"/>
      <c r="C109" s="2858" t="s">
        <v>2726</v>
      </c>
      <c r="D109" s="2832" t="s">
        <v>2727</v>
      </c>
      <c r="E109" s="2858">
        <v>0.15</v>
      </c>
      <c r="F109" s="2858">
        <v>20</v>
      </c>
    </row>
    <row r="110" spans="1:6" ht="13.5">
      <c r="A110" s="2858">
        <v>38</v>
      </c>
      <c r="B110" s="3509"/>
      <c r="C110" s="2858" t="s">
        <v>2728</v>
      </c>
      <c r="D110" s="2832" t="s">
        <v>2729</v>
      </c>
      <c r="E110" s="2858">
        <v>0.1</v>
      </c>
      <c r="F110" s="2858">
        <v>15</v>
      </c>
    </row>
    <row r="111" spans="1:6" ht="24">
      <c r="A111" s="2858">
        <v>39</v>
      </c>
      <c r="B111" s="3509"/>
      <c r="C111" s="2858" t="s">
        <v>2730</v>
      </c>
      <c r="D111" s="2832" t="s">
        <v>2731</v>
      </c>
      <c r="E111" s="2858">
        <v>0.1</v>
      </c>
      <c r="F111" s="2858">
        <v>15</v>
      </c>
    </row>
    <row r="112" spans="1:6" ht="24">
      <c r="A112" s="2858">
        <v>40</v>
      </c>
      <c r="B112" s="3518"/>
      <c r="C112" s="2858" t="s">
        <v>2732</v>
      </c>
      <c r="D112" s="2832" t="s">
        <v>2733</v>
      </c>
      <c r="E112" s="2858">
        <v>0.1</v>
      </c>
      <c r="F112" s="2858">
        <v>15</v>
      </c>
    </row>
    <row r="113" spans="1:6" ht="13.5">
      <c r="A113" s="2858">
        <v>41</v>
      </c>
      <c r="B113" s="3519" t="s">
        <v>2734</v>
      </c>
      <c r="C113" s="2858" t="s">
        <v>2735</v>
      </c>
      <c r="D113" s="2832" t="s">
        <v>2736</v>
      </c>
      <c r="E113" s="2858">
        <v>0.1</v>
      </c>
      <c r="F113" s="2858">
        <v>15</v>
      </c>
    </row>
    <row r="114" spans="1:6" ht="13.5">
      <c r="A114" s="2858">
        <v>42</v>
      </c>
      <c r="B114" s="3519"/>
      <c r="C114" s="2858" t="s">
        <v>2737</v>
      </c>
      <c r="D114" s="2832" t="s">
        <v>2738</v>
      </c>
      <c r="E114" s="2858">
        <v>0.1</v>
      </c>
      <c r="F114" s="2858">
        <v>15</v>
      </c>
    </row>
    <row r="115" spans="1:6" ht="24">
      <c r="A115" s="2858">
        <v>43</v>
      </c>
      <c r="B115" s="3519"/>
      <c r="C115" s="2858" t="s">
        <v>2739</v>
      </c>
      <c r="D115" s="2832" t="s">
        <v>2740</v>
      </c>
      <c r="E115" s="2858">
        <v>0.1</v>
      </c>
      <c r="F115" s="2858">
        <v>15</v>
      </c>
    </row>
    <row r="116" spans="1:6" ht="13.5">
      <c r="A116" s="2858">
        <v>44</v>
      </c>
      <c r="B116" s="3514" t="s">
        <v>2741</v>
      </c>
      <c r="C116" s="2858" t="s">
        <v>2742</v>
      </c>
      <c r="D116" s="2832" t="s">
        <v>2743</v>
      </c>
      <c r="E116" s="2858">
        <v>0.1</v>
      </c>
      <c r="F116" s="2858">
        <v>15</v>
      </c>
    </row>
    <row r="117" spans="1:6" ht="24">
      <c r="A117" s="2858">
        <v>45</v>
      </c>
      <c r="B117" s="3518"/>
      <c r="C117" s="2832" t="s">
        <v>2744</v>
      </c>
      <c r="D117" s="2832" t="s">
        <v>2745</v>
      </c>
      <c r="E117" s="2858">
        <v>0.1</v>
      </c>
      <c r="F117" s="2858">
        <v>15</v>
      </c>
    </row>
    <row r="118" spans="1:6" ht="24">
      <c r="A118" s="2858">
        <v>46</v>
      </c>
      <c r="B118" s="3514" t="s">
        <v>2746</v>
      </c>
      <c r="C118" s="2858" t="s">
        <v>2747</v>
      </c>
      <c r="D118" s="2832" t="s">
        <v>2748</v>
      </c>
      <c r="E118" s="2858">
        <v>0.1</v>
      </c>
      <c r="F118" s="2858">
        <v>15</v>
      </c>
    </row>
    <row r="119" spans="1:6" ht="24">
      <c r="A119" s="2858">
        <v>47</v>
      </c>
      <c r="B119" s="3518"/>
      <c r="C119" s="2858" t="s">
        <v>2749</v>
      </c>
      <c r="D119" s="2832" t="s">
        <v>2750</v>
      </c>
      <c r="E119" s="2858">
        <v>0.1</v>
      </c>
      <c r="F119" s="2858">
        <v>15</v>
      </c>
    </row>
    <row r="120" spans="1:6" ht="13.5">
      <c r="A120" s="2858">
        <v>48</v>
      </c>
      <c r="B120" s="3514" t="s">
        <v>2751</v>
      </c>
      <c r="C120" s="2858" t="s">
        <v>2752</v>
      </c>
      <c r="D120" s="2832" t="s">
        <v>2753</v>
      </c>
      <c r="E120" s="2858">
        <v>0.1</v>
      </c>
      <c r="F120" s="2858">
        <v>15</v>
      </c>
    </row>
    <row r="121" spans="1:6" ht="13.5">
      <c r="A121" s="2858">
        <v>49</v>
      </c>
      <c r="B121" s="3518"/>
      <c r="C121" s="2858" t="s">
        <v>2754</v>
      </c>
      <c r="D121" s="2832" t="s">
        <v>2755</v>
      </c>
      <c r="E121" s="2858">
        <v>0.1</v>
      </c>
      <c r="F121" s="2858">
        <v>15</v>
      </c>
    </row>
    <row r="122" spans="1:6" ht="24">
      <c r="A122" s="2858">
        <v>50</v>
      </c>
      <c r="B122" s="3519" t="s">
        <v>2756</v>
      </c>
      <c r="C122" s="2858" t="s">
        <v>2757</v>
      </c>
      <c r="D122" s="2832" t="s">
        <v>2758</v>
      </c>
      <c r="E122" s="2858">
        <v>0.1</v>
      </c>
      <c r="F122" s="2858">
        <v>15</v>
      </c>
    </row>
    <row r="123" spans="1:6" ht="24">
      <c r="A123" s="2858">
        <v>51</v>
      </c>
      <c r="B123" s="3519"/>
      <c r="C123" s="2858" t="s">
        <v>2759</v>
      </c>
      <c r="D123" s="2832" t="s">
        <v>2760</v>
      </c>
      <c r="E123" s="2858">
        <v>0.1</v>
      </c>
      <c r="F123" s="2858">
        <v>15</v>
      </c>
    </row>
    <row r="124" spans="1:6" ht="24">
      <c r="A124" s="2858">
        <v>52</v>
      </c>
      <c r="B124" s="3519" t="s">
        <v>2761</v>
      </c>
      <c r="C124" s="2858" t="s">
        <v>2762</v>
      </c>
      <c r="D124" s="2832" t="s">
        <v>2763</v>
      </c>
      <c r="E124" s="2858">
        <v>0.1</v>
      </c>
      <c r="F124" s="2858">
        <v>15</v>
      </c>
    </row>
    <row r="125" spans="1:6" ht="24">
      <c r="A125" s="2858">
        <v>53</v>
      </c>
      <c r="B125" s="3519"/>
      <c r="C125" s="2858" t="s">
        <v>2764</v>
      </c>
      <c r="D125" s="2832" t="s">
        <v>2765</v>
      </c>
      <c r="E125" s="2858">
        <v>0.1</v>
      </c>
      <c r="F125" s="2858">
        <v>15</v>
      </c>
    </row>
    <row r="126" spans="1:6" ht="13.5">
      <c r="A126" s="2858">
        <v>54</v>
      </c>
      <c r="B126" s="2858" t="s">
        <v>2766</v>
      </c>
      <c r="C126" s="2858" t="s">
        <v>2767</v>
      </c>
      <c r="D126" s="2832" t="s">
        <v>2768</v>
      </c>
      <c r="E126" s="2858">
        <v>0.1</v>
      </c>
      <c r="F126" s="2858">
        <v>15</v>
      </c>
    </row>
    <row r="127" spans="1:6" ht="13.5">
      <c r="A127" s="2858">
        <v>55</v>
      </c>
      <c r="B127" s="3519" t="s">
        <v>2769</v>
      </c>
      <c r="C127" s="2858" t="s">
        <v>2770</v>
      </c>
      <c r="D127" s="2832" t="s">
        <v>2771</v>
      </c>
      <c r="E127" s="2858">
        <v>0.1</v>
      </c>
      <c r="F127" s="2858">
        <v>15</v>
      </c>
    </row>
    <row r="128" spans="1:6" ht="13.5">
      <c r="A128" s="2858">
        <v>56</v>
      </c>
      <c r="B128" s="3519"/>
      <c r="C128" s="2858" t="s">
        <v>2772</v>
      </c>
      <c r="D128" s="2832" t="s">
        <v>2773</v>
      </c>
      <c r="E128" s="2858">
        <v>0.1</v>
      </c>
      <c r="F128" s="2858">
        <v>15</v>
      </c>
    </row>
    <row r="129" spans="1:6" ht="24">
      <c r="A129" s="2858">
        <v>57</v>
      </c>
      <c r="B129" s="3519"/>
      <c r="C129" s="2858" t="s">
        <v>2774</v>
      </c>
      <c r="D129" s="2832" t="s">
        <v>2775</v>
      </c>
      <c r="E129" s="2858">
        <v>0.1</v>
      </c>
      <c r="F129" s="2858">
        <v>15</v>
      </c>
    </row>
    <row r="130" spans="1:6" ht="24">
      <c r="A130" s="2858">
        <v>58</v>
      </c>
      <c r="B130" s="3519" t="s">
        <v>2776</v>
      </c>
      <c r="C130" s="2858" t="s">
        <v>2777</v>
      </c>
      <c r="D130" s="2832" t="s">
        <v>2778</v>
      </c>
      <c r="E130" s="2858">
        <v>0.1</v>
      </c>
      <c r="F130" s="2858">
        <v>15</v>
      </c>
    </row>
    <row r="131" spans="1:6" ht="13.5">
      <c r="A131" s="2858">
        <v>59</v>
      </c>
      <c r="B131" s="3519"/>
      <c r="C131" s="2858" t="s">
        <v>2779</v>
      </c>
      <c r="D131" s="2832" t="s">
        <v>2780</v>
      </c>
      <c r="E131" s="2858">
        <v>0.1</v>
      </c>
      <c r="F131" s="2858">
        <v>15</v>
      </c>
    </row>
    <row r="132" spans="1:6" ht="13.5">
      <c r="A132" s="2858">
        <v>60</v>
      </c>
      <c r="B132" s="3514" t="s">
        <v>2781</v>
      </c>
      <c r="C132" s="2858" t="s">
        <v>2782</v>
      </c>
      <c r="D132" s="2832" t="s">
        <v>2783</v>
      </c>
      <c r="E132" s="2858">
        <v>0.1</v>
      </c>
      <c r="F132" s="2858">
        <v>15</v>
      </c>
    </row>
    <row r="133" spans="1:6" ht="13.5">
      <c r="A133" s="2858">
        <v>61</v>
      </c>
      <c r="B133" s="3518"/>
      <c r="C133" s="2858" t="s">
        <v>2784</v>
      </c>
      <c r="D133" s="2832" t="s">
        <v>2785</v>
      </c>
      <c r="E133" s="2858">
        <v>0.1</v>
      </c>
      <c r="F133" s="2858">
        <v>15</v>
      </c>
    </row>
    <row r="134" spans="1:6" ht="24">
      <c r="A134" s="2858">
        <v>62</v>
      </c>
      <c r="B134" s="2858" t="s">
        <v>2786</v>
      </c>
      <c r="C134" s="2858" t="s">
        <v>2787</v>
      </c>
      <c r="D134" s="2832" t="s">
        <v>2788</v>
      </c>
      <c r="E134" s="2858">
        <v>0.1</v>
      </c>
      <c r="F134" s="2858">
        <v>15</v>
      </c>
    </row>
    <row r="135" spans="1:6" ht="13.5">
      <c r="A135" s="2858">
        <v>63</v>
      </c>
      <c r="B135" s="3519" t="s">
        <v>2789</v>
      </c>
      <c r="C135" s="2858" t="s">
        <v>2790</v>
      </c>
      <c r="D135" s="2832" t="s">
        <v>2791</v>
      </c>
      <c r="E135" s="2858">
        <v>0.1</v>
      </c>
      <c r="F135" s="2858">
        <v>15</v>
      </c>
    </row>
    <row r="136" spans="1:6" ht="13.5">
      <c r="A136" s="2858">
        <v>64</v>
      </c>
      <c r="B136" s="3519"/>
      <c r="C136" s="2858" t="s">
        <v>2792</v>
      </c>
      <c r="D136" s="2832" t="s">
        <v>2793</v>
      </c>
      <c r="E136" s="2858">
        <v>0.1</v>
      </c>
      <c r="F136" s="2858">
        <v>15</v>
      </c>
    </row>
    <row r="137" spans="1:6" ht="13.5">
      <c r="A137" s="2858">
        <v>65</v>
      </c>
      <c r="B137" s="2858" t="s">
        <v>2794</v>
      </c>
      <c r="C137" s="2858" t="s">
        <v>2795</v>
      </c>
      <c r="D137" s="2832" t="s">
        <v>2796</v>
      </c>
      <c r="E137" s="2858">
        <v>0.1</v>
      </c>
      <c r="F137" s="2858">
        <v>15</v>
      </c>
    </row>
    <row r="138" spans="1:6" ht="13.5">
      <c r="A138" s="2858"/>
      <c r="B138" s="2858"/>
      <c r="C138" s="2858"/>
      <c r="D138" s="2858"/>
      <c r="E138" s="2858" t="s">
        <v>2797</v>
      </c>
      <c r="F138" s="2858"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2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4"/>
      <c r="C2" s="3204"/>
      <c r="D2" s="3204"/>
      <c r="E2" s="3204"/>
    </row>
    <row r="3" spans="1:5" ht="18">
      <c r="A3" s="3205" t="str">
        <f>IF(项目基本情况!B9="房地产市场价值","估价结果一览表（市场价值不需“结果表-1”）","估价结果一览表")</f>
        <v>估价结果一览表</v>
      </c>
      <c r="B3" s="3205"/>
      <c r="C3" s="3205"/>
      <c r="D3" s="3205"/>
      <c r="E3" s="3205"/>
    </row>
    <row r="4" spans="1:5" ht="19.5" thickBot="1">
      <c r="A4" s="1391"/>
      <c r="B4" s="3203" t="s">
        <v>917</v>
      </c>
      <c r="C4" s="3203"/>
      <c r="D4" s="3203"/>
      <c r="E4" s="1391"/>
    </row>
    <row r="5" spans="1:5" ht="16.5" thickTop="1">
      <c r="B5" s="3201" t="s">
        <v>909</v>
      </c>
      <c r="C5" s="1392" t="s">
        <v>910</v>
      </c>
      <c r="D5" s="797">
        <f ca="1">结果表!H101</f>
        <v>53085</v>
      </c>
    </row>
    <row r="6" spans="1:5" ht="15.75">
      <c r="B6" s="3201"/>
      <c r="C6" s="1392" t="s">
        <v>911</v>
      </c>
      <c r="D6" s="797" t="str">
        <f ca="1">NUMBERSTRING(INT(D5*10000),2)&amp;"元整"</f>
        <v>伍亿叁仟零捌拾伍万元整</v>
      </c>
    </row>
    <row r="7" spans="1:5" ht="15.75">
      <c r="B7" s="3206"/>
      <c r="C7" s="1393" t="s">
        <v>912</v>
      </c>
      <c r="D7" s="798">
        <f ca="1">结果表!H102</f>
        <v>19612</v>
      </c>
    </row>
    <row r="8" spans="1:5" ht="15.75">
      <c r="B8" s="3207" t="str">
        <f>结果表!E103</f>
        <v>2.估价师知悉的法定优先受偿款</v>
      </c>
      <c r="C8" s="1394" t="s">
        <v>913</v>
      </c>
      <c r="D8" s="798">
        <f>结果表!H103</f>
        <v>0</v>
      </c>
    </row>
    <row r="9" spans="1:5" ht="15.75">
      <c r="B9" s="3209"/>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200" t="str">
        <f>结果表!E107</f>
        <v>3.房地产抵押价值</v>
      </c>
      <c r="C13" s="1397" t="s">
        <v>910</v>
      </c>
      <c r="D13" s="800">
        <f ca="1">结果表!H107</f>
        <v>53085</v>
      </c>
    </row>
    <row r="14" spans="1:5" ht="15.75">
      <c r="B14" s="3201"/>
      <c r="C14" s="1392" t="s">
        <v>911</v>
      </c>
      <c r="D14" s="797" t="str">
        <f ca="1">NUMBERSTRING(INT(D13*10000),2)&amp;"元整"</f>
        <v>伍亿叁仟零捌拾伍万元整</v>
      </c>
    </row>
    <row r="15" spans="1:5" ht="15">
      <c r="B15" s="3206"/>
      <c r="C15" s="1393" t="s">
        <v>921</v>
      </c>
      <c r="D15" s="806">
        <f ca="1">结果表!H108</f>
        <v>19612</v>
      </c>
    </row>
    <row r="16" spans="1:5" ht="15">
      <c r="B16" s="3207" t="str">
        <f>结果表!E109</f>
        <v>——</v>
      </c>
      <c r="C16" s="1397" t="s">
        <v>922</v>
      </c>
      <c r="D16" s="1398" t="str">
        <f>结果表!H109</f>
        <v>——</v>
      </c>
    </row>
    <row r="17" spans="1:5" ht="15.75">
      <c r="B17" s="3208"/>
      <c r="C17" s="1392" t="s">
        <v>923</v>
      </c>
      <c r="D17" s="797" t="e">
        <f>NUMBERSTRING(INT(D16*10000),2)&amp;"元整"</f>
        <v>#VALUE!</v>
      </c>
    </row>
    <row r="18" spans="1:5" ht="15">
      <c r="B18" s="3209"/>
      <c r="C18" s="1393" t="s">
        <v>912</v>
      </c>
      <c r="D18" s="806" t="str">
        <f>结果表!H110</f>
        <v>——</v>
      </c>
    </row>
    <row r="19" spans="1:5" ht="15.75">
      <c r="B19" s="3200" t="str">
        <f>结果表!E111</f>
        <v>——</v>
      </c>
      <c r="C19" s="1397" t="s">
        <v>910</v>
      </c>
      <c r="D19" s="798" t="str">
        <f>结果表!H111</f>
        <v>——</v>
      </c>
    </row>
    <row r="20" spans="1:5" ht="15.75">
      <c r="B20" s="3201"/>
      <c r="C20" s="1392" t="s">
        <v>923</v>
      </c>
      <c r="D20" s="797" t="e">
        <f>NUMBERSTRING(INT(D19*10000),2)&amp;"元整"</f>
        <v>#VALUE!</v>
      </c>
    </row>
    <row r="21" spans="1:5" ht="15.75" thickBot="1">
      <c r="B21" s="3202"/>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2798</v>
      </c>
      <c r="B1" s="2866"/>
      <c r="C1" s="2866"/>
      <c r="D1" s="2866"/>
      <c r="E1" s="2866"/>
      <c r="F1" s="2866"/>
      <c r="G1" s="2866"/>
      <c r="H1" s="2866"/>
      <c r="I1" s="2866"/>
      <c r="J1" s="2866"/>
      <c r="K1" s="2866"/>
      <c r="L1" s="2866"/>
      <c r="M1" s="2866"/>
      <c r="N1" s="707"/>
    </row>
    <row r="2" spans="1:20">
      <c r="A2" s="2867" t="s">
        <v>2799</v>
      </c>
      <c r="B2" s="2868" t="s">
        <v>2595</v>
      </c>
      <c r="C2" s="2868" t="s">
        <v>2596</v>
      </c>
      <c r="D2" s="2868" t="s">
        <v>2597</v>
      </c>
      <c r="E2" s="2868" t="s">
        <v>2598</v>
      </c>
      <c r="F2" s="2868" t="s">
        <v>2599</v>
      </c>
      <c r="G2" s="2868" t="s">
        <v>2600</v>
      </c>
      <c r="H2" s="2869" t="s">
        <v>2601</v>
      </c>
      <c r="I2" s="2869" t="s">
        <v>2602</v>
      </c>
      <c r="J2" s="2870" t="s">
        <v>2603</v>
      </c>
      <c r="K2" s="2870" t="s">
        <v>2604</v>
      </c>
      <c r="L2" s="2870" t="s">
        <v>2605</v>
      </c>
      <c r="M2" s="2871" t="s">
        <v>2606</v>
      </c>
      <c r="Q2" s="2881" t="s">
        <v>2804</v>
      </c>
      <c r="R2" s="2881" t="s">
        <v>2805</v>
      </c>
      <c r="S2" s="2881" t="s">
        <v>2806</v>
      </c>
      <c r="T2" s="2881" t="s">
        <v>2807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2800</v>
      </c>
      <c r="B93" s="2866"/>
      <c r="C93" s="2866"/>
      <c r="D93" s="2866"/>
      <c r="E93" s="2866"/>
      <c r="F93" s="2866"/>
      <c r="G93" s="2866"/>
      <c r="H93" s="2866"/>
      <c r="I93" s="2866"/>
      <c r="J93" s="2866"/>
      <c r="K93" s="2866"/>
      <c r="L93" s="2866"/>
      <c r="M93" s="2866"/>
    </row>
    <row r="94" spans="1:20">
      <c r="A94" s="2867" t="s">
        <v>2799</v>
      </c>
      <c r="B94" s="2868" t="s">
        <v>2595</v>
      </c>
      <c r="C94" s="2868" t="s">
        <v>2596</v>
      </c>
      <c r="D94" s="2868" t="s">
        <v>2597</v>
      </c>
      <c r="E94" s="2868" t="s">
        <v>2598</v>
      </c>
      <c r="F94" s="2868" t="s">
        <v>2599</v>
      </c>
      <c r="G94" s="2868" t="s">
        <v>2600</v>
      </c>
      <c r="H94" s="2869" t="s">
        <v>2601</v>
      </c>
      <c r="I94" s="2869" t="s">
        <v>2602</v>
      </c>
      <c r="J94" s="2870" t="s">
        <v>2603</v>
      </c>
      <c r="K94" s="2870" t="s">
        <v>2604</v>
      </c>
      <c r="L94" s="2870" t="s">
        <v>2605</v>
      </c>
      <c r="M94" s="2871" t="s">
        <v>2606</v>
      </c>
      <c r="N94">
        <f>SUMPRODUCT((A95:A184=ROUNDDOWN(基准地价修正!G3,1))*(B94:M94=基准地价修正!G2)*(B95:M184))</f>
        <v>1</v>
      </c>
      <c r="Q94" s="2881" t="s">
        <v>2804</v>
      </c>
      <c r="R94" s="2881" t="s">
        <v>2805</v>
      </c>
      <c r="S94" s="2881" t="s">
        <v>2806</v>
      </c>
      <c r="T94" s="2881" t="s">
        <v>2807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2801</v>
      </c>
      <c r="B185" s="2866"/>
      <c r="C185" s="2866"/>
      <c r="D185" s="2866"/>
      <c r="E185" s="2866"/>
      <c r="F185" s="2866"/>
      <c r="G185" s="2866"/>
      <c r="H185" s="2866"/>
      <c r="I185" s="2866"/>
      <c r="J185" s="2866"/>
      <c r="K185" s="2866"/>
      <c r="L185" s="2866"/>
      <c r="M185" s="2866"/>
    </row>
    <row r="186" spans="1:20">
      <c r="A186" s="2867" t="s">
        <v>2799</v>
      </c>
      <c r="B186" s="2868" t="s">
        <v>2595</v>
      </c>
      <c r="C186" s="2868" t="s">
        <v>2596</v>
      </c>
      <c r="D186" s="2868" t="s">
        <v>2597</v>
      </c>
      <c r="E186" s="2868" t="s">
        <v>2598</v>
      </c>
      <c r="F186" s="2868" t="s">
        <v>2599</v>
      </c>
      <c r="G186" s="2868" t="s">
        <v>2600</v>
      </c>
      <c r="H186" s="2869" t="s">
        <v>2601</v>
      </c>
      <c r="I186" s="2869" t="s">
        <v>2602</v>
      </c>
      <c r="J186" s="2870" t="s">
        <v>2603</v>
      </c>
      <c r="K186" s="2870" t="s">
        <v>2604</v>
      </c>
      <c r="L186" s="2870" t="s">
        <v>2605</v>
      </c>
      <c r="M186" s="2871" t="s">
        <v>2606</v>
      </c>
      <c r="Q186" s="2881" t="s">
        <v>2804</v>
      </c>
      <c r="R186" s="2881" t="s">
        <v>2805</v>
      </c>
      <c r="S186" s="2881" t="s">
        <v>2806</v>
      </c>
      <c r="T186" s="2881" t="s">
        <v>2807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2802</v>
      </c>
      <c r="B277" s="2866"/>
      <c r="C277" s="2866"/>
      <c r="D277" s="2866"/>
      <c r="E277" s="2866"/>
      <c r="F277" s="2866"/>
      <c r="G277" s="2866"/>
      <c r="H277" s="2866"/>
      <c r="I277" s="2866"/>
      <c r="J277" s="2866"/>
      <c r="K277" s="2866"/>
      <c r="L277" s="2866"/>
      <c r="M277" s="2866"/>
    </row>
    <row r="278" spans="1:21">
      <c r="A278" s="2867" t="s">
        <v>2799</v>
      </c>
      <c r="B278" s="2868" t="s">
        <v>2595</v>
      </c>
      <c r="C278" s="2868" t="s">
        <v>2596</v>
      </c>
      <c r="D278" s="2868" t="s">
        <v>2597</v>
      </c>
      <c r="E278" s="2868" t="s">
        <v>2598</v>
      </c>
      <c r="F278" s="2868" t="s">
        <v>2599</v>
      </c>
      <c r="G278" s="2868" t="s">
        <v>2600</v>
      </c>
      <c r="H278" s="2869" t="s">
        <v>2601</v>
      </c>
      <c r="I278" s="2869" t="s">
        <v>2602</v>
      </c>
      <c r="J278" s="2870" t="s">
        <v>2603</v>
      </c>
      <c r="K278" s="2870" t="s">
        <v>2604</v>
      </c>
      <c r="L278" s="2870" t="s">
        <v>2605</v>
      </c>
      <c r="M278" s="2871" t="s">
        <v>2606</v>
      </c>
      <c r="Q278" s="2881" t="s">
        <v>2804</v>
      </c>
      <c r="R278" s="2881" t="s">
        <v>2805</v>
      </c>
      <c r="S278" s="2881" t="s">
        <v>2808</v>
      </c>
      <c r="T278" s="2881" t="s">
        <v>2809</v>
      </c>
      <c r="U278" s="2881" t="s">
        <v>2807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2803</v>
      </c>
      <c r="B369" s="2879"/>
      <c r="C369" s="2879"/>
      <c r="D369" s="2879"/>
      <c r="E369" s="2879"/>
      <c r="F369" s="2879"/>
      <c r="G369" s="2879"/>
      <c r="H369" s="2879"/>
      <c r="I369" s="2879"/>
      <c r="J369" s="2879"/>
      <c r="K369" s="2879"/>
      <c r="L369" s="2879"/>
      <c r="M369" s="2879"/>
    </row>
    <row r="370" spans="1:20">
      <c r="A370" s="2867" t="s">
        <v>2799</v>
      </c>
      <c r="B370" s="2868" t="s">
        <v>2595</v>
      </c>
      <c r="C370" s="2868" t="s">
        <v>2596</v>
      </c>
      <c r="D370" s="2868" t="s">
        <v>2597</v>
      </c>
      <c r="E370" s="2868" t="s">
        <v>2598</v>
      </c>
      <c r="F370" s="2868" t="s">
        <v>2599</v>
      </c>
      <c r="G370" s="2868" t="s">
        <v>2600</v>
      </c>
      <c r="H370" s="2869" t="s">
        <v>2601</v>
      </c>
      <c r="I370" s="2869" t="s">
        <v>2602</v>
      </c>
      <c r="J370" s="2870" t="s">
        <v>2603</v>
      </c>
      <c r="K370" s="2870" t="s">
        <v>2604</v>
      </c>
      <c r="L370" s="2870" t="s">
        <v>2605</v>
      </c>
      <c r="M370" s="2871" t="s">
        <v>2606</v>
      </c>
      <c r="N370">
        <f>SUMPRODUCT((A371:A460=ROUNDDOWN(基准地价修正!G3,1))*(B370:M370=基准地价修正!G2)*(B371:M460))</f>
        <v>0.95120000000000005</v>
      </c>
      <c r="Q370" s="2881" t="s">
        <v>2804</v>
      </c>
      <c r="R370" s="2881" t="s">
        <v>2805</v>
      </c>
      <c r="S370" s="2881" t="s">
        <v>2806</v>
      </c>
      <c r="T370" s="2881" t="s">
        <v>2807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40389</v>
      </c>
      <c r="C2" s="2" t="s">
        <v>106</v>
      </c>
      <c r="D2" s="191"/>
      <c r="E2" s="191"/>
      <c r="F2" s="191"/>
      <c r="G2" s="191"/>
    </row>
    <row r="3" spans="1:7" s="192" customFormat="1" ht="18" customHeight="1" thickBot="1">
      <c r="A3" s="195" t="s">
        <v>58</v>
      </c>
      <c r="B3" s="196">
        <f ca="1">ROUND(B2*10000/'数据-汇总表'!E3,0)</f>
        <v>14922</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541</v>
      </c>
      <c r="D10" s="795">
        <f>'数据-汇总表'!E6</f>
        <v>27067.119999999988</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541</v>
      </c>
      <c r="D19" s="204">
        <f>'数据-汇总表'!E3</f>
        <v>27067.119999999988</v>
      </c>
      <c r="E19" s="203">
        <f>'数据-取费表'!B31</f>
        <v>200</v>
      </c>
      <c r="F19" s="223"/>
      <c r="G19" s="1" t="s">
        <v>436</v>
      </c>
    </row>
    <row r="20" spans="1:7" s="206" customFormat="1" ht="13.5" customHeight="1">
      <c r="A20" s="731" t="s">
        <v>419</v>
      </c>
      <c r="B20" s="202" t="s">
        <v>77</v>
      </c>
      <c r="C20" s="224">
        <f>ROUND((C5+C19)*F20,0)</f>
        <v>423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1345</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34</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2157</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2157</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27137</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14152</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12721</v>
      </c>
      <c r="D34" s="209"/>
      <c r="E34" s="212"/>
      <c r="F34" s="249">
        <f>IF('数据-取费表'!B24=0,1,'数据-取费表'!N16)</f>
        <v>1</v>
      </c>
      <c r="G34" s="211" t="s">
        <v>89</v>
      </c>
    </row>
    <row r="35" spans="1:7" ht="13.5" customHeight="1">
      <c r="A35" s="734" t="s">
        <v>351</v>
      </c>
      <c r="B35" s="207" t="s">
        <v>33</v>
      </c>
      <c r="C35" s="212">
        <f>ROUND(C34*F35,0)</f>
        <v>636</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541</v>
      </c>
      <c r="D37" s="209">
        <f>'数据-汇总表'!E3</f>
        <v>27067.119999999988</v>
      </c>
      <c r="E37" s="241">
        <f>'数据-取费表'!B35</f>
        <v>200</v>
      </c>
      <c r="F37" s="251"/>
      <c r="G37" s="253" t="s">
        <v>92</v>
      </c>
    </row>
    <row r="38" spans="1:7" ht="13.5" customHeight="1">
      <c r="A38" s="734" t="s">
        <v>354</v>
      </c>
      <c r="B38" s="207" t="s">
        <v>36</v>
      </c>
      <c r="C38" s="212">
        <f>ROUND(C34*F38,0)</f>
        <v>254</v>
      </c>
      <c r="D38" s="212"/>
      <c r="E38" s="212"/>
      <c r="F38" s="251">
        <f>'数据-取费表'!B36</f>
        <v>0.02</v>
      </c>
      <c r="G38" s="211" t="s">
        <v>90</v>
      </c>
    </row>
    <row r="39" spans="1:7" s="206" customFormat="1" ht="13.5" customHeight="1">
      <c r="A39" s="731" t="s">
        <v>338</v>
      </c>
      <c r="B39" s="202" t="s">
        <v>77</v>
      </c>
      <c r="C39" s="224">
        <f>ROUND(C33*F20,0)</f>
        <v>283</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448</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439</v>
      </c>
      <c r="D42" s="230"/>
      <c r="E42" s="230"/>
      <c r="F42" s="231"/>
      <c r="G42" s="3385" t="s">
        <v>94</v>
      </c>
    </row>
    <row r="43" spans="1:7" ht="13.5" customHeight="1">
      <c r="A43" s="734" t="s">
        <v>347</v>
      </c>
      <c r="B43" s="207" t="s">
        <v>426</v>
      </c>
      <c r="C43" s="230">
        <f ca="1">ROUND(IF('数据-取费表'!B22&lt;=1,C39*F22*'数据-取费表'!B21/2,C39*(POWER((1+F22),'数据-取费表'!B21/2)-1)),0)</f>
        <v>9</v>
      </c>
      <c r="D43" s="230"/>
      <c r="E43" s="230"/>
      <c r="F43" s="231"/>
      <c r="G43" s="3386"/>
    </row>
    <row r="44" spans="1:7" ht="13.5" customHeight="1">
      <c r="A44" s="734" t="s">
        <v>348</v>
      </c>
      <c r="B44" s="207" t="s">
        <v>428</v>
      </c>
      <c r="C44" s="230">
        <f ca="1">ROUND(IF('数据-取费表'!B22&lt;=1,C40*F22*'数据-取费表'!B21/2,C40*(POWER((1+F22),'数据-取费表'!B21/2)-1)),4)</f>
        <v>5.9999999999999995E-4</v>
      </c>
      <c r="D44" s="230"/>
      <c r="E44" s="230"/>
      <c r="F44" s="231"/>
      <c r="G44" s="3387"/>
    </row>
    <row r="45" spans="1:7" s="206" customFormat="1" ht="13.5" customHeight="1">
      <c r="A45" s="731" t="s">
        <v>341</v>
      </c>
      <c r="B45" s="236" t="s">
        <v>85</v>
      </c>
      <c r="C45" s="237">
        <f>C46</f>
        <v>1444</v>
      </c>
      <c r="D45" s="227">
        <f>C47</f>
        <v>2E-3</v>
      </c>
      <c r="E45" s="228" t="s">
        <v>102</v>
      </c>
      <c r="F45" s="238"/>
      <c r="G45" s="239" t="s">
        <v>434</v>
      </c>
    </row>
    <row r="46" spans="1:7" s="206" customFormat="1" ht="13.5" customHeight="1">
      <c r="A46" s="734" t="s">
        <v>349</v>
      </c>
      <c r="B46" s="240" t="s">
        <v>427</v>
      </c>
      <c r="C46" s="241">
        <f>ROUND((C33+C39)*F27,0)</f>
        <v>1444</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17669</v>
      </c>
      <c r="D49" s="224"/>
      <c r="E49" s="224"/>
      <c r="F49" s="256"/>
      <c r="G49" s="226" t="s">
        <v>435</v>
      </c>
    </row>
    <row r="50" spans="1:7" s="250" customFormat="1" ht="24">
      <c r="A50" s="731" t="s">
        <v>344</v>
      </c>
      <c r="B50" s="202" t="s">
        <v>97</v>
      </c>
      <c r="C50" s="224"/>
      <c r="D50" s="224"/>
      <c r="E50" s="224"/>
      <c r="F50" s="256">
        <f>IF('数据-取费表'!B24=0,'数据-取费表'!N16,1)</f>
        <v>0.75</v>
      </c>
      <c r="G50" s="239" t="s">
        <v>98</v>
      </c>
    </row>
    <row r="51" spans="1:7" ht="16.5" customHeight="1">
      <c r="A51" s="731" t="s">
        <v>345</v>
      </c>
      <c r="B51" s="202" t="s">
        <v>105</v>
      </c>
      <c r="C51" s="224">
        <f ca="1">ROUND(C49*F50,0)</f>
        <v>13252</v>
      </c>
      <c r="D51" s="224"/>
      <c r="E51" s="224"/>
      <c r="F51" s="256"/>
      <c r="G51" s="226" t="s">
        <v>37</v>
      </c>
    </row>
    <row r="52" spans="1:7" s="200" customFormat="1" ht="16.5" thickBot="1">
      <c r="A52" s="257" t="s">
        <v>38</v>
      </c>
      <c r="B52" s="258"/>
      <c r="C52" s="259">
        <f ca="1">C31+C51</f>
        <v>40389</v>
      </c>
      <c r="D52" s="258"/>
      <c r="E52" s="258"/>
      <c r="F52" s="258"/>
      <c r="G52" s="260"/>
    </row>
    <row r="55" spans="1:7" ht="15">
      <c r="B55" s="262" t="s">
        <v>39</v>
      </c>
      <c r="C55" s="263"/>
    </row>
    <row r="56" spans="1:7">
      <c r="B56" s="265" t="s">
        <v>40</v>
      </c>
      <c r="C56" s="266">
        <f ca="1">ROUND(C51/C52,3)</f>
        <v>0.32800000000000001</v>
      </c>
    </row>
    <row r="57" spans="1:7">
      <c r="B57" s="265" t="s">
        <v>41</v>
      </c>
      <c r="C57" s="267">
        <f ca="1">1-C56</f>
        <v>0.67199999999999993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520" t="s">
        <v>3181</v>
      </c>
      <c r="B1" s="3520"/>
    </row>
    <row r="2" spans="1:7" ht="14.25" thickBot="1">
      <c r="A2" s="2969"/>
      <c r="B2" s="2969"/>
    </row>
    <row r="3" spans="1:7" ht="14.25" thickBot="1">
      <c r="A3" s="2969"/>
      <c r="B3" s="2969"/>
      <c r="C3" s="2970" t="s">
        <v>2811</v>
      </c>
      <c r="D3" s="2970" t="s">
        <v>2867</v>
      </c>
      <c r="E3" s="2970" t="s">
        <v>2813</v>
      </c>
      <c r="F3" s="2970" t="s">
        <v>2868</v>
      </c>
      <c r="G3" s="2970" t="s">
        <v>2631</v>
      </c>
    </row>
    <row r="4" spans="1:7" ht="14.25" thickBot="1">
      <c r="A4" s="2971" t="s">
        <v>2866</v>
      </c>
      <c r="B4" s="2972" t="s">
        <v>2872</v>
      </c>
      <c r="C4" s="2970"/>
      <c r="D4" s="2970"/>
      <c r="E4" s="2970"/>
      <c r="F4" s="2970"/>
      <c r="G4" s="2970"/>
    </row>
    <row r="5" spans="1:7">
      <c r="A5" s="2973" t="s">
        <v>2840</v>
      </c>
      <c r="B5" s="2974" t="s">
        <v>2854</v>
      </c>
      <c r="C5" s="2975">
        <v>9.8000000000000004E-2</v>
      </c>
      <c r="D5" s="2975">
        <v>8.6999999999999994E-2</v>
      </c>
      <c r="E5" s="2975">
        <v>8.6999999999999994E-2</v>
      </c>
      <c r="F5" s="2975">
        <v>9.8000000000000004E-2</v>
      </c>
      <c r="G5" s="2976">
        <v>9.5000000000000001E-2</v>
      </c>
    </row>
    <row r="6" spans="1:7">
      <c r="A6" s="2977" t="s">
        <v>144</v>
      </c>
      <c r="B6" s="2978" t="s">
        <v>2869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2923</v>
      </c>
      <c r="C29" s="2987"/>
      <c r="D29" s="2983">
        <v>5.1999999999999998E-2</v>
      </c>
      <c r="E29" s="2983">
        <v>7.0000000000000007E-2</v>
      </c>
      <c r="F29" s="2987"/>
      <c r="G29" s="2985">
        <v>7.0999999999999994E-2</v>
      </c>
    </row>
    <row r="30" spans="1:7">
      <c r="A30" s="2988" t="s">
        <v>296</v>
      </c>
      <c r="B30" s="2974" t="s">
        <v>2856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2926</v>
      </c>
      <c r="C50" s="2979">
        <v>9.8000000000000004E-2</v>
      </c>
      <c r="D50" s="2979">
        <v>7.2999999999999995E-2</v>
      </c>
      <c r="E50" s="2979">
        <v>7.0999999999999994E-2</v>
      </c>
      <c r="F50" s="2990"/>
      <c r="G50" s="2980">
        <v>7.2999999999999995E-2</v>
      </c>
    </row>
    <row r="51" spans="1:7">
      <c r="A51" s="2989" t="s">
        <v>296</v>
      </c>
      <c r="B51" s="2978" t="s">
        <v>2928</v>
      </c>
      <c r="C51" s="2979">
        <v>9.9000000000000005E-2</v>
      </c>
      <c r="D51" s="2979">
        <v>8.5000000000000006E-2</v>
      </c>
      <c r="E51" s="2979">
        <v>6.3E-2</v>
      </c>
      <c r="F51" s="2990"/>
      <c r="G51" s="2980">
        <v>9.6000000000000002E-2</v>
      </c>
    </row>
    <row r="52" spans="1:7">
      <c r="A52" s="2989" t="s">
        <v>296</v>
      </c>
      <c r="B52" s="2978" t="s">
        <v>2932</v>
      </c>
      <c r="C52" s="2979">
        <v>7.3999999999999996E-2</v>
      </c>
      <c r="D52" s="2979">
        <v>9.6000000000000002E-2</v>
      </c>
      <c r="E52" s="2979">
        <v>0.05</v>
      </c>
      <c r="F52" s="2990"/>
      <c r="G52" s="2980">
        <v>9.8000000000000004E-2</v>
      </c>
    </row>
    <row r="53" spans="1:7">
      <c r="A53" s="2989" t="s">
        <v>296</v>
      </c>
      <c r="B53" s="2978" t="s">
        <v>2937</v>
      </c>
      <c r="C53" s="2979">
        <v>8.5999999999999993E-2</v>
      </c>
      <c r="D53" s="2990"/>
      <c r="E53" s="2979">
        <v>9.1999999999999998E-2</v>
      </c>
      <c r="F53" s="2990"/>
      <c r="G53" s="2991"/>
    </row>
    <row r="54" spans="1:7" ht="14.25" thickBot="1">
      <c r="A54" s="2992" t="s">
        <v>296</v>
      </c>
      <c r="B54" s="2982" t="s">
        <v>2940</v>
      </c>
      <c r="C54" s="2983">
        <v>9.6000000000000002E-2</v>
      </c>
      <c r="D54" s="2984"/>
      <c r="E54" s="2993"/>
      <c r="F54" s="2984"/>
      <c r="G54" s="2994"/>
    </row>
    <row r="55" spans="1:7">
      <c r="A55" s="2988" t="s">
        <v>110</v>
      </c>
      <c r="B55" s="2974" t="s">
        <v>2857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2938</v>
      </c>
      <c r="C78" s="2979">
        <v>0.1</v>
      </c>
      <c r="D78" s="2979">
        <v>8.5000000000000006E-2</v>
      </c>
      <c r="E78" s="2979">
        <v>9.6000000000000002E-2</v>
      </c>
      <c r="F78" s="2990"/>
      <c r="G78" s="2980">
        <v>9.6000000000000002E-2</v>
      </c>
    </row>
    <row r="79" spans="1:7">
      <c r="A79" s="2989" t="s">
        <v>110</v>
      </c>
      <c r="B79" s="2978" t="s">
        <v>2941</v>
      </c>
      <c r="C79" s="2979">
        <v>0.05</v>
      </c>
      <c r="D79" s="2979">
        <v>9.6000000000000002E-2</v>
      </c>
      <c r="E79" s="2979">
        <v>9.5000000000000001E-2</v>
      </c>
      <c r="F79" s="2990"/>
      <c r="G79" s="2980">
        <v>9.8000000000000004E-2</v>
      </c>
    </row>
    <row r="80" spans="1:7">
      <c r="A80" s="2989" t="s">
        <v>110</v>
      </c>
      <c r="B80" s="2978" t="s">
        <v>2945</v>
      </c>
      <c r="C80" s="2979">
        <v>8.5999999999999993E-2</v>
      </c>
      <c r="D80" s="2995"/>
      <c r="E80" s="2979">
        <v>0.1</v>
      </c>
      <c r="F80" s="2990"/>
      <c r="G80" s="2991"/>
    </row>
    <row r="81" spans="1:7">
      <c r="A81" s="2989" t="s">
        <v>110</v>
      </c>
      <c r="B81" s="2978" t="s">
        <v>2950</v>
      </c>
      <c r="C81" s="2979">
        <v>9.6000000000000002E-2</v>
      </c>
      <c r="D81" s="2990"/>
      <c r="E81" s="2979">
        <v>9.8000000000000004E-2</v>
      </c>
      <c r="F81" s="2990"/>
      <c r="G81" s="2991"/>
    </row>
    <row r="82" spans="1:7">
      <c r="A82" s="2989" t="s">
        <v>110</v>
      </c>
      <c r="B82" s="2978" t="s">
        <v>2957</v>
      </c>
      <c r="C82" s="2995"/>
      <c r="D82" s="2990"/>
      <c r="E82" s="2979">
        <v>7.6999999999999999E-2</v>
      </c>
      <c r="F82" s="2990"/>
      <c r="G82" s="2991"/>
    </row>
    <row r="83" spans="1:7">
      <c r="A83" s="2989" t="s">
        <v>110</v>
      </c>
      <c r="B83" s="2978" t="s">
        <v>2963</v>
      </c>
      <c r="C83" s="2990"/>
      <c r="D83" s="2990"/>
      <c r="E83" s="2990"/>
      <c r="F83" s="2979">
        <v>0.1</v>
      </c>
      <c r="G83" s="2996"/>
    </row>
    <row r="84" spans="1:7">
      <c r="A84" s="2989" t="s">
        <v>110</v>
      </c>
      <c r="B84" s="2978" t="s">
        <v>2970</v>
      </c>
      <c r="C84" s="2990"/>
      <c r="D84" s="2990"/>
      <c r="E84" s="2990"/>
      <c r="F84" s="2979">
        <v>0.1</v>
      </c>
      <c r="G84" s="2996"/>
    </row>
    <row r="85" spans="1:7">
      <c r="A85" s="2989" t="s">
        <v>110</v>
      </c>
      <c r="B85" s="2978" t="s">
        <v>2977</v>
      </c>
      <c r="C85" s="2990"/>
      <c r="D85" s="2990"/>
      <c r="E85" s="2990"/>
      <c r="F85" s="2979">
        <v>0.1</v>
      </c>
      <c r="G85" s="2996"/>
    </row>
    <row r="86" spans="1:7" ht="14.25" thickBot="1">
      <c r="A86" s="2992" t="s">
        <v>110</v>
      </c>
      <c r="B86" s="2982" t="s">
        <v>2982</v>
      </c>
      <c r="C86" s="2983">
        <v>9.8000000000000004E-2</v>
      </c>
      <c r="D86" s="2983">
        <v>9.8000000000000004E-2</v>
      </c>
      <c r="E86" s="2983">
        <v>9.6000000000000002E-2</v>
      </c>
      <c r="F86" s="2993"/>
      <c r="G86" s="2985">
        <v>0.1</v>
      </c>
    </row>
    <row r="87" spans="1:7">
      <c r="A87" s="2988" t="s">
        <v>303</v>
      </c>
      <c r="B87" s="2974" t="s">
        <v>2858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2951</v>
      </c>
      <c r="C113" s="2979">
        <v>0.1</v>
      </c>
      <c r="D113" s="2979">
        <v>0.1</v>
      </c>
      <c r="E113" s="2990"/>
      <c r="F113" s="2990"/>
      <c r="G113" s="2980">
        <v>0.1</v>
      </c>
    </row>
    <row r="114" spans="1:7">
      <c r="A114" s="2989" t="s">
        <v>303</v>
      </c>
      <c r="B114" s="2978" t="s">
        <v>2958</v>
      </c>
      <c r="C114" s="2979">
        <v>9.7000000000000003E-2</v>
      </c>
      <c r="D114" s="2979">
        <v>9.7000000000000003E-2</v>
      </c>
      <c r="E114" s="2990"/>
      <c r="F114" s="2990"/>
      <c r="G114" s="2980">
        <v>9.9000000000000005E-2</v>
      </c>
    </row>
    <row r="115" spans="1:7">
      <c r="A115" s="2989" t="s">
        <v>303</v>
      </c>
      <c r="B115" s="2978" t="s">
        <v>2964</v>
      </c>
      <c r="C115" s="2979">
        <v>0.1</v>
      </c>
      <c r="D115" s="2979">
        <v>0.1</v>
      </c>
      <c r="E115" s="2990"/>
      <c r="F115" s="2990"/>
      <c r="G115" s="2980">
        <v>0.1</v>
      </c>
    </row>
    <row r="116" spans="1:7">
      <c r="A116" s="2989" t="s">
        <v>303</v>
      </c>
      <c r="B116" s="2978" t="s">
        <v>2971</v>
      </c>
      <c r="C116" s="2979">
        <v>0.1</v>
      </c>
      <c r="D116" s="2979">
        <v>0.1</v>
      </c>
      <c r="E116" s="2990"/>
      <c r="F116" s="2990"/>
      <c r="G116" s="2980">
        <v>0.1</v>
      </c>
    </row>
    <row r="117" spans="1:7">
      <c r="A117" s="2989" t="s">
        <v>303</v>
      </c>
      <c r="B117" s="2978" t="s">
        <v>2978</v>
      </c>
      <c r="C117" s="2979">
        <v>9.7000000000000003E-2</v>
      </c>
      <c r="D117" s="2979">
        <v>9.7000000000000003E-2</v>
      </c>
      <c r="E117" s="2990"/>
      <c r="F117" s="2990"/>
      <c r="G117" s="2980">
        <v>9.7000000000000003E-2</v>
      </c>
    </row>
    <row r="118" spans="1:7">
      <c r="A118" s="2989" t="s">
        <v>303</v>
      </c>
      <c r="B118" s="2978" t="s">
        <v>2983</v>
      </c>
      <c r="C118" s="2979">
        <v>0.1</v>
      </c>
      <c r="D118" s="2979">
        <v>0.1</v>
      </c>
      <c r="E118" s="2990"/>
      <c r="F118" s="2990"/>
      <c r="G118" s="2980">
        <v>0.1</v>
      </c>
    </row>
    <row r="119" spans="1:7">
      <c r="A119" s="2989" t="s">
        <v>303</v>
      </c>
      <c r="B119" s="2978" t="s">
        <v>2987</v>
      </c>
      <c r="C119" s="2979">
        <v>5.0999999999999997E-2</v>
      </c>
      <c r="D119" s="2979">
        <v>5.1999999999999998E-2</v>
      </c>
      <c r="E119" s="2990"/>
      <c r="F119" s="2995"/>
      <c r="G119" s="2980">
        <v>0.06</v>
      </c>
    </row>
    <row r="120" spans="1:7">
      <c r="A120" s="2989" t="s">
        <v>303</v>
      </c>
      <c r="B120" s="2978" t="s">
        <v>2991</v>
      </c>
      <c r="C120" s="2990"/>
      <c r="D120" s="2990"/>
      <c r="E120" s="2990"/>
      <c r="F120" s="2979">
        <v>0.1</v>
      </c>
      <c r="G120" s="2996"/>
    </row>
    <row r="121" spans="1:7">
      <c r="A121" s="2989" t="s">
        <v>303</v>
      </c>
      <c r="B121" s="2978" t="s">
        <v>2996</v>
      </c>
      <c r="C121" s="2990"/>
      <c r="D121" s="2990"/>
      <c r="E121" s="2990"/>
      <c r="F121" s="2979">
        <v>0.1</v>
      </c>
      <c r="G121" s="2996"/>
    </row>
    <row r="122" spans="1:7">
      <c r="A122" s="2989" t="s">
        <v>303</v>
      </c>
      <c r="B122" s="2978" t="s">
        <v>3001</v>
      </c>
      <c r="C122" s="2979">
        <v>0.1</v>
      </c>
      <c r="D122" s="2979">
        <v>0.1</v>
      </c>
      <c r="E122" s="2979">
        <v>9.8000000000000004E-2</v>
      </c>
      <c r="F122" s="2979">
        <v>0.1</v>
      </c>
      <c r="G122" s="2980">
        <v>0.1</v>
      </c>
    </row>
    <row r="123" spans="1:7">
      <c r="A123" s="2989" t="s">
        <v>303</v>
      </c>
      <c r="B123" s="2978" t="s">
        <v>3006</v>
      </c>
      <c r="C123" s="2979">
        <v>0.1</v>
      </c>
      <c r="D123" s="2979">
        <v>0.1</v>
      </c>
      <c r="E123" s="2979">
        <v>9.8000000000000004E-2</v>
      </c>
      <c r="F123" s="2979">
        <v>0.1</v>
      </c>
      <c r="G123" s="2980">
        <v>0.1</v>
      </c>
    </row>
    <row r="124" spans="1:7">
      <c r="A124" s="2989" t="s">
        <v>303</v>
      </c>
      <c r="B124" s="2978" t="s">
        <v>3011</v>
      </c>
      <c r="C124" s="2979">
        <v>0.1</v>
      </c>
      <c r="D124" s="2979">
        <v>0.1</v>
      </c>
      <c r="E124" s="2979">
        <v>9.8000000000000004E-2</v>
      </c>
      <c r="F124" s="2995"/>
      <c r="G124" s="2980">
        <v>0.1</v>
      </c>
    </row>
    <row r="125" spans="1:7">
      <c r="A125" s="2989" t="s">
        <v>303</v>
      </c>
      <c r="B125" s="2978" t="s">
        <v>3016</v>
      </c>
      <c r="C125" s="2979">
        <v>9.8000000000000004E-2</v>
      </c>
      <c r="D125" s="2979">
        <v>9.8000000000000004E-2</v>
      </c>
      <c r="E125" s="2979">
        <v>9.6000000000000002E-2</v>
      </c>
      <c r="F125" s="2995"/>
      <c r="G125" s="2980">
        <v>0.1</v>
      </c>
    </row>
    <row r="126" spans="1:7" ht="14.25" thickBot="1">
      <c r="A126" s="2992" t="s">
        <v>303</v>
      </c>
      <c r="B126" s="2982" t="s">
        <v>3182</v>
      </c>
      <c r="C126" s="2983">
        <v>0.1</v>
      </c>
      <c r="D126" s="2983">
        <v>0.1</v>
      </c>
      <c r="E126" s="2983">
        <v>9.8000000000000004E-2</v>
      </c>
      <c r="F126" s="2983">
        <v>0.1</v>
      </c>
      <c r="G126" s="2985">
        <v>0.1</v>
      </c>
    </row>
    <row r="127" spans="1:7">
      <c r="A127" s="2988" t="s">
        <v>29</v>
      </c>
      <c r="B127" s="2974" t="s">
        <v>2859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2929</v>
      </c>
      <c r="C148" s="2979">
        <v>0.13</v>
      </c>
      <c r="D148" s="2979">
        <v>0.13</v>
      </c>
      <c r="E148" s="2979">
        <v>0.13</v>
      </c>
      <c r="F148" s="2990"/>
      <c r="G148" s="2980">
        <v>0.13</v>
      </c>
    </row>
    <row r="149" spans="1:7">
      <c r="A149" s="2989" t="s">
        <v>29</v>
      </c>
      <c r="B149" s="2978" t="s">
        <v>2933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2952</v>
      </c>
      <c r="C153" s="2979">
        <v>0.13</v>
      </c>
      <c r="D153" s="2979">
        <v>0.13</v>
      </c>
      <c r="E153" s="2979">
        <v>0.13</v>
      </c>
      <c r="F153" s="2979">
        <v>0.13</v>
      </c>
      <c r="G153" s="2980">
        <v>0.13</v>
      </c>
    </row>
    <row r="154" spans="1:7">
      <c r="A154" s="2989" t="s">
        <v>29</v>
      </c>
      <c r="B154" s="2978" t="s">
        <v>2959</v>
      </c>
      <c r="C154" s="2979">
        <v>0.121</v>
      </c>
      <c r="D154" s="2979">
        <v>0.121</v>
      </c>
      <c r="E154" s="2979">
        <v>0.105</v>
      </c>
      <c r="F154" s="2979">
        <v>0.121</v>
      </c>
      <c r="G154" s="2980">
        <v>0.123</v>
      </c>
    </row>
    <row r="155" spans="1:7">
      <c r="A155" s="2989" t="s">
        <v>29</v>
      </c>
      <c r="B155" s="2978" t="s">
        <v>2965</v>
      </c>
      <c r="C155" s="2979">
        <v>0.1</v>
      </c>
      <c r="D155" s="2979">
        <v>0.1</v>
      </c>
      <c r="E155" s="2979">
        <v>0.1</v>
      </c>
      <c r="F155" s="2979">
        <v>0.1</v>
      </c>
      <c r="G155" s="2980">
        <v>0.1</v>
      </c>
    </row>
    <row r="156" spans="1:7">
      <c r="A156" s="2989" t="s">
        <v>29</v>
      </c>
      <c r="B156" s="2978" t="s">
        <v>2972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2992</v>
      </c>
      <c r="C160" s="2979">
        <v>0.13</v>
      </c>
      <c r="D160" s="2979">
        <v>0.13</v>
      </c>
      <c r="E160" s="2979">
        <v>0.124</v>
      </c>
      <c r="F160" s="2979">
        <v>0.126</v>
      </c>
      <c r="G160" s="2980">
        <v>0.13</v>
      </c>
    </row>
    <row r="161" spans="1:7">
      <c r="A161" s="2989" t="s">
        <v>29</v>
      </c>
      <c r="B161" s="2978" t="s">
        <v>2997</v>
      </c>
      <c r="C161" s="2979">
        <v>0.13</v>
      </c>
      <c r="D161" s="2979">
        <v>0.13</v>
      </c>
      <c r="E161" s="2979">
        <v>0.124</v>
      </c>
      <c r="F161" s="2979">
        <v>0.127</v>
      </c>
      <c r="G161" s="2980">
        <v>0.13</v>
      </c>
    </row>
    <row r="162" spans="1:7">
      <c r="A162" s="2989" t="s">
        <v>29</v>
      </c>
      <c r="B162" s="2978" t="s">
        <v>3002</v>
      </c>
      <c r="C162" s="2979">
        <v>0.1</v>
      </c>
      <c r="D162" s="2979">
        <v>0.1</v>
      </c>
      <c r="E162" s="2979">
        <v>0.1</v>
      </c>
      <c r="F162" s="2979">
        <v>0.121</v>
      </c>
      <c r="G162" s="2980">
        <v>0.105</v>
      </c>
    </row>
    <row r="163" spans="1:7">
      <c r="A163" s="2989" t="s">
        <v>29</v>
      </c>
      <c r="B163" s="2978" t="s">
        <v>3007</v>
      </c>
      <c r="C163" s="2979">
        <v>0.1</v>
      </c>
      <c r="D163" s="2979">
        <v>0.1</v>
      </c>
      <c r="E163" s="2979">
        <v>0.1</v>
      </c>
      <c r="F163" s="2979">
        <v>0.1</v>
      </c>
      <c r="G163" s="2980">
        <v>0.1</v>
      </c>
    </row>
    <row r="164" spans="1:7">
      <c r="A164" s="2989" t="s">
        <v>29</v>
      </c>
      <c r="B164" s="2978" t="s">
        <v>3012</v>
      </c>
      <c r="C164" s="2995"/>
      <c r="D164" s="2995"/>
      <c r="E164" s="2995"/>
      <c r="F164" s="2979">
        <v>0.1</v>
      </c>
      <c r="G164" s="2991"/>
    </row>
    <row r="165" spans="1:7">
      <c r="A165" s="2989" t="s">
        <v>29</v>
      </c>
      <c r="B165" s="2978" t="s">
        <v>3183</v>
      </c>
      <c r="C165" s="2979">
        <v>0.126</v>
      </c>
      <c r="D165" s="2979">
        <v>0.126</v>
      </c>
      <c r="E165" s="2979">
        <v>0.11899999999999999</v>
      </c>
      <c r="F165" s="2979">
        <v>0.13</v>
      </c>
      <c r="G165" s="2980">
        <v>0.128</v>
      </c>
    </row>
    <row r="166" spans="1:7">
      <c r="A166" s="2989" t="s">
        <v>29</v>
      </c>
      <c r="B166" s="2978" t="s">
        <v>3022</v>
      </c>
      <c r="C166" s="2979">
        <v>0.129</v>
      </c>
      <c r="D166" s="2979">
        <v>0.129</v>
      </c>
      <c r="E166" s="2979">
        <v>0.123</v>
      </c>
      <c r="F166" s="2979">
        <v>0.128</v>
      </c>
      <c r="G166" s="2980">
        <v>0.13</v>
      </c>
    </row>
    <row r="167" spans="1:7">
      <c r="A167" s="2989" t="s">
        <v>29</v>
      </c>
      <c r="B167" s="2978" t="s">
        <v>3026</v>
      </c>
      <c r="C167" s="2979">
        <v>0.125</v>
      </c>
      <c r="D167" s="2979">
        <v>0.125</v>
      </c>
      <c r="E167" s="2979">
        <v>0.11700000000000001</v>
      </c>
      <c r="F167" s="2979">
        <v>0.13</v>
      </c>
      <c r="G167" s="2980">
        <v>0.126</v>
      </c>
    </row>
    <row r="168" spans="1:7">
      <c r="A168" s="2989" t="s">
        <v>29</v>
      </c>
      <c r="B168" s="2978" t="s">
        <v>3031</v>
      </c>
      <c r="C168" s="2979">
        <v>0.128</v>
      </c>
      <c r="D168" s="2979">
        <v>0.128</v>
      </c>
      <c r="E168" s="2979">
        <v>0.123</v>
      </c>
      <c r="F168" s="2990"/>
      <c r="G168" s="2980">
        <v>0.13</v>
      </c>
    </row>
    <row r="169" spans="1:7">
      <c r="A169" s="2989" t="s">
        <v>29</v>
      </c>
      <c r="B169" s="2978" t="s">
        <v>3184</v>
      </c>
      <c r="C169" s="2995"/>
      <c r="D169" s="2995"/>
      <c r="E169" s="2995"/>
      <c r="F169" s="2979">
        <v>0.05</v>
      </c>
      <c r="G169" s="2991"/>
    </row>
    <row r="170" spans="1:7">
      <c r="A170" s="2989" t="s">
        <v>29</v>
      </c>
      <c r="B170" s="2978" t="s">
        <v>3185</v>
      </c>
      <c r="C170" s="2995"/>
      <c r="D170" s="2995"/>
      <c r="E170" s="2995"/>
      <c r="F170" s="2979">
        <v>0.05</v>
      </c>
      <c r="G170" s="2991"/>
    </row>
    <row r="171" spans="1:7">
      <c r="A171" s="2989" t="s">
        <v>29</v>
      </c>
      <c r="B171" s="2978" t="s">
        <v>3186</v>
      </c>
      <c r="C171" s="2995"/>
      <c r="D171" s="2995"/>
      <c r="E171" s="2995"/>
      <c r="F171" s="2979">
        <v>0.05</v>
      </c>
      <c r="G171" s="2996"/>
    </row>
    <row r="172" spans="1:7">
      <c r="A172" s="2989" t="s">
        <v>29</v>
      </c>
      <c r="B172" s="2978" t="s">
        <v>3187</v>
      </c>
      <c r="C172" s="2995"/>
      <c r="D172" s="2995"/>
      <c r="E172" s="2995"/>
      <c r="F172" s="2979">
        <v>0.05</v>
      </c>
      <c r="G172" s="2996"/>
    </row>
    <row r="173" spans="1:7">
      <c r="A173" s="2989" t="s">
        <v>29</v>
      </c>
      <c r="B173" s="2978" t="s">
        <v>3188</v>
      </c>
      <c r="C173" s="2995"/>
      <c r="D173" s="2995"/>
      <c r="E173" s="2995"/>
      <c r="F173" s="2979">
        <v>0.05</v>
      </c>
      <c r="G173" s="2991"/>
    </row>
    <row r="174" spans="1:7">
      <c r="A174" s="2989" t="s">
        <v>29</v>
      </c>
      <c r="B174" s="2978" t="s">
        <v>3189</v>
      </c>
      <c r="C174" s="2995"/>
      <c r="D174" s="2995"/>
      <c r="E174" s="2995"/>
      <c r="F174" s="2979">
        <v>0.05</v>
      </c>
      <c r="G174" s="2991"/>
    </row>
    <row r="175" spans="1:7">
      <c r="A175" s="2989" t="s">
        <v>29</v>
      </c>
      <c r="B175" s="2978" t="s">
        <v>3190</v>
      </c>
      <c r="C175" s="2995"/>
      <c r="D175" s="2995"/>
      <c r="E175" s="2995"/>
      <c r="F175" s="2979">
        <v>0.05</v>
      </c>
      <c r="G175" s="2991"/>
    </row>
    <row r="176" spans="1:7">
      <c r="A176" s="2989" t="s">
        <v>29</v>
      </c>
      <c r="B176" s="2978" t="s">
        <v>3191</v>
      </c>
      <c r="C176" s="2995"/>
      <c r="D176" s="2995"/>
      <c r="E176" s="2995"/>
      <c r="F176" s="2979">
        <v>0.05</v>
      </c>
      <c r="G176" s="2991"/>
    </row>
    <row r="177" spans="1:7">
      <c r="A177" s="2989" t="s">
        <v>29</v>
      </c>
      <c r="B177" s="2978" t="s">
        <v>3192</v>
      </c>
      <c r="C177" s="2990"/>
      <c r="D177" s="2990"/>
      <c r="E177" s="2990"/>
      <c r="F177" s="2979">
        <v>0.05</v>
      </c>
      <c r="G177" s="2996"/>
    </row>
    <row r="178" spans="1:7">
      <c r="A178" s="2989" t="s">
        <v>29</v>
      </c>
      <c r="B178" s="2978" t="s">
        <v>3193</v>
      </c>
      <c r="C178" s="2990"/>
      <c r="D178" s="2990"/>
      <c r="E178" s="2990"/>
      <c r="F178" s="2979">
        <v>0.05</v>
      </c>
      <c r="G178" s="2996"/>
    </row>
    <row r="179" spans="1:7">
      <c r="A179" s="2989" t="s">
        <v>29</v>
      </c>
      <c r="B179" s="2978" t="s">
        <v>3194</v>
      </c>
      <c r="C179" s="2990"/>
      <c r="D179" s="2990"/>
      <c r="E179" s="2990"/>
      <c r="F179" s="2979">
        <v>0.05</v>
      </c>
      <c r="G179" s="2996"/>
    </row>
    <row r="180" spans="1:7">
      <c r="A180" s="2989" t="s">
        <v>29</v>
      </c>
      <c r="B180" s="2978" t="s">
        <v>3195</v>
      </c>
      <c r="C180" s="2990"/>
      <c r="D180" s="2990"/>
      <c r="E180" s="2990"/>
      <c r="F180" s="2979">
        <v>0.05</v>
      </c>
      <c r="G180" s="2996"/>
    </row>
    <row r="181" spans="1:7">
      <c r="A181" s="2989" t="s">
        <v>29</v>
      </c>
      <c r="B181" s="2978" t="s">
        <v>3196</v>
      </c>
      <c r="C181" s="2990"/>
      <c r="D181" s="2990"/>
      <c r="E181" s="2990"/>
      <c r="F181" s="2979">
        <v>0.05</v>
      </c>
      <c r="G181" s="2996"/>
    </row>
    <row r="182" spans="1:7">
      <c r="A182" s="2989" t="s">
        <v>29</v>
      </c>
      <c r="B182" s="2978" t="s">
        <v>3197</v>
      </c>
      <c r="C182" s="2990"/>
      <c r="D182" s="2990"/>
      <c r="E182" s="2990"/>
      <c r="F182" s="2979">
        <v>0.05</v>
      </c>
      <c r="G182" s="2996"/>
    </row>
    <row r="183" spans="1:7">
      <c r="A183" s="2989" t="s">
        <v>29</v>
      </c>
      <c r="B183" s="2978" t="s">
        <v>3198</v>
      </c>
      <c r="C183" s="2990"/>
      <c r="D183" s="2990"/>
      <c r="E183" s="2990"/>
      <c r="F183" s="2979">
        <v>0.05</v>
      </c>
      <c r="G183" s="2996"/>
    </row>
    <row r="184" spans="1:7">
      <c r="A184" s="2989" t="s">
        <v>29</v>
      </c>
      <c r="B184" s="2978" t="s">
        <v>3199</v>
      </c>
      <c r="C184" s="2990"/>
      <c r="D184" s="2990"/>
      <c r="E184" s="2990"/>
      <c r="F184" s="2979">
        <v>0.05</v>
      </c>
      <c r="G184" s="2996"/>
    </row>
    <row r="185" spans="1:7">
      <c r="A185" s="2989" t="s">
        <v>29</v>
      </c>
      <c r="B185" s="2978" t="s">
        <v>3200</v>
      </c>
      <c r="C185" s="2990"/>
      <c r="D185" s="2990"/>
      <c r="E185" s="2990"/>
      <c r="F185" s="2979">
        <v>0.05</v>
      </c>
      <c r="G185" s="2996"/>
    </row>
    <row r="186" spans="1:7">
      <c r="A186" s="2989" t="s">
        <v>29</v>
      </c>
      <c r="B186" s="2978" t="s">
        <v>3201</v>
      </c>
      <c r="C186" s="2990"/>
      <c r="D186" s="2990"/>
      <c r="E186" s="2990"/>
      <c r="F186" s="2979">
        <v>0.05</v>
      </c>
      <c r="G186" s="2996"/>
    </row>
    <row r="187" spans="1:7">
      <c r="A187" s="2989" t="s">
        <v>29</v>
      </c>
      <c r="B187" s="2978" t="s">
        <v>3202</v>
      </c>
      <c r="C187" s="2990"/>
      <c r="D187" s="2990"/>
      <c r="E187" s="2990"/>
      <c r="F187" s="2979">
        <v>0.05</v>
      </c>
      <c r="G187" s="2996"/>
    </row>
    <row r="188" spans="1:7">
      <c r="A188" s="2989" t="s">
        <v>29</v>
      </c>
      <c r="B188" s="2978" t="s">
        <v>3203</v>
      </c>
      <c r="C188" s="2990"/>
      <c r="D188" s="2990"/>
      <c r="E188" s="2990"/>
      <c r="F188" s="2979">
        <v>0.05</v>
      </c>
      <c r="G188" s="2996"/>
    </row>
    <row r="189" spans="1:7" ht="14.25" thickBot="1">
      <c r="A189" s="2992" t="s">
        <v>29</v>
      </c>
      <c r="B189" s="2982" t="s">
        <v>3204</v>
      </c>
      <c r="C189" s="2984"/>
      <c r="D189" s="2984"/>
      <c r="E189" s="2984"/>
      <c r="F189" s="2983">
        <v>0.05</v>
      </c>
      <c r="G189" s="2997"/>
    </row>
    <row r="190" spans="1:7">
      <c r="A190" s="2988" t="s">
        <v>304</v>
      </c>
      <c r="B190" s="2974" t="s">
        <v>2860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2896</v>
      </c>
      <c r="C199" s="2979">
        <v>0.13</v>
      </c>
      <c r="D199" s="2979">
        <v>0.13</v>
      </c>
      <c r="E199" s="2979">
        <v>0.13</v>
      </c>
      <c r="F199" s="2979">
        <v>0.13</v>
      </c>
      <c r="G199" s="2980">
        <v>0.13</v>
      </c>
    </row>
    <row r="200" spans="1:7">
      <c r="A200" s="2989" t="s">
        <v>304</v>
      </c>
      <c r="B200" s="2978" t="s">
        <v>2899</v>
      </c>
      <c r="C200" s="2995"/>
      <c r="D200" s="2995"/>
      <c r="E200" s="2995"/>
      <c r="F200" s="2979">
        <v>0.13</v>
      </c>
      <c r="G200" s="2991"/>
    </row>
    <row r="201" spans="1:7">
      <c r="A201" s="2989" t="s">
        <v>304</v>
      </c>
      <c r="B201" s="2978" t="s">
        <v>2904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2907</v>
      </c>
      <c r="C203" s="2979">
        <v>0.129</v>
      </c>
      <c r="D203" s="2979">
        <v>0.129</v>
      </c>
      <c r="E203" s="2979">
        <v>0.13</v>
      </c>
      <c r="F203" s="2979">
        <v>0.13</v>
      </c>
      <c r="G203" s="2980">
        <v>0.13</v>
      </c>
    </row>
    <row r="204" spans="1:7">
      <c r="A204" s="2989" t="s">
        <v>304</v>
      </c>
      <c r="B204" s="2978" t="s">
        <v>2910</v>
      </c>
      <c r="C204" s="2979">
        <v>0.129</v>
      </c>
      <c r="D204" s="2979">
        <v>0.129</v>
      </c>
      <c r="E204" s="2979">
        <v>0.123</v>
      </c>
      <c r="F204" s="2979">
        <v>0.13</v>
      </c>
      <c r="G204" s="2980">
        <v>0.13</v>
      </c>
    </row>
    <row r="205" spans="1:7">
      <c r="A205" s="2989" t="s">
        <v>304</v>
      </c>
      <c r="B205" s="2978" t="s">
        <v>2912</v>
      </c>
      <c r="C205" s="2979">
        <v>0.13</v>
      </c>
      <c r="D205" s="2979">
        <v>0.13</v>
      </c>
      <c r="E205" s="2979">
        <v>0.13</v>
      </c>
      <c r="F205" s="2979">
        <v>0.13</v>
      </c>
      <c r="G205" s="2980">
        <v>0.13</v>
      </c>
    </row>
    <row r="206" spans="1:7">
      <c r="A206" s="2989" t="s">
        <v>304</v>
      </c>
      <c r="B206" s="2978" t="s">
        <v>2915</v>
      </c>
      <c r="C206" s="2979">
        <v>0.13</v>
      </c>
      <c r="D206" s="2979">
        <v>0.13</v>
      </c>
      <c r="E206" s="2979">
        <v>0.13</v>
      </c>
      <c r="F206" s="2979">
        <v>0.128</v>
      </c>
      <c r="G206" s="2980">
        <v>0.13</v>
      </c>
    </row>
    <row r="207" spans="1:7">
      <c r="A207" s="2989" t="s">
        <v>304</v>
      </c>
      <c r="B207" s="2978" t="s">
        <v>2917</v>
      </c>
      <c r="C207" s="2979">
        <v>0.13</v>
      </c>
      <c r="D207" s="2979">
        <v>0.13</v>
      </c>
      <c r="E207" s="2979">
        <v>0.13</v>
      </c>
      <c r="F207" s="2979">
        <v>0.13</v>
      </c>
      <c r="G207" s="2980">
        <v>0.13</v>
      </c>
    </row>
    <row r="208" spans="1:7">
      <c r="A208" s="2989" t="s">
        <v>304</v>
      </c>
      <c r="B208" s="2978" t="s">
        <v>2920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2927</v>
      </c>
      <c r="C210" s="2979">
        <v>0.121</v>
      </c>
      <c r="D210" s="2979">
        <v>0.121</v>
      </c>
      <c r="E210" s="2979">
        <v>0.125</v>
      </c>
      <c r="F210" s="2979">
        <v>0.13</v>
      </c>
      <c r="G210" s="2980">
        <v>0.123</v>
      </c>
    </row>
    <row r="211" spans="1:7">
      <c r="A211" s="2989" t="s">
        <v>304</v>
      </c>
      <c r="B211" s="2978" t="s">
        <v>2930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2942</v>
      </c>
      <c r="C214" s="2979">
        <v>0.128</v>
      </c>
      <c r="D214" s="2979">
        <v>0.128</v>
      </c>
      <c r="E214" s="2979">
        <v>0.13</v>
      </c>
      <c r="F214" s="2979">
        <v>0.13</v>
      </c>
      <c r="G214" s="2980">
        <v>0.13</v>
      </c>
    </row>
    <row r="215" spans="1:7">
      <c r="A215" s="2989" t="s">
        <v>304</v>
      </c>
      <c r="B215" s="2978" t="s">
        <v>2946</v>
      </c>
      <c r="C215" s="2979">
        <v>0.13</v>
      </c>
      <c r="D215" s="2979">
        <v>0.13</v>
      </c>
      <c r="E215" s="2979">
        <v>0.13</v>
      </c>
      <c r="F215" s="2979">
        <v>0.129</v>
      </c>
      <c r="G215" s="2980">
        <v>0.13</v>
      </c>
    </row>
    <row r="216" spans="1:7">
      <c r="A216" s="2989" t="s">
        <v>304</v>
      </c>
      <c r="B216" s="2978" t="s">
        <v>2953</v>
      </c>
      <c r="C216" s="2979">
        <v>0.13</v>
      </c>
      <c r="D216" s="2979">
        <v>0.13</v>
      </c>
      <c r="E216" s="2979">
        <v>0.13</v>
      </c>
      <c r="F216" s="2979">
        <v>0.13</v>
      </c>
      <c r="G216" s="2980">
        <v>0.13</v>
      </c>
    </row>
    <row r="217" spans="1:7">
      <c r="A217" s="2989" t="s">
        <v>304</v>
      </c>
      <c r="B217" s="2978" t="s">
        <v>2960</v>
      </c>
      <c r="C217" s="2979">
        <v>0.129</v>
      </c>
      <c r="D217" s="2979">
        <v>0.129</v>
      </c>
      <c r="E217" s="2979">
        <v>0.13</v>
      </c>
      <c r="F217" s="2979">
        <v>0.13</v>
      </c>
      <c r="G217" s="2980">
        <v>0.13</v>
      </c>
    </row>
    <row r="218" spans="1:7">
      <c r="A218" s="2989" t="s">
        <v>304</v>
      </c>
      <c r="B218" s="2978" t="s">
        <v>2966</v>
      </c>
      <c r="C218" s="2990"/>
      <c r="D218" s="2990"/>
      <c r="E218" s="2990"/>
      <c r="F218" s="2979">
        <v>0.05</v>
      </c>
      <c r="G218" s="2996"/>
    </row>
    <row r="219" spans="1:7">
      <c r="A219" s="2989" t="s">
        <v>304</v>
      </c>
      <c r="B219" s="2978" t="s">
        <v>2973</v>
      </c>
      <c r="C219" s="2990"/>
      <c r="D219" s="2990"/>
      <c r="E219" s="2990"/>
      <c r="F219" s="2979">
        <v>0.05</v>
      </c>
      <c r="G219" s="2996"/>
    </row>
    <row r="220" spans="1:7">
      <c r="A220" s="2989" t="s">
        <v>304</v>
      </c>
      <c r="B220" s="2978" t="s">
        <v>2979</v>
      </c>
      <c r="C220" s="2990"/>
      <c r="D220" s="2990"/>
      <c r="E220" s="2990"/>
      <c r="F220" s="2979">
        <v>0.05</v>
      </c>
      <c r="G220" s="2996"/>
    </row>
    <row r="221" spans="1:7">
      <c r="A221" s="2989" t="s">
        <v>304</v>
      </c>
      <c r="B221" s="2978" t="s">
        <v>2984</v>
      </c>
      <c r="C221" s="2990"/>
      <c r="D221" s="2990"/>
      <c r="E221" s="2990"/>
      <c r="F221" s="2979">
        <v>0.05</v>
      </c>
      <c r="G221" s="2996"/>
    </row>
    <row r="222" spans="1:7">
      <c r="A222" s="2989" t="s">
        <v>304</v>
      </c>
      <c r="B222" s="2978" t="s">
        <v>2988</v>
      </c>
      <c r="C222" s="2990"/>
      <c r="D222" s="2990"/>
      <c r="E222" s="2990"/>
      <c r="F222" s="2979">
        <v>0.05</v>
      </c>
      <c r="G222" s="2996"/>
    </row>
    <row r="223" spans="1:7">
      <c r="A223" s="2989" t="s">
        <v>304</v>
      </c>
      <c r="B223" s="2978" t="s">
        <v>2993</v>
      </c>
      <c r="C223" s="2990"/>
      <c r="D223" s="2990"/>
      <c r="E223" s="2990"/>
      <c r="F223" s="2979">
        <v>0.05</v>
      </c>
      <c r="G223" s="2996"/>
    </row>
    <row r="224" spans="1:7">
      <c r="A224" s="2989" t="s">
        <v>304</v>
      </c>
      <c r="B224" s="2978" t="s">
        <v>2998</v>
      </c>
      <c r="C224" s="2990"/>
      <c r="D224" s="2990"/>
      <c r="E224" s="2990"/>
      <c r="F224" s="2979">
        <v>0.05</v>
      </c>
      <c r="G224" s="2996"/>
    </row>
    <row r="225" spans="1:7">
      <c r="A225" s="2989" t="s">
        <v>304</v>
      </c>
      <c r="B225" s="2978" t="s">
        <v>3003</v>
      </c>
      <c r="C225" s="2990"/>
      <c r="D225" s="2990"/>
      <c r="E225" s="2990"/>
      <c r="F225" s="2979">
        <v>0.05</v>
      </c>
      <c r="G225" s="2996"/>
    </row>
    <row r="226" spans="1:7">
      <c r="A226" s="2989" t="s">
        <v>304</v>
      </c>
      <c r="B226" s="2978" t="s">
        <v>3205</v>
      </c>
      <c r="C226" s="2990"/>
      <c r="D226" s="2990"/>
      <c r="E226" s="2990"/>
      <c r="F226" s="2979">
        <v>0.05</v>
      </c>
      <c r="G226" s="2996"/>
    </row>
    <row r="227" spans="1:7">
      <c r="A227" s="2989" t="s">
        <v>304</v>
      </c>
      <c r="B227" s="2978" t="s">
        <v>3206</v>
      </c>
      <c r="C227" s="2990"/>
      <c r="D227" s="2990"/>
      <c r="E227" s="2990"/>
      <c r="F227" s="2979">
        <v>0.05</v>
      </c>
      <c r="G227" s="2996"/>
    </row>
    <row r="228" spans="1:7">
      <c r="A228" s="2989" t="s">
        <v>304</v>
      </c>
      <c r="B228" s="2978" t="s">
        <v>3207</v>
      </c>
      <c r="C228" s="2990"/>
      <c r="D228" s="2990"/>
      <c r="E228" s="2990"/>
      <c r="F228" s="2979">
        <v>0.05</v>
      </c>
      <c r="G228" s="2996"/>
    </row>
    <row r="229" spans="1:7">
      <c r="A229" s="2989" t="s">
        <v>304</v>
      </c>
      <c r="B229" s="2978" t="s">
        <v>3208</v>
      </c>
      <c r="C229" s="2990"/>
      <c r="D229" s="2990"/>
      <c r="E229" s="2990"/>
      <c r="F229" s="2979">
        <v>0.05</v>
      </c>
      <c r="G229" s="2996"/>
    </row>
    <row r="230" spans="1:7">
      <c r="A230" s="2989" t="s">
        <v>304</v>
      </c>
      <c r="B230" s="2978" t="s">
        <v>3209</v>
      </c>
      <c r="C230" s="2990"/>
      <c r="D230" s="2990"/>
      <c r="E230" s="2990"/>
      <c r="F230" s="2979">
        <v>0.05</v>
      </c>
      <c r="G230" s="2996"/>
    </row>
    <row r="231" spans="1:7">
      <c r="A231" s="2989" t="s">
        <v>304</v>
      </c>
      <c r="B231" s="2978" t="s">
        <v>3210</v>
      </c>
      <c r="C231" s="2990"/>
      <c r="D231" s="2990"/>
      <c r="E231" s="2990"/>
      <c r="F231" s="2979">
        <v>0.05</v>
      </c>
      <c r="G231" s="2996"/>
    </row>
    <row r="232" spans="1:7">
      <c r="A232" s="2989" t="s">
        <v>304</v>
      </c>
      <c r="B232" s="2978" t="s">
        <v>3211</v>
      </c>
      <c r="C232" s="2990"/>
      <c r="D232" s="2990"/>
      <c r="E232" s="2990"/>
      <c r="F232" s="2979">
        <v>0.05</v>
      </c>
      <c r="G232" s="2996"/>
    </row>
    <row r="233" spans="1:7" ht="14.25" thickBot="1">
      <c r="A233" s="2992" t="s">
        <v>304</v>
      </c>
      <c r="B233" s="2982" t="s">
        <v>3212</v>
      </c>
      <c r="C233" s="2984"/>
      <c r="D233" s="2984"/>
      <c r="E233" s="2984"/>
      <c r="F233" s="2983">
        <v>0.05</v>
      </c>
      <c r="G233" s="2997"/>
    </row>
    <row r="234" spans="1:7">
      <c r="A234" s="2988" t="s">
        <v>305</v>
      </c>
      <c r="B234" s="2974" t="s">
        <v>2861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2881</v>
      </c>
      <c r="C238" s="2979">
        <v>0.14899999999999999</v>
      </c>
      <c r="D238" s="2979">
        <v>0.14899999999999999</v>
      </c>
      <c r="E238" s="2979">
        <v>0.15</v>
      </c>
      <c r="F238" s="2979">
        <v>0.15</v>
      </c>
      <c r="G238" s="2980">
        <v>0.15</v>
      </c>
    </row>
    <row r="239" spans="1:7">
      <c r="A239" s="2989" t="s">
        <v>305</v>
      </c>
      <c r="B239" s="2978" t="s">
        <v>2885</v>
      </c>
      <c r="C239" s="2979">
        <v>0.15</v>
      </c>
      <c r="D239" s="2979">
        <v>0.15</v>
      </c>
      <c r="E239" s="2979">
        <v>0.15</v>
      </c>
      <c r="F239" s="2979">
        <v>0.15</v>
      </c>
      <c r="G239" s="2980">
        <v>0.15</v>
      </c>
    </row>
    <row r="240" spans="1:7">
      <c r="A240" s="2989" t="s">
        <v>305</v>
      </c>
      <c r="B240" s="2978" t="s">
        <v>2890</v>
      </c>
      <c r="C240" s="2979">
        <v>0.15</v>
      </c>
      <c r="D240" s="2979">
        <v>0.15</v>
      </c>
      <c r="E240" s="2979">
        <v>0.15</v>
      </c>
      <c r="F240" s="2979">
        <v>0.15</v>
      </c>
      <c r="G240" s="2980">
        <v>0.15</v>
      </c>
    </row>
    <row r="241" spans="1:7">
      <c r="A241" s="2989" t="s">
        <v>305</v>
      </c>
      <c r="B241" s="2978" t="s">
        <v>2894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2943</v>
      </c>
      <c r="C258" s="2979">
        <v>0.14299999999999999</v>
      </c>
      <c r="D258" s="2979">
        <v>0.14299999999999999</v>
      </c>
      <c r="E258" s="2979">
        <v>0.15</v>
      </c>
      <c r="F258" s="2979">
        <v>0.14799999999999999</v>
      </c>
      <c r="G258" s="2980">
        <v>0.14599999999999999</v>
      </c>
    </row>
    <row r="259" spans="1:7">
      <c r="A259" s="2989" t="s">
        <v>305</v>
      </c>
      <c r="B259" s="2978" t="s">
        <v>2947</v>
      </c>
      <c r="C259" s="2979">
        <v>0.14399999999999999</v>
      </c>
      <c r="D259" s="2979">
        <v>0.14399999999999999</v>
      </c>
      <c r="E259" s="2979">
        <v>0.14899999999999999</v>
      </c>
      <c r="F259" s="2979">
        <v>0.14699999999999999</v>
      </c>
      <c r="G259" s="2980">
        <v>0.14599999999999999</v>
      </c>
    </row>
    <row r="260" spans="1:7">
      <c r="A260" s="2989" t="s">
        <v>305</v>
      </c>
      <c r="B260" s="2978" t="s">
        <v>2954</v>
      </c>
      <c r="C260" s="2979">
        <v>0.109</v>
      </c>
      <c r="D260" s="2979">
        <v>0.111</v>
      </c>
      <c r="E260" s="2979">
        <v>0.13100000000000001</v>
      </c>
      <c r="F260" s="2979">
        <v>0.126</v>
      </c>
      <c r="G260" s="2980">
        <v>0.11899999999999999</v>
      </c>
    </row>
    <row r="261" spans="1:7">
      <c r="A261" s="2989" t="s">
        <v>305</v>
      </c>
      <c r="B261" s="2978" t="s">
        <v>2961</v>
      </c>
      <c r="C261" s="2979">
        <v>0.1</v>
      </c>
      <c r="D261" s="2979">
        <v>0.1</v>
      </c>
      <c r="E261" s="2979">
        <v>0.11799999999999999</v>
      </c>
      <c r="F261" s="2979">
        <v>0.108</v>
      </c>
      <c r="G261" s="2980">
        <v>0.107</v>
      </c>
    </row>
    <row r="262" spans="1:7">
      <c r="A262" s="2989" t="s">
        <v>305</v>
      </c>
      <c r="B262" s="2978" t="s">
        <v>2967</v>
      </c>
      <c r="C262" s="2979">
        <v>0.1</v>
      </c>
      <c r="D262" s="2979">
        <v>0.1</v>
      </c>
      <c r="E262" s="2979">
        <v>0.1</v>
      </c>
      <c r="F262" s="2979">
        <v>0.14099999999999999</v>
      </c>
      <c r="G262" s="2980">
        <v>0.1</v>
      </c>
    </row>
    <row r="263" spans="1:7">
      <c r="A263" s="2989" t="s">
        <v>305</v>
      </c>
      <c r="B263" s="2978" t="s">
        <v>2974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2985</v>
      </c>
      <c r="C265" s="2990"/>
      <c r="D265" s="2990"/>
      <c r="E265" s="2990"/>
      <c r="F265" s="2979">
        <v>0.05</v>
      </c>
      <c r="G265" s="2996"/>
    </row>
    <row r="266" spans="1:7">
      <c r="A266" s="2989" t="s">
        <v>305</v>
      </c>
      <c r="B266" s="2978" t="s">
        <v>2989</v>
      </c>
      <c r="C266" s="2990"/>
      <c r="D266" s="2990"/>
      <c r="E266" s="2990"/>
      <c r="F266" s="2979">
        <v>0.05</v>
      </c>
      <c r="G266" s="2996"/>
    </row>
    <row r="267" spans="1:7">
      <c r="A267" s="2989" t="s">
        <v>305</v>
      </c>
      <c r="B267" s="2978" t="s">
        <v>2994</v>
      </c>
      <c r="C267" s="2990"/>
      <c r="D267" s="2990"/>
      <c r="E267" s="2990"/>
      <c r="F267" s="2979">
        <v>0.05</v>
      </c>
      <c r="G267" s="2996"/>
    </row>
    <row r="268" spans="1:7">
      <c r="A268" s="2989" t="s">
        <v>305</v>
      </c>
      <c r="B268" s="2978" t="s">
        <v>2999</v>
      </c>
      <c r="C268" s="2990"/>
      <c r="D268" s="2990"/>
      <c r="E268" s="2990"/>
      <c r="F268" s="2979">
        <v>0.05</v>
      </c>
      <c r="G268" s="2996"/>
    </row>
    <row r="269" spans="1:7">
      <c r="A269" s="2989" t="s">
        <v>305</v>
      </c>
      <c r="B269" s="2978" t="s">
        <v>3004</v>
      </c>
      <c r="C269" s="2990"/>
      <c r="D269" s="2990"/>
      <c r="E269" s="2990"/>
      <c r="F269" s="2979">
        <v>0.05</v>
      </c>
      <c r="G269" s="2996"/>
    </row>
    <row r="270" spans="1:7">
      <c r="A270" s="2989" t="s">
        <v>305</v>
      </c>
      <c r="B270" s="2978" t="s">
        <v>3009</v>
      </c>
      <c r="C270" s="2990"/>
      <c r="D270" s="2990"/>
      <c r="E270" s="2990"/>
      <c r="F270" s="2979">
        <v>0.05</v>
      </c>
      <c r="G270" s="2996"/>
    </row>
    <row r="271" spans="1:7">
      <c r="A271" s="2989" t="s">
        <v>305</v>
      </c>
      <c r="B271" s="2978" t="s">
        <v>3213</v>
      </c>
      <c r="C271" s="2990"/>
      <c r="D271" s="2990"/>
      <c r="E271" s="2990"/>
      <c r="F271" s="2979">
        <v>0.05</v>
      </c>
      <c r="G271" s="2996"/>
    </row>
    <row r="272" spans="1:7">
      <c r="A272" s="2989" t="s">
        <v>305</v>
      </c>
      <c r="B272" s="2978" t="s">
        <v>3214</v>
      </c>
      <c r="C272" s="2990"/>
      <c r="D272" s="2990"/>
      <c r="E272" s="2990"/>
      <c r="F272" s="2979">
        <v>0.05</v>
      </c>
      <c r="G272" s="2996"/>
    </row>
    <row r="273" spans="1:7">
      <c r="A273" s="2989" t="s">
        <v>305</v>
      </c>
      <c r="B273" s="2978" t="s">
        <v>3215</v>
      </c>
      <c r="C273" s="2990"/>
      <c r="D273" s="2990"/>
      <c r="E273" s="2990"/>
      <c r="F273" s="2979">
        <v>0.05</v>
      </c>
      <c r="G273" s="2996"/>
    </row>
    <row r="274" spans="1:7">
      <c r="A274" s="2989" t="s">
        <v>305</v>
      </c>
      <c r="B274" s="2978" t="s">
        <v>3216</v>
      </c>
      <c r="C274" s="2990"/>
      <c r="D274" s="2990"/>
      <c r="E274" s="2990"/>
      <c r="F274" s="2979">
        <v>0.05</v>
      </c>
      <c r="G274" s="2996"/>
    </row>
    <row r="275" spans="1:7">
      <c r="A275" s="2989" t="s">
        <v>305</v>
      </c>
      <c r="B275" s="2978" t="s">
        <v>3217</v>
      </c>
      <c r="C275" s="2990"/>
      <c r="D275" s="2990"/>
      <c r="E275" s="2990"/>
      <c r="F275" s="2979">
        <v>0.05</v>
      </c>
      <c r="G275" s="2996"/>
    </row>
    <row r="276" spans="1:7" ht="14.25" thickBot="1">
      <c r="A276" s="2992" t="s">
        <v>305</v>
      </c>
      <c r="B276" s="2982" t="s">
        <v>3218</v>
      </c>
      <c r="C276" s="2984"/>
      <c r="D276" s="2984"/>
      <c r="E276" s="2984"/>
      <c r="F276" s="2983">
        <v>0.05</v>
      </c>
      <c r="G276" s="2997"/>
    </row>
    <row r="277" spans="1:7">
      <c r="A277" s="2988" t="s">
        <v>306</v>
      </c>
      <c r="B277" s="2974" t="s">
        <v>2862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2874</v>
      </c>
      <c r="C279" s="2979">
        <v>0.15</v>
      </c>
      <c r="D279" s="2979">
        <v>0.15</v>
      </c>
      <c r="E279" s="2979">
        <v>0.15</v>
      </c>
      <c r="F279" s="2979">
        <v>0.15</v>
      </c>
      <c r="G279" s="2980">
        <v>0.15</v>
      </c>
    </row>
    <row r="280" spans="1:7">
      <c r="A280" s="2989" t="s">
        <v>306</v>
      </c>
      <c r="B280" s="2978" t="s">
        <v>2878</v>
      </c>
      <c r="C280" s="2979">
        <v>0.15</v>
      </c>
      <c r="D280" s="2979">
        <v>0.15</v>
      </c>
      <c r="E280" s="2979">
        <v>0.15</v>
      </c>
      <c r="F280" s="2979">
        <v>0.15</v>
      </c>
      <c r="G280" s="2980">
        <v>0.15</v>
      </c>
    </row>
    <row r="281" spans="1:7">
      <c r="A281" s="2989" t="s">
        <v>306</v>
      </c>
      <c r="B281" s="2978" t="s">
        <v>2882</v>
      </c>
      <c r="C281" s="2979">
        <v>0.15</v>
      </c>
      <c r="D281" s="2979">
        <v>0.15</v>
      </c>
      <c r="E281" s="2979">
        <v>0.15</v>
      </c>
      <c r="F281" s="2979">
        <v>0.15</v>
      </c>
      <c r="G281" s="2980">
        <v>0.15</v>
      </c>
    </row>
    <row r="282" spans="1:7">
      <c r="A282" s="2989" t="s">
        <v>306</v>
      </c>
      <c r="B282" s="2978" t="s">
        <v>2886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2916</v>
      </c>
      <c r="C293" s="2979">
        <v>0.15</v>
      </c>
      <c r="D293" s="2979">
        <v>0.15</v>
      </c>
      <c r="E293" s="2979">
        <v>0.15</v>
      </c>
      <c r="F293" s="2979">
        <v>0.14499999999999999</v>
      </c>
      <c r="G293" s="2980">
        <v>0.15</v>
      </c>
    </row>
    <row r="294" spans="1:7">
      <c r="A294" s="2989" t="s">
        <v>306</v>
      </c>
      <c r="B294" s="2978" t="s">
        <v>2918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2948</v>
      </c>
      <c r="C302" s="2979">
        <v>0.15</v>
      </c>
      <c r="D302" s="2979">
        <v>0.15</v>
      </c>
      <c r="E302" s="2979">
        <v>0.15</v>
      </c>
      <c r="F302" s="2979">
        <v>0.14699999999999999</v>
      </c>
      <c r="G302" s="2980">
        <v>0.15</v>
      </c>
    </row>
    <row r="303" spans="1:7">
      <c r="A303" s="2989" t="s">
        <v>306</v>
      </c>
      <c r="B303" s="2978" t="s">
        <v>2955</v>
      </c>
      <c r="C303" s="2979">
        <v>0.15</v>
      </c>
      <c r="D303" s="2979">
        <v>0.15</v>
      </c>
      <c r="E303" s="2979">
        <v>0.15</v>
      </c>
      <c r="F303" s="2979">
        <v>0.14199999999999999</v>
      </c>
      <c r="G303" s="2980">
        <v>0.15</v>
      </c>
    </row>
    <row r="304" spans="1:7">
      <c r="A304" s="2989" t="s">
        <v>306</v>
      </c>
      <c r="B304" s="2978" t="s">
        <v>2962</v>
      </c>
      <c r="C304" s="2979">
        <v>0.15</v>
      </c>
      <c r="D304" s="2979">
        <v>0.15</v>
      </c>
      <c r="E304" s="2979">
        <v>0.15</v>
      </c>
      <c r="F304" s="2979">
        <v>0.14499999999999999</v>
      </c>
      <c r="G304" s="2980">
        <v>0.15</v>
      </c>
    </row>
    <row r="305" spans="1:7">
      <c r="A305" s="2989" t="s">
        <v>306</v>
      </c>
      <c r="B305" s="2978" t="s">
        <v>2968</v>
      </c>
      <c r="C305" s="2979">
        <v>0.15</v>
      </c>
      <c r="D305" s="2979">
        <v>0.15</v>
      </c>
      <c r="E305" s="2979">
        <v>0.15</v>
      </c>
      <c r="F305" s="2979">
        <v>0.111</v>
      </c>
      <c r="G305" s="2980">
        <v>0.15</v>
      </c>
    </row>
    <row r="306" spans="1:7">
      <c r="A306" s="2989" t="s">
        <v>306</v>
      </c>
      <c r="B306" s="2978" t="s">
        <v>2975</v>
      </c>
      <c r="C306" s="2979">
        <v>0.15</v>
      </c>
      <c r="D306" s="2979">
        <v>0.15</v>
      </c>
      <c r="E306" s="2979">
        <v>0.15</v>
      </c>
      <c r="F306" s="2979">
        <v>0.126</v>
      </c>
      <c r="G306" s="2980">
        <v>0.15</v>
      </c>
    </row>
    <row r="307" spans="1:7">
      <c r="A307" s="2989" t="s">
        <v>306</v>
      </c>
      <c r="B307" s="2978" t="s">
        <v>2980</v>
      </c>
      <c r="C307" s="2979">
        <v>0.15</v>
      </c>
      <c r="D307" s="2979">
        <v>0.15</v>
      </c>
      <c r="E307" s="2979">
        <v>0.15</v>
      </c>
      <c r="F307" s="2979">
        <v>0.12</v>
      </c>
      <c r="G307" s="2980">
        <v>0.15</v>
      </c>
    </row>
    <row r="308" spans="1:7">
      <c r="A308" s="2989" t="s">
        <v>306</v>
      </c>
      <c r="B308" s="2978" t="s">
        <v>2986</v>
      </c>
      <c r="C308" s="2979">
        <v>0.15</v>
      </c>
      <c r="D308" s="2979">
        <v>0.15</v>
      </c>
      <c r="E308" s="2979">
        <v>0.15</v>
      </c>
      <c r="F308" s="2979">
        <v>0.13</v>
      </c>
      <c r="G308" s="2980">
        <v>0.15</v>
      </c>
    </row>
    <row r="309" spans="1:7">
      <c r="A309" s="2989" t="s">
        <v>306</v>
      </c>
      <c r="B309" s="2978" t="s">
        <v>2990</v>
      </c>
      <c r="C309" s="2979">
        <v>0.15</v>
      </c>
      <c r="D309" s="2979">
        <v>0.15</v>
      </c>
      <c r="E309" s="2979">
        <v>0.15</v>
      </c>
      <c r="F309" s="2979">
        <v>0.14099999999999999</v>
      </c>
      <c r="G309" s="2980">
        <v>0.15</v>
      </c>
    </row>
    <row r="310" spans="1:7">
      <c r="A310" s="2989" t="s">
        <v>306</v>
      </c>
      <c r="B310" s="2978" t="s">
        <v>2995</v>
      </c>
      <c r="C310" s="2979">
        <v>0.15</v>
      </c>
      <c r="D310" s="2979">
        <v>0.15</v>
      </c>
      <c r="E310" s="2979">
        <v>0.15</v>
      </c>
      <c r="F310" s="2979">
        <v>0.15</v>
      </c>
      <c r="G310" s="2980">
        <v>0.15</v>
      </c>
    </row>
    <row r="311" spans="1:7">
      <c r="A311" s="2989" t="s">
        <v>306</v>
      </c>
      <c r="B311" s="2978" t="s">
        <v>3000</v>
      </c>
      <c r="C311" s="2979">
        <v>0.13200000000000001</v>
      </c>
      <c r="D311" s="2979">
        <v>0.13300000000000001</v>
      </c>
      <c r="E311" s="2979">
        <v>0.14499999999999999</v>
      </c>
      <c r="F311" s="2979">
        <v>0.14199999999999999</v>
      </c>
      <c r="G311" s="2980">
        <v>0.14000000000000001</v>
      </c>
    </row>
    <row r="312" spans="1:7">
      <c r="A312" s="2989" t="s">
        <v>306</v>
      </c>
      <c r="B312" s="2978" t="s">
        <v>3005</v>
      </c>
      <c r="C312" s="2979">
        <v>0.13800000000000001</v>
      </c>
      <c r="D312" s="2979">
        <v>0.14000000000000001</v>
      </c>
      <c r="E312" s="2979">
        <v>0.14599999999999999</v>
      </c>
      <c r="F312" s="2979">
        <v>0.14899999999999999</v>
      </c>
      <c r="G312" s="2980">
        <v>0.14199999999999999</v>
      </c>
    </row>
    <row r="313" spans="1:7">
      <c r="A313" s="2989" t="s">
        <v>306</v>
      </c>
      <c r="B313" s="2978" t="s">
        <v>3010</v>
      </c>
      <c r="C313" s="2979">
        <v>0.125</v>
      </c>
      <c r="D313" s="2979">
        <v>0.127</v>
      </c>
      <c r="E313" s="2979">
        <v>0.14399999999999999</v>
      </c>
      <c r="F313" s="2979">
        <v>0.115</v>
      </c>
      <c r="G313" s="2980">
        <v>0.13600000000000001</v>
      </c>
    </row>
    <row r="314" spans="1:7">
      <c r="A314" s="2989" t="s">
        <v>306</v>
      </c>
      <c r="B314" s="2978" t="s">
        <v>3219</v>
      </c>
      <c r="C314" s="2995"/>
      <c r="D314" s="2995"/>
      <c r="E314" s="2995"/>
      <c r="F314" s="2979">
        <v>0.05</v>
      </c>
      <c r="G314" s="2996"/>
    </row>
    <row r="315" spans="1:7">
      <c r="A315" s="2989" t="s">
        <v>306</v>
      </c>
      <c r="B315" s="2978" t="s">
        <v>3220</v>
      </c>
      <c r="C315" s="2995"/>
      <c r="D315" s="2995"/>
      <c r="E315" s="2995"/>
      <c r="F315" s="2979">
        <v>0.05</v>
      </c>
      <c r="G315" s="2996"/>
    </row>
    <row r="316" spans="1:7">
      <c r="A316" s="2989" t="s">
        <v>306</v>
      </c>
      <c r="B316" s="2978" t="s">
        <v>3221</v>
      </c>
      <c r="C316" s="2990"/>
      <c r="D316" s="2990"/>
      <c r="E316" s="2990"/>
      <c r="F316" s="2979">
        <v>0.05</v>
      </c>
      <c r="G316" s="2996"/>
    </row>
    <row r="317" spans="1:7">
      <c r="A317" s="2989" t="s">
        <v>306</v>
      </c>
      <c r="B317" s="2978" t="s">
        <v>3222</v>
      </c>
      <c r="C317" s="2990"/>
      <c r="D317" s="2990"/>
      <c r="E317" s="2990"/>
      <c r="F317" s="2979">
        <v>0.05</v>
      </c>
      <c r="G317" s="2996"/>
    </row>
    <row r="318" spans="1:7">
      <c r="A318" s="2989" t="s">
        <v>306</v>
      </c>
      <c r="B318" s="2978" t="s">
        <v>3223</v>
      </c>
      <c r="C318" s="2990"/>
      <c r="D318" s="2990"/>
      <c r="E318" s="2990"/>
      <c r="F318" s="2979">
        <v>0.05</v>
      </c>
      <c r="G318" s="2996"/>
    </row>
    <row r="319" spans="1:7">
      <c r="A319" s="2989" t="s">
        <v>306</v>
      </c>
      <c r="B319" s="2978" t="s">
        <v>3224</v>
      </c>
      <c r="C319" s="2990"/>
      <c r="D319" s="2990"/>
      <c r="E319" s="2990"/>
      <c r="F319" s="2979">
        <v>0.05</v>
      </c>
      <c r="G319" s="2996"/>
    </row>
    <row r="320" spans="1:7">
      <c r="A320" s="2989" t="s">
        <v>306</v>
      </c>
      <c r="B320" s="2978" t="s">
        <v>3225</v>
      </c>
      <c r="C320" s="2990"/>
      <c r="D320" s="2990"/>
      <c r="E320" s="2990"/>
      <c r="F320" s="2979">
        <v>0.05</v>
      </c>
      <c r="G320" s="2996"/>
    </row>
    <row r="321" spans="1:7">
      <c r="A321" s="2989" t="s">
        <v>306</v>
      </c>
      <c r="B321" s="2978" t="s">
        <v>3226</v>
      </c>
      <c r="C321" s="2990"/>
      <c r="D321" s="2990"/>
      <c r="E321" s="2990"/>
      <c r="F321" s="2979">
        <v>0.05</v>
      </c>
      <c r="G321" s="2996"/>
    </row>
    <row r="322" spans="1:7">
      <c r="A322" s="2989" t="s">
        <v>306</v>
      </c>
      <c r="B322" s="2978" t="s">
        <v>3227</v>
      </c>
      <c r="C322" s="2990"/>
      <c r="D322" s="2990"/>
      <c r="E322" s="2990"/>
      <c r="F322" s="2979">
        <v>0.05</v>
      </c>
      <c r="G322" s="2996"/>
    </row>
    <row r="323" spans="1:7">
      <c r="A323" s="2989" t="s">
        <v>306</v>
      </c>
      <c r="B323" s="2978" t="s">
        <v>3228</v>
      </c>
      <c r="C323" s="2990"/>
      <c r="D323" s="2990"/>
      <c r="E323" s="2990"/>
      <c r="F323" s="2979">
        <v>0.05</v>
      </c>
      <c r="G323" s="2996"/>
    </row>
    <row r="324" spans="1:7">
      <c r="A324" s="2989" t="s">
        <v>306</v>
      </c>
      <c r="B324" s="2978" t="s">
        <v>3229</v>
      </c>
      <c r="C324" s="2990"/>
      <c r="D324" s="2990"/>
      <c r="E324" s="2990"/>
      <c r="F324" s="2979">
        <v>0.05</v>
      </c>
      <c r="G324" s="2996"/>
    </row>
    <row r="325" spans="1:7">
      <c r="A325" s="2989" t="s">
        <v>306</v>
      </c>
      <c r="B325" s="2978" t="s">
        <v>3230</v>
      </c>
      <c r="C325" s="2990"/>
      <c r="D325" s="2990"/>
      <c r="E325" s="2990"/>
      <c r="F325" s="2979">
        <v>0.05</v>
      </c>
      <c r="G325" s="2996"/>
    </row>
    <row r="326" spans="1:7" ht="14.25" thickBot="1">
      <c r="A326" s="2992" t="s">
        <v>306</v>
      </c>
      <c r="B326" s="2982" t="s">
        <v>3231</v>
      </c>
      <c r="C326" s="2984"/>
      <c r="D326" s="2984"/>
      <c r="E326" s="2984"/>
      <c r="F326" s="2983">
        <v>0.05</v>
      </c>
      <c r="G326" s="2997"/>
    </row>
    <row r="327" spans="1:7">
      <c r="A327" s="2988" t="s">
        <v>307</v>
      </c>
      <c r="B327" s="2974" t="s">
        <v>2863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2875</v>
      </c>
      <c r="C329" s="2979">
        <v>0.15</v>
      </c>
      <c r="D329" s="2979">
        <v>0.15</v>
      </c>
      <c r="E329" s="2979">
        <v>0.15</v>
      </c>
      <c r="F329" s="2979">
        <v>0.15</v>
      </c>
      <c r="G329" s="2980">
        <v>0.15</v>
      </c>
    </row>
    <row r="330" spans="1:7">
      <c r="A330" s="2989" t="s">
        <v>307</v>
      </c>
      <c r="B330" s="2978" t="s">
        <v>2879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2887</v>
      </c>
      <c r="C332" s="2979">
        <v>0.15</v>
      </c>
      <c r="D332" s="2979">
        <v>0.15</v>
      </c>
      <c r="E332" s="2979">
        <v>0.15</v>
      </c>
      <c r="F332" s="2979">
        <v>0.15</v>
      </c>
      <c r="G332" s="2980">
        <v>0.15</v>
      </c>
    </row>
    <row r="333" spans="1:7">
      <c r="A333" s="2989" t="s">
        <v>307</v>
      </c>
      <c r="B333" s="2978" t="s">
        <v>2891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2897</v>
      </c>
      <c r="C336" s="2979">
        <v>0.15</v>
      </c>
      <c r="D336" s="2979">
        <v>0.15</v>
      </c>
      <c r="E336" s="2979">
        <v>0.15</v>
      </c>
      <c r="F336" s="2979">
        <v>0.14199999999999999</v>
      </c>
      <c r="G336" s="2980">
        <v>0.15</v>
      </c>
    </row>
    <row r="337" spans="1:7">
      <c r="A337" s="2989" t="s">
        <v>307</v>
      </c>
      <c r="B337" s="2978" t="s">
        <v>2902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2922</v>
      </c>
      <c r="C345" s="2979">
        <v>0.15</v>
      </c>
      <c r="D345" s="2979">
        <v>0.15</v>
      </c>
      <c r="E345" s="2979">
        <v>0.15</v>
      </c>
      <c r="F345" s="2979">
        <v>0.13800000000000001</v>
      </c>
      <c r="G345" s="2980">
        <v>0.15</v>
      </c>
    </row>
    <row r="346" spans="1:7">
      <c r="A346" s="2989" t="s">
        <v>307</v>
      </c>
      <c r="B346" s="2978" t="s">
        <v>2924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2931</v>
      </c>
      <c r="C348" s="2979">
        <v>0.15</v>
      </c>
      <c r="D348" s="2979">
        <v>0.15</v>
      </c>
      <c r="E348" s="2979">
        <v>0.15</v>
      </c>
      <c r="F348" s="2979">
        <v>0.14399999999999999</v>
      </c>
      <c r="G348" s="2980">
        <v>0.15</v>
      </c>
    </row>
    <row r="349" spans="1:7">
      <c r="A349" s="2989" t="s">
        <v>307</v>
      </c>
      <c r="B349" s="2978" t="s">
        <v>2936</v>
      </c>
      <c r="C349" s="2979">
        <v>0.15</v>
      </c>
      <c r="D349" s="2979">
        <v>0.15</v>
      </c>
      <c r="E349" s="2979">
        <v>0.15</v>
      </c>
      <c r="F349" s="2979">
        <v>0.15</v>
      </c>
      <c r="G349" s="2980">
        <v>0.15</v>
      </c>
    </row>
    <row r="350" spans="1:7">
      <c r="A350" s="2989" t="s">
        <v>307</v>
      </c>
      <c r="B350" s="2978" t="s">
        <v>2939</v>
      </c>
      <c r="C350" s="2979">
        <v>0.15</v>
      </c>
      <c r="D350" s="2979">
        <v>0.15</v>
      </c>
      <c r="E350" s="2979">
        <v>0.15</v>
      </c>
      <c r="F350" s="2979">
        <v>0.14699999999999999</v>
      </c>
      <c r="G350" s="2980">
        <v>0.15</v>
      </c>
    </row>
    <row r="351" spans="1:7">
      <c r="A351" s="2989" t="s">
        <v>307</v>
      </c>
      <c r="B351" s="2978" t="s">
        <v>2944</v>
      </c>
      <c r="C351" s="2979">
        <v>0.15</v>
      </c>
      <c r="D351" s="2979">
        <v>0.15</v>
      </c>
      <c r="E351" s="2979">
        <v>0.15</v>
      </c>
      <c r="F351" s="2979">
        <v>0.13</v>
      </c>
      <c r="G351" s="2980">
        <v>0.15</v>
      </c>
    </row>
    <row r="352" spans="1:7">
      <c r="A352" s="2989" t="s">
        <v>307</v>
      </c>
      <c r="B352" s="2978" t="s">
        <v>2949</v>
      </c>
      <c r="C352" s="2979">
        <v>0.15</v>
      </c>
      <c r="D352" s="2979">
        <v>0.15</v>
      </c>
      <c r="E352" s="2979">
        <v>0.15</v>
      </c>
      <c r="F352" s="2979">
        <v>0.14599999999999999</v>
      </c>
      <c r="G352" s="2980">
        <v>0.15</v>
      </c>
    </row>
    <row r="353" spans="1:7">
      <c r="A353" s="2989" t="s">
        <v>307</v>
      </c>
      <c r="B353" s="2978" t="s">
        <v>2956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2969</v>
      </c>
      <c r="C355" s="2979">
        <v>0.15</v>
      </c>
      <c r="D355" s="2979">
        <v>0.15</v>
      </c>
      <c r="E355" s="2979">
        <v>0.15</v>
      </c>
      <c r="F355" s="2979">
        <v>0.15</v>
      </c>
      <c r="G355" s="2980">
        <v>0.15</v>
      </c>
    </row>
    <row r="356" spans="1:7">
      <c r="A356" s="2989" t="s">
        <v>307</v>
      </c>
      <c r="B356" s="2978" t="s">
        <v>2976</v>
      </c>
      <c r="C356" s="2979">
        <v>0.15</v>
      </c>
      <c r="D356" s="2979">
        <v>0.15</v>
      </c>
      <c r="E356" s="2979">
        <v>0.15</v>
      </c>
      <c r="F356" s="2979">
        <v>0.15</v>
      </c>
      <c r="G356" s="2980">
        <v>0.15</v>
      </c>
    </row>
    <row r="357" spans="1:7" ht="14.25" thickBot="1">
      <c r="A357" s="2992" t="s">
        <v>307</v>
      </c>
      <c r="B357" s="2982" t="s">
        <v>2981</v>
      </c>
      <c r="C357" s="2983">
        <v>0.126</v>
      </c>
      <c r="D357" s="2983">
        <v>0.127</v>
      </c>
      <c r="E357" s="2983">
        <v>0.14299999999999999</v>
      </c>
      <c r="F357" s="2983">
        <v>0.125</v>
      </c>
      <c r="G357" s="2985">
        <v>0.129</v>
      </c>
    </row>
    <row r="358" spans="1:7">
      <c r="A358" s="2988" t="s">
        <v>2850</v>
      </c>
      <c r="B358" s="2974" t="s">
        <v>2864</v>
      </c>
      <c r="C358" s="2975">
        <v>0.15</v>
      </c>
      <c r="D358" s="2975">
        <v>0.15</v>
      </c>
      <c r="E358" s="2975">
        <v>0.15</v>
      </c>
      <c r="F358" s="2975">
        <v>0.15</v>
      </c>
      <c r="G358" s="2976">
        <v>0.15</v>
      </c>
    </row>
    <row r="359" spans="1:7">
      <c r="A359" s="2989" t="s">
        <v>2850</v>
      </c>
      <c r="B359" s="2978" t="s">
        <v>2870</v>
      </c>
      <c r="C359" s="2979">
        <v>0.1</v>
      </c>
      <c r="D359" s="2979">
        <v>0.1</v>
      </c>
      <c r="E359" s="2979">
        <v>0.1</v>
      </c>
      <c r="F359" s="2979">
        <v>0.1</v>
      </c>
      <c r="G359" s="2980">
        <v>0.1</v>
      </c>
    </row>
    <row r="360" spans="1:7">
      <c r="A360" s="2989" t="s">
        <v>2850</v>
      </c>
      <c r="B360" s="2978" t="s">
        <v>2876</v>
      </c>
      <c r="C360" s="2979">
        <v>0.15</v>
      </c>
      <c r="D360" s="2979">
        <v>0.15</v>
      </c>
      <c r="E360" s="2979">
        <v>0.15</v>
      </c>
      <c r="F360" s="2979">
        <v>0.14899999999999999</v>
      </c>
      <c r="G360" s="2980">
        <v>0.15</v>
      </c>
    </row>
    <row r="361" spans="1:7">
      <c r="A361" s="2989" t="s">
        <v>2850</v>
      </c>
      <c r="B361" s="2978" t="s">
        <v>153</v>
      </c>
      <c r="C361" s="2979">
        <v>0.15</v>
      </c>
      <c r="D361" s="2979">
        <v>0.15</v>
      </c>
      <c r="E361" s="2979">
        <v>0.15</v>
      </c>
      <c r="F361" s="2979">
        <v>0.115</v>
      </c>
      <c r="G361" s="2980">
        <v>0.15</v>
      </c>
    </row>
    <row r="362" spans="1:7">
      <c r="A362" s="2989" t="s">
        <v>2850</v>
      </c>
      <c r="B362" s="2978" t="s">
        <v>2883</v>
      </c>
      <c r="C362" s="2979">
        <v>0.15</v>
      </c>
      <c r="D362" s="2979">
        <v>0.15</v>
      </c>
      <c r="E362" s="2979">
        <v>0.15</v>
      </c>
      <c r="F362" s="2979">
        <v>0.106</v>
      </c>
      <c r="G362" s="2980">
        <v>0.15</v>
      </c>
    </row>
    <row r="363" spans="1:7">
      <c r="A363" s="2989" t="s">
        <v>2850</v>
      </c>
      <c r="B363" s="2978" t="s">
        <v>2888</v>
      </c>
      <c r="C363" s="2979">
        <v>0.15</v>
      </c>
      <c r="D363" s="2979">
        <v>0.15</v>
      </c>
      <c r="E363" s="2979">
        <v>0.15</v>
      </c>
      <c r="F363" s="2979">
        <v>0.14699999999999999</v>
      </c>
      <c r="G363" s="2980">
        <v>0.15</v>
      </c>
    </row>
    <row r="364" spans="1:7">
      <c r="A364" s="2989" t="s">
        <v>2850</v>
      </c>
      <c r="B364" s="2978" t="s">
        <v>2892</v>
      </c>
      <c r="C364" s="2979">
        <v>0.15</v>
      </c>
      <c r="D364" s="2979">
        <v>0.15</v>
      </c>
      <c r="E364" s="2979">
        <v>0.15</v>
      </c>
      <c r="F364" s="2979">
        <v>0.14799999999999999</v>
      </c>
      <c r="G364" s="2980">
        <v>0.15</v>
      </c>
    </row>
    <row r="365" spans="1:7">
      <c r="A365" s="2989" t="s">
        <v>2850</v>
      </c>
      <c r="B365" s="2978" t="s">
        <v>200</v>
      </c>
      <c r="C365" s="2979">
        <v>0.15</v>
      </c>
      <c r="D365" s="2979">
        <v>0.15</v>
      </c>
      <c r="E365" s="2979">
        <v>0.15</v>
      </c>
      <c r="F365" s="2979">
        <v>0.15</v>
      </c>
      <c r="G365" s="2980">
        <v>0.15</v>
      </c>
    </row>
    <row r="366" spans="1:7">
      <c r="A366" s="2989" t="s">
        <v>2850</v>
      </c>
      <c r="B366" s="2978" t="s">
        <v>2895</v>
      </c>
      <c r="C366" s="2979">
        <v>0.15</v>
      </c>
      <c r="D366" s="2979">
        <v>0.15</v>
      </c>
      <c r="E366" s="2979">
        <v>0.15</v>
      </c>
      <c r="F366" s="2979">
        <v>0.15</v>
      </c>
      <c r="G366" s="2980">
        <v>0.15</v>
      </c>
    </row>
    <row r="367" spans="1:7">
      <c r="A367" s="2989" t="s">
        <v>2850</v>
      </c>
      <c r="B367" s="2978" t="s">
        <v>2898</v>
      </c>
      <c r="C367" s="2979">
        <v>0.15</v>
      </c>
      <c r="D367" s="2979">
        <v>0.15</v>
      </c>
      <c r="E367" s="2979">
        <v>0.15</v>
      </c>
      <c r="F367" s="2979">
        <v>0.14699999999999999</v>
      </c>
      <c r="G367" s="2980">
        <v>0.15</v>
      </c>
    </row>
    <row r="368" spans="1:7">
      <c r="A368" s="2989" t="s">
        <v>2850</v>
      </c>
      <c r="B368" s="2978" t="s">
        <v>2903</v>
      </c>
      <c r="C368" s="2979">
        <v>0.15</v>
      </c>
      <c r="D368" s="2979">
        <v>0.15</v>
      </c>
      <c r="E368" s="2979">
        <v>0.15</v>
      </c>
      <c r="F368" s="2979">
        <v>0.13600000000000001</v>
      </c>
      <c r="G368" s="2980">
        <v>0.15</v>
      </c>
    </row>
    <row r="369" spans="1:7">
      <c r="A369" s="2989" t="s">
        <v>2850</v>
      </c>
      <c r="B369" s="2978" t="s">
        <v>214</v>
      </c>
      <c r="C369" s="2979">
        <v>0.15</v>
      </c>
      <c r="D369" s="2979">
        <v>0.15</v>
      </c>
      <c r="E369" s="2979">
        <v>0.15</v>
      </c>
      <c r="F369" s="2979">
        <v>0.14399999999999999</v>
      </c>
      <c r="G369" s="2980">
        <v>0.15</v>
      </c>
    </row>
    <row r="370" spans="1:7">
      <c r="A370" s="2989" t="s">
        <v>2850</v>
      </c>
      <c r="B370" s="2978" t="s">
        <v>221</v>
      </c>
      <c r="C370" s="2979">
        <v>0.15</v>
      </c>
      <c r="D370" s="2979">
        <v>0.15</v>
      </c>
      <c r="E370" s="2979">
        <v>0.15</v>
      </c>
      <c r="F370" s="2979">
        <v>0.14599999999999999</v>
      </c>
      <c r="G370" s="2980">
        <v>0.15</v>
      </c>
    </row>
    <row r="371" spans="1:7">
      <c r="A371" s="2989" t="s">
        <v>2850</v>
      </c>
      <c r="B371" s="2978" t="s">
        <v>229</v>
      </c>
      <c r="C371" s="2979">
        <v>0.15</v>
      </c>
      <c r="D371" s="2979">
        <v>0.15</v>
      </c>
      <c r="E371" s="2979">
        <v>0.15</v>
      </c>
      <c r="F371" s="2979">
        <v>0.12</v>
      </c>
      <c r="G371" s="2980">
        <v>0.15</v>
      </c>
    </row>
    <row r="372" spans="1:7">
      <c r="A372" s="2989" t="s">
        <v>2850</v>
      </c>
      <c r="B372" s="2978" t="s">
        <v>2911</v>
      </c>
      <c r="C372" s="2979">
        <v>0.15</v>
      </c>
      <c r="D372" s="2979">
        <v>0.15</v>
      </c>
      <c r="E372" s="2979">
        <v>0.15</v>
      </c>
      <c r="F372" s="2979">
        <v>0.14299999999999999</v>
      </c>
      <c r="G372" s="2980">
        <v>0.15</v>
      </c>
    </row>
    <row r="373" spans="1:7">
      <c r="A373" s="2989" t="s">
        <v>2850</v>
      </c>
      <c r="B373" s="2978" t="s">
        <v>258</v>
      </c>
      <c r="C373" s="2979">
        <v>0.15</v>
      </c>
      <c r="D373" s="2979">
        <v>0.15</v>
      </c>
      <c r="E373" s="2979">
        <v>0.15</v>
      </c>
      <c r="F373" s="2979">
        <v>0.14599999999999999</v>
      </c>
      <c r="G373" s="2980">
        <v>0.15</v>
      </c>
    </row>
    <row r="374" spans="1:7">
      <c r="A374" s="2989" t="s">
        <v>2850</v>
      </c>
      <c r="B374" s="2978" t="s">
        <v>266</v>
      </c>
      <c r="C374" s="2979">
        <v>0.15</v>
      </c>
      <c r="D374" s="2979">
        <v>0.15</v>
      </c>
      <c r="E374" s="2979">
        <v>0.15</v>
      </c>
      <c r="F374" s="2979">
        <v>0.14399999999999999</v>
      </c>
      <c r="G374" s="2980">
        <v>0.15</v>
      </c>
    </row>
    <row r="375" spans="1:7">
      <c r="A375" s="2989" t="s">
        <v>2850</v>
      </c>
      <c r="B375" s="2978" t="s">
        <v>2919</v>
      </c>
      <c r="C375" s="2979">
        <v>0.15</v>
      </c>
      <c r="D375" s="2979">
        <v>0.15</v>
      </c>
      <c r="E375" s="2979">
        <v>0.15</v>
      </c>
      <c r="F375" s="2979">
        <v>0.13</v>
      </c>
      <c r="G375" s="2980">
        <v>0.15</v>
      </c>
    </row>
    <row r="376" spans="1:7">
      <c r="A376" s="2989" t="s">
        <v>2850</v>
      </c>
      <c r="B376" s="2978" t="s">
        <v>277</v>
      </c>
      <c r="C376" s="2979">
        <v>0.15</v>
      </c>
      <c r="D376" s="2979">
        <v>0.15</v>
      </c>
      <c r="E376" s="2979">
        <v>0.15</v>
      </c>
      <c r="F376" s="2979">
        <v>0.14199999999999999</v>
      </c>
      <c r="G376" s="2980">
        <v>0.15</v>
      </c>
    </row>
    <row r="377" spans="1:7" ht="14.25" thickBot="1">
      <c r="A377" s="2992" t="s">
        <v>2850</v>
      </c>
      <c r="B377" s="2982" t="s">
        <v>2925</v>
      </c>
      <c r="C377" s="2983">
        <v>0.15</v>
      </c>
      <c r="D377" s="2983">
        <v>0.15</v>
      </c>
      <c r="E377" s="2983">
        <v>0.15</v>
      </c>
      <c r="F377" s="2983">
        <v>0.14000000000000001</v>
      </c>
      <c r="G377" s="2985">
        <v>0.15</v>
      </c>
    </row>
    <row r="378" spans="1:7">
      <c r="A378" s="2988" t="s">
        <v>2851</v>
      </c>
      <c r="B378" s="2974" t="s">
        <v>2865</v>
      </c>
      <c r="C378" s="2975">
        <v>0.15</v>
      </c>
      <c r="D378" s="2975">
        <v>0.15</v>
      </c>
      <c r="E378" s="2975">
        <v>0.15</v>
      </c>
      <c r="F378" s="2975">
        <v>0.107</v>
      </c>
      <c r="G378" s="2976">
        <v>0.15</v>
      </c>
    </row>
    <row r="379" spans="1:7">
      <c r="A379" s="2989" t="s">
        <v>2851</v>
      </c>
      <c r="B379" s="2978" t="s">
        <v>2871</v>
      </c>
      <c r="C379" s="2979">
        <v>0.15</v>
      </c>
      <c r="D379" s="2979">
        <v>0.15</v>
      </c>
      <c r="E379" s="2979">
        <v>0.15</v>
      </c>
      <c r="F379" s="2979">
        <v>0.115</v>
      </c>
      <c r="G379" s="2980">
        <v>0.14899999999999999</v>
      </c>
    </row>
    <row r="380" spans="1:7">
      <c r="A380" s="2989" t="s">
        <v>2851</v>
      </c>
      <c r="B380" s="2978" t="s">
        <v>2877</v>
      </c>
      <c r="C380" s="2979">
        <v>0.15</v>
      </c>
      <c r="D380" s="2979">
        <v>0.15</v>
      </c>
      <c r="E380" s="2979">
        <v>0.15</v>
      </c>
      <c r="F380" s="2979">
        <v>0.1</v>
      </c>
      <c r="G380" s="2980">
        <v>0.14799999999999999</v>
      </c>
    </row>
    <row r="381" spans="1:7">
      <c r="A381" s="2989" t="s">
        <v>2851</v>
      </c>
      <c r="B381" s="2978" t="s">
        <v>2880</v>
      </c>
      <c r="C381" s="2979">
        <v>0.15</v>
      </c>
      <c r="D381" s="2979">
        <v>0.15</v>
      </c>
      <c r="E381" s="2979">
        <v>0.15</v>
      </c>
      <c r="F381" s="2979">
        <v>0.126</v>
      </c>
      <c r="G381" s="2980">
        <v>0.15</v>
      </c>
    </row>
    <row r="382" spans="1:7">
      <c r="A382" s="2989" t="s">
        <v>2851</v>
      </c>
      <c r="B382" s="2978" t="s">
        <v>2884</v>
      </c>
      <c r="C382" s="2979">
        <v>0.15</v>
      </c>
      <c r="D382" s="2979">
        <v>0.15</v>
      </c>
      <c r="E382" s="2979">
        <v>0.15</v>
      </c>
      <c r="F382" s="2979">
        <v>0.15</v>
      </c>
      <c r="G382" s="2980">
        <v>0.15</v>
      </c>
    </row>
    <row r="383" spans="1:7">
      <c r="A383" s="2989" t="s">
        <v>2851</v>
      </c>
      <c r="B383" s="2978" t="s">
        <v>2889</v>
      </c>
      <c r="C383" s="2979">
        <v>0.15</v>
      </c>
      <c r="D383" s="2979">
        <v>0.15</v>
      </c>
      <c r="E383" s="2979">
        <v>0.15</v>
      </c>
      <c r="F383" s="2979">
        <v>0.14699999999999999</v>
      </c>
      <c r="G383" s="2980">
        <v>0.15</v>
      </c>
    </row>
    <row r="384" spans="1:7" ht="14.25" thickBot="1">
      <c r="A384" s="2999" t="s">
        <v>2851</v>
      </c>
      <c r="B384" s="3000" t="s">
        <v>2893</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4"/>
  </cols>
  <sheetData>
    <row r="1" spans="1:6">
      <c r="A1" s="3521" t="s">
        <v>3232</v>
      </c>
      <c r="B1" s="3521"/>
      <c r="C1" s="3521"/>
      <c r="D1" s="3521"/>
      <c r="E1" s="3521"/>
      <c r="F1" s="3522"/>
    </row>
    <row r="2" spans="1:6">
      <c r="A2" s="3003" t="s">
        <v>3233</v>
      </c>
    </row>
    <row r="3" spans="1:6">
      <c r="A3" s="3003" t="s">
        <v>3234</v>
      </c>
      <c r="F3" s="3004" t="s">
        <v>3235</v>
      </c>
    </row>
    <row r="4" spans="1:6">
      <c r="A4" s="3005" t="s">
        <v>672</v>
      </c>
      <c r="B4" s="3005" t="s">
        <v>673</v>
      </c>
      <c r="C4" s="3005" t="s">
        <v>21</v>
      </c>
      <c r="D4" s="3005" t="s">
        <v>674</v>
      </c>
      <c r="E4" s="3005" t="s">
        <v>3</v>
      </c>
      <c r="F4" s="3005" t="s">
        <v>3236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8">
        <f>基准地价修正!G23</f>
        <v>45748</v>
      </c>
      <c r="B1" s="2930" t="s">
        <v>3377</v>
      </c>
      <c r="C1" s="2931"/>
      <c r="D1" s="2931"/>
      <c r="E1" s="2931"/>
      <c r="F1" s="2931"/>
      <c r="G1" s="2931"/>
      <c r="H1" s="2931"/>
      <c r="I1" s="2931"/>
      <c r="J1" s="2897"/>
      <c r="K1" s="2931" t="s">
        <v>454</v>
      </c>
      <c r="L1" s="2931"/>
      <c r="M1" s="2931"/>
      <c r="N1" s="2931"/>
      <c r="O1" s="2931"/>
      <c r="P1" s="2931"/>
      <c r="Q1" s="2897"/>
      <c r="R1" s="3523" t="s">
        <v>456</v>
      </c>
      <c r="S1" s="3524"/>
      <c r="T1" s="3524"/>
      <c r="U1" s="3524"/>
      <c r="V1" s="3524"/>
      <c r="W1" s="3524"/>
      <c r="X1" s="2897"/>
      <c r="Y1" s="3523" t="s">
        <v>457</v>
      </c>
      <c r="Z1" s="3524"/>
      <c r="AA1" s="3524"/>
      <c r="AB1" s="3524"/>
      <c r="AC1" s="3524"/>
      <c r="AD1" s="3524"/>
    </row>
    <row r="2" spans="1:44" s="2010" customFormat="1" ht="14.25" thickBot="1">
      <c r="B2" s="2882"/>
      <c r="C2" s="2883"/>
      <c r="D2" s="2011" t="s">
        <v>2810</v>
      </c>
      <c r="E2" s="2012" t="s">
        <v>2811</v>
      </c>
      <c r="F2" s="2012" t="s">
        <v>2812</v>
      </c>
      <c r="G2" s="2012" t="s">
        <v>2813</v>
      </c>
      <c r="H2" s="2012" t="s">
        <v>2814</v>
      </c>
      <c r="I2" s="2012" t="s">
        <v>2631</v>
      </c>
      <c r="J2" s="2884"/>
      <c r="K2" s="2011" t="s">
        <v>2810</v>
      </c>
      <c r="L2" s="2012" t="s">
        <v>2811</v>
      </c>
      <c r="M2" s="2012" t="s">
        <v>2812</v>
      </c>
      <c r="N2" s="2012" t="s">
        <v>2813</v>
      </c>
      <c r="O2" s="2012" t="s">
        <v>2815</v>
      </c>
      <c r="P2" s="2012" t="s">
        <v>2631</v>
      </c>
      <c r="Q2" s="2884"/>
      <c r="R2" s="2011" t="s">
        <v>2810</v>
      </c>
      <c r="S2" s="2012" t="s">
        <v>2811</v>
      </c>
      <c r="T2" s="2012" t="s">
        <v>2812</v>
      </c>
      <c r="U2" s="2012" t="s">
        <v>2816</v>
      </c>
      <c r="V2" s="2012" t="s">
        <v>2817</v>
      </c>
      <c r="W2" s="2012" t="s">
        <v>2631</v>
      </c>
      <c r="X2" s="2884"/>
      <c r="Y2" s="2011" t="s">
        <v>2810</v>
      </c>
      <c r="Z2" s="2012" t="s">
        <v>2811</v>
      </c>
      <c r="AA2" s="2012" t="s">
        <v>2812</v>
      </c>
      <c r="AB2" s="2012" t="s">
        <v>2818</v>
      </c>
      <c r="AC2" s="2012" t="s">
        <v>2817</v>
      </c>
      <c r="AD2" s="2012" t="s">
        <v>2631</v>
      </c>
      <c r="AF2" t="s">
        <v>3404</v>
      </c>
      <c r="AG2" t="s">
        <v>673</v>
      </c>
      <c r="AH2" t="s">
        <v>21</v>
      </c>
      <c r="AI2" t="s">
        <v>3405</v>
      </c>
      <c r="AJ2" t="s">
        <v>3</v>
      </c>
      <c r="AK2" t="s">
        <v>3406</v>
      </c>
      <c r="AM2" t="s">
        <v>3404</v>
      </c>
      <c r="AN2" t="s">
        <v>673</v>
      </c>
      <c r="AO2" t="s">
        <v>21</v>
      </c>
      <c r="AP2" t="s">
        <v>3405</v>
      </c>
      <c r="AQ2" t="s">
        <v>3</v>
      </c>
      <c r="AR2" t="s">
        <v>3406</v>
      </c>
    </row>
    <row r="3" spans="1:44" s="2887" customFormat="1" ht="12.75">
      <c r="A3" s="2885" t="s">
        <v>2819</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3403</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105.72</v>
      </c>
      <c r="AG5" s="3154">
        <f t="shared" ref="AG5:AK5" si="18">$AF$24*S5</f>
        <v>103.39</v>
      </c>
      <c r="AH5" s="3154">
        <f t="shared" si="18"/>
        <v>99.13</v>
      </c>
      <c r="AI5" s="3154">
        <f t="shared" si="18"/>
        <v>106.79</v>
      </c>
      <c r="AJ5" s="3154">
        <f t="shared" si="18"/>
        <v>108.72</v>
      </c>
      <c r="AK5" s="3154">
        <f t="shared" si="18"/>
        <v>99.13</v>
      </c>
      <c r="AM5" s="3160">
        <v>100</v>
      </c>
      <c r="AN5" s="3160">
        <v>100</v>
      </c>
      <c r="AO5" s="3160">
        <v>100</v>
      </c>
      <c r="AP5" s="3160">
        <v>100</v>
      </c>
      <c r="AQ5" s="3160">
        <v>100</v>
      </c>
      <c r="AR5" s="3160">
        <v>100</v>
      </c>
    </row>
    <row r="6" spans="1:44" s="2045" customFormat="1" ht="12.75">
      <c r="A6" s="2040" t="s">
        <v>3402</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105.72</v>
      </c>
      <c r="AG6" s="3154">
        <f t="shared" ref="AG6:AG23" si="31">$AF$24*S6</f>
        <v>103.39</v>
      </c>
      <c r="AH6" s="3154">
        <f t="shared" ref="AH6:AH23" si="32">$AF$24*T6</f>
        <v>99.13</v>
      </c>
      <c r="AI6" s="3154">
        <f t="shared" ref="AI6:AI23" si="33">$AF$24*U6</f>
        <v>106.79</v>
      </c>
      <c r="AJ6" s="3154">
        <f t="shared" ref="AJ6:AJ23" si="34">$AF$24*V6</f>
        <v>108.72</v>
      </c>
      <c r="AK6" s="3154">
        <f t="shared" ref="AK6:AK23" si="35">$AF$24*W6</f>
        <v>99.13</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3401</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5">
        <f t="shared" si="30"/>
        <v>105.72</v>
      </c>
      <c r="AG7" s="3155">
        <f t="shared" si="31"/>
        <v>103.39</v>
      </c>
      <c r="AH7" s="3155">
        <f t="shared" si="32"/>
        <v>99.13</v>
      </c>
      <c r="AI7" s="3155">
        <f t="shared" si="33"/>
        <v>106.79</v>
      </c>
      <c r="AJ7" s="3155">
        <f t="shared" si="34"/>
        <v>108.72</v>
      </c>
      <c r="AK7" s="3155">
        <f t="shared" si="35"/>
        <v>99.13</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3409</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v>
      </c>
      <c r="AN8" s="3154">
        <f t="shared" si="49"/>
        <v>100</v>
      </c>
      <c r="AO8" s="3154">
        <f t="shared" si="50"/>
        <v>100</v>
      </c>
      <c r="AP8" s="3154">
        <f t="shared" si="51"/>
        <v>100</v>
      </c>
      <c r="AQ8" s="3154">
        <f t="shared" si="52"/>
        <v>100</v>
      </c>
      <c r="AR8" s="3154">
        <f t="shared" si="53"/>
        <v>100</v>
      </c>
    </row>
    <row r="9" spans="1:44" s="2045" customFormat="1" ht="12.75">
      <c r="A9" s="2040" t="s">
        <v>3408</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99.433230585661718</v>
      </c>
      <c r="AN9" s="3154">
        <f t="shared" si="49"/>
        <v>100.57326762546515</v>
      </c>
      <c r="AO9" s="3154">
        <f t="shared" si="50"/>
        <v>100.90817356205852</v>
      </c>
      <c r="AP9" s="3154">
        <f t="shared" si="51"/>
        <v>98.892405063291136</v>
      </c>
      <c r="AQ9" s="3154">
        <f t="shared" si="52"/>
        <v>99.581756622186816</v>
      </c>
      <c r="AR9" s="3154">
        <f t="shared" si="53"/>
        <v>100.90817356205852</v>
      </c>
    </row>
    <row r="10" spans="1:44" s="2045" customFormat="1" ht="12.75">
      <c r="A10" s="2040" t="s">
        <v>3381</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100.45790117767399</v>
      </c>
      <c r="AN10" s="3154">
        <f t="shared" si="49"/>
        <v>101.05834769439826</v>
      </c>
      <c r="AO10" s="3154">
        <f t="shared" si="50"/>
        <v>101.670703840865</v>
      </c>
      <c r="AP10" s="3154">
        <f t="shared" si="51"/>
        <v>99.941793899233076</v>
      </c>
      <c r="AQ10" s="3154">
        <f t="shared" si="52"/>
        <v>99.502154898268216</v>
      </c>
      <c r="AR10" s="3154">
        <f t="shared" si="53"/>
        <v>101.670703840865</v>
      </c>
    </row>
    <row r="11" spans="1:44" s="2045" customFormat="1" ht="12.75">
      <c r="A11" s="2906" t="s">
        <v>3375</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101.66774737139357</v>
      </c>
      <c r="AN11" s="3154">
        <f t="shared" si="49"/>
        <v>101.53556484918946</v>
      </c>
      <c r="AO11" s="3154">
        <f t="shared" si="50"/>
        <v>101.9664064194815</v>
      </c>
      <c r="AP11" s="3154">
        <f t="shared" si="51"/>
        <v>100.68687678746028</v>
      </c>
      <c r="AQ11" s="3154">
        <f t="shared" si="52"/>
        <v>99.711549151486338</v>
      </c>
      <c r="AR11" s="3154">
        <f t="shared" si="53"/>
        <v>101.9664064194815</v>
      </c>
    </row>
    <row r="12" spans="1:44" s="2045" customFormat="1" ht="12.75">
      <c r="A12" s="2906" t="s">
        <v>3374</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102.27114713951673</v>
      </c>
      <c r="AN12" s="3154">
        <f t="shared" si="49"/>
        <v>101.74923824951344</v>
      </c>
      <c r="AO12" s="3154">
        <f t="shared" si="50"/>
        <v>103.3932330353696</v>
      </c>
      <c r="AP12" s="3154">
        <f t="shared" si="51"/>
        <v>101.95107005615662</v>
      </c>
      <c r="AQ12" s="3154">
        <f t="shared" si="52"/>
        <v>99.373678644096401</v>
      </c>
      <c r="AR12" s="3154">
        <f t="shared" si="53"/>
        <v>103.3932330353696</v>
      </c>
    </row>
    <row r="13" spans="1:44" s="2045" customFormat="1" ht="12.75">
      <c r="A13" s="2906" t="s">
        <v>3370</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102.18939562301833</v>
      </c>
      <c r="AN13" s="3154">
        <f t="shared" si="49"/>
        <v>101.28333490893236</v>
      </c>
      <c r="AO13" s="3154">
        <f t="shared" si="50"/>
        <v>103.55892731908014</v>
      </c>
      <c r="AP13" s="3154">
        <f t="shared" si="51"/>
        <v>101.68668467599903</v>
      </c>
      <c r="AQ13" s="3154">
        <f t="shared" si="52"/>
        <v>98.79081284829148</v>
      </c>
      <c r="AR13" s="3154">
        <f t="shared" si="53"/>
        <v>103.55892731908014</v>
      </c>
    </row>
    <row r="14" spans="1:44" s="2045" customFormat="1" ht="12.75">
      <c r="A14" s="2906" t="s">
        <v>3369</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101.99560397546495</v>
      </c>
      <c r="AN14" s="3154">
        <f t="shared" si="49"/>
        <v>101.04083690037147</v>
      </c>
      <c r="AO14" s="3154">
        <f t="shared" si="50"/>
        <v>103.72488713850174</v>
      </c>
      <c r="AP14" s="3154">
        <f t="shared" si="51"/>
        <v>101.51411068782971</v>
      </c>
      <c r="AQ14" s="3154">
        <f t="shared" si="52"/>
        <v>98.191842608380355</v>
      </c>
      <c r="AR14" s="3154">
        <f t="shared" si="53"/>
        <v>103.72488713850174</v>
      </c>
    </row>
    <row r="15" spans="1:44" s="2045" customFormat="1" ht="12.75">
      <c r="A15" s="2906" t="s">
        <v>3367</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101.74125084834409</v>
      </c>
      <c r="AN15" s="3154">
        <f t="shared" si="49"/>
        <v>100.53814616952387</v>
      </c>
      <c r="AO15" s="3154">
        <f t="shared" si="50"/>
        <v>103.40433370401927</v>
      </c>
      <c r="AP15" s="3154">
        <f t="shared" si="51"/>
        <v>101.30137779446135</v>
      </c>
      <c r="AQ15" s="3154">
        <f t="shared" si="52"/>
        <v>97.771425478821428</v>
      </c>
      <c r="AR15" s="3154">
        <f t="shared" si="53"/>
        <v>103.40433370401927</v>
      </c>
    </row>
    <row r="16" spans="1:44" s="2045" customFormat="1" ht="12.75">
      <c r="A16" s="2906" t="s">
        <v>3366</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100.82375468074926</v>
      </c>
      <c r="AN16" s="3154">
        <f t="shared" si="49"/>
        <v>99.878945131654959</v>
      </c>
      <c r="AO16" s="3154">
        <f t="shared" si="50"/>
        <v>102.92060685181573</v>
      </c>
      <c r="AP16" s="3154">
        <f t="shared" si="51"/>
        <v>100.33813172985474</v>
      </c>
      <c r="AQ16" s="3154">
        <f t="shared" si="52"/>
        <v>97.082142268713554</v>
      </c>
      <c r="AR16" s="3154">
        <f t="shared" si="53"/>
        <v>102.92060685181573</v>
      </c>
    </row>
    <row r="17" spans="1:44" s="2045" customFormat="1" ht="12.75">
      <c r="A17" s="2906" t="s">
        <v>3365</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99.934339063087791</v>
      </c>
      <c r="AN17" s="3154">
        <f t="shared" si="49"/>
        <v>99.145270132673176</v>
      </c>
      <c r="AO17" s="3154">
        <f t="shared" si="50"/>
        <v>102.3372843311283</v>
      </c>
      <c r="AP17" s="3154">
        <f t="shared" si="51"/>
        <v>99.423436117573061</v>
      </c>
      <c r="AQ17" s="3154">
        <f t="shared" si="52"/>
        <v>96.599146536033402</v>
      </c>
      <c r="AR17" s="3154">
        <f t="shared" si="53"/>
        <v>102.3372843311283</v>
      </c>
    </row>
    <row r="18" spans="1:44" s="2045" customFormat="1" ht="12.75">
      <c r="A18" s="2906" t="s">
        <v>3363</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99.318563966495518</v>
      </c>
      <c r="AN18" s="3154">
        <f t="shared" si="49"/>
        <v>98.947375381909353</v>
      </c>
      <c r="AO18" s="3154">
        <f t="shared" si="50"/>
        <v>102.22483701041683</v>
      </c>
      <c r="AP18" s="3154">
        <f t="shared" si="51"/>
        <v>98.742115520481747</v>
      </c>
      <c r="AQ18" s="3154">
        <f t="shared" si="52"/>
        <v>96.089870223847001</v>
      </c>
      <c r="AR18" s="3154">
        <f t="shared" si="53"/>
        <v>102.22483701041683</v>
      </c>
    </row>
    <row r="19" spans="1:44" s="2045" customFormat="1" ht="12.75">
      <c r="A19" s="2906" t="s">
        <v>3354</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98.667359394491882</v>
      </c>
      <c r="AN19" s="3154">
        <f t="shared" si="49"/>
        <v>98.631753769845844</v>
      </c>
      <c r="AO19" s="3154">
        <f t="shared" si="50"/>
        <v>101.99025941376517</v>
      </c>
      <c r="AP19" s="3154">
        <f t="shared" si="51"/>
        <v>98.036254488166932</v>
      </c>
      <c r="AQ19" s="3154">
        <f t="shared" si="52"/>
        <v>95.488293971824504</v>
      </c>
      <c r="AR19" s="3154">
        <f t="shared" si="53"/>
        <v>101.99025941376517</v>
      </c>
    </row>
    <row r="20" spans="1:44" s="2045" customFormat="1" ht="12.75">
      <c r="A20" s="2906" t="s">
        <v>2820</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97.758208059538163</v>
      </c>
      <c r="AN20" s="3154">
        <f t="shared" si="49"/>
        <v>98.484027728253452</v>
      </c>
      <c r="AO20" s="3154">
        <f t="shared" si="50"/>
        <v>101.98006140762442</v>
      </c>
      <c r="AP20" s="3154">
        <f t="shared" si="51"/>
        <v>97.017570003134026</v>
      </c>
      <c r="AQ20" s="3154">
        <f t="shared" si="52"/>
        <v>94.468039149015155</v>
      </c>
      <c r="AR20" s="3154">
        <f t="shared" si="53"/>
        <v>101.98006140762442</v>
      </c>
    </row>
    <row r="21" spans="1:44" s="2045" customFormat="1" ht="12.75">
      <c r="A21" s="2906" t="s">
        <v>2821</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96.895835126908679</v>
      </c>
      <c r="AN21" s="3154">
        <f t="shared" si="49"/>
        <v>98.0525963045136</v>
      </c>
      <c r="AO21" s="3154">
        <f t="shared" si="50"/>
        <v>101.60412614090308</v>
      </c>
      <c r="AP21" s="3154">
        <f t="shared" si="51"/>
        <v>96.095057451598677</v>
      </c>
      <c r="AQ21" s="3154">
        <f t="shared" si="52"/>
        <v>93.867288502598527</v>
      </c>
      <c r="AR21" s="3154">
        <f t="shared" si="53"/>
        <v>101.60412614090308</v>
      </c>
    </row>
    <row r="22" spans="1:44" s="2045" customFormat="1" ht="12.75">
      <c r="A22" s="2906" t="s">
        <v>2822</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95.907982903007706</v>
      </c>
      <c r="AN22" s="3154">
        <f t="shared" si="49"/>
        <v>97.81783350410376</v>
      </c>
      <c r="AO22" s="3154">
        <f t="shared" si="50"/>
        <v>101.53305300380042</v>
      </c>
      <c r="AP22" s="3154">
        <f t="shared" si="51"/>
        <v>94.983747604624568</v>
      </c>
      <c r="AQ22" s="3154">
        <f t="shared" si="52"/>
        <v>93.353842369565911</v>
      </c>
      <c r="AR22" s="3154">
        <f t="shared" si="53"/>
        <v>101.53305300380042</v>
      </c>
    </row>
    <row r="23" spans="1:44" s="2045" customFormat="1" ht="12.75">
      <c r="A23" s="2906" t="s">
        <v>2823</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95.459324079832498</v>
      </c>
      <c r="AN23" s="3154">
        <f t="shared" si="49"/>
        <v>97.418417990343357</v>
      </c>
      <c r="AO23" s="3154">
        <f t="shared" si="50"/>
        <v>101.28995710674424</v>
      </c>
      <c r="AP23" s="3154">
        <f t="shared" si="51"/>
        <v>94.530003587405034</v>
      </c>
      <c r="AQ23" s="3154">
        <f t="shared" si="52"/>
        <v>92.907884523851436</v>
      </c>
      <c r="AR23" s="3154">
        <f t="shared" si="53"/>
        <v>101.28995710674424</v>
      </c>
    </row>
    <row r="24" spans="1:44" s="2929" customFormat="1" ht="14.25" thickBot="1">
      <c r="A24" s="2919" t="s">
        <v>2824</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94.589104320087685</v>
      </c>
      <c r="AN24" s="3161">
        <f t="shared" si="49"/>
        <v>96.722019450301175</v>
      </c>
      <c r="AO24" s="3161">
        <f t="shared" si="50"/>
        <v>100.87636401428567</v>
      </c>
      <c r="AP24" s="3161">
        <f t="shared" si="51"/>
        <v>93.640419601193685</v>
      </c>
      <c r="AQ24" s="3161">
        <f t="shared" si="52"/>
        <v>91.978897657510586</v>
      </c>
      <c r="AR24" s="3161">
        <f t="shared" si="53"/>
        <v>100.87636401428567</v>
      </c>
    </row>
    <row r="25" spans="1:44" ht="14.25" thickTop="1"/>
    <row r="26" spans="1:44">
      <c r="A26" s="3144" t="s">
        <v>3380</v>
      </c>
    </row>
    <row r="27" spans="1:44">
      <c r="I27" s="1405" t="s">
        <v>2825</v>
      </c>
    </row>
    <row r="29" spans="1:44" s="2009" customFormat="1" ht="12.75">
      <c r="B29" s="2930" t="s">
        <v>3378</v>
      </c>
      <c r="C29" s="2931"/>
      <c r="D29" s="2931"/>
      <c r="E29" s="2931"/>
      <c r="F29" s="2931"/>
      <c r="G29" s="2931"/>
      <c r="H29" s="2931"/>
      <c r="I29" s="2931"/>
      <c r="J29" s="2897"/>
      <c r="K29" s="2931" t="s">
        <v>2826</v>
      </c>
      <c r="L29" s="2931"/>
      <c r="M29" s="2931"/>
      <c r="N29" s="2931"/>
      <c r="O29" s="2931"/>
      <c r="P29" s="2931"/>
      <c r="Q29" s="2897"/>
      <c r="R29" s="3523" t="s">
        <v>2827</v>
      </c>
      <c r="S29" s="3524"/>
      <c r="T29" s="3524"/>
      <c r="U29" s="3524"/>
      <c r="V29" s="3524"/>
      <c r="W29" s="3524"/>
      <c r="X29" s="2897"/>
      <c r="Y29" s="3523" t="s">
        <v>2828</v>
      </c>
      <c r="Z29" s="3524"/>
      <c r="AA29" s="3524"/>
      <c r="AB29" s="3524"/>
      <c r="AC29" s="3524"/>
      <c r="AD29" s="3524"/>
    </row>
    <row r="30" spans="1:44" s="2010" customFormat="1" ht="14.25" thickBot="1">
      <c r="B30" s="2882"/>
      <c r="C30" s="2883"/>
      <c r="D30" s="2011" t="s">
        <v>2829</v>
      </c>
      <c r="E30" s="2012" t="s">
        <v>2830</v>
      </c>
      <c r="F30" s="2012" t="s">
        <v>2831</v>
      </c>
      <c r="G30" s="2012" t="s">
        <v>2832</v>
      </c>
      <c r="H30" s="2012"/>
      <c r="I30" s="2012" t="s">
        <v>2833</v>
      </c>
      <c r="J30" s="2884"/>
      <c r="K30" s="2011" t="s">
        <v>2829</v>
      </c>
      <c r="L30" s="2012" t="s">
        <v>2830</v>
      </c>
      <c r="M30" s="2012" t="s">
        <v>2831</v>
      </c>
      <c r="N30" s="2012" t="s">
        <v>2832</v>
      </c>
      <c r="O30" s="2012"/>
      <c r="P30" s="2012" t="s">
        <v>2833</v>
      </c>
      <c r="Q30" s="2884"/>
      <c r="R30" s="2011" t="s">
        <v>2829</v>
      </c>
      <c r="S30" s="2012" t="s">
        <v>2830</v>
      </c>
      <c r="T30" s="2012" t="s">
        <v>2831</v>
      </c>
      <c r="U30" s="2012" t="s">
        <v>2832</v>
      </c>
      <c r="V30" s="2012"/>
      <c r="W30" s="2012" t="s">
        <v>2833</v>
      </c>
      <c r="X30" s="2884"/>
      <c r="Y30" s="2011" t="s">
        <v>2829</v>
      </c>
      <c r="Z30" s="2012" t="s">
        <v>2830</v>
      </c>
      <c r="AA30" s="2012" t="s">
        <v>2831</v>
      </c>
      <c r="AB30" s="2012" t="s">
        <v>2832</v>
      </c>
      <c r="AC30" s="2012"/>
      <c r="AD30" s="2012" t="s">
        <v>2833</v>
      </c>
      <c r="AG30" t="s">
        <v>673</v>
      </c>
      <c r="AH30" t="s">
        <v>21</v>
      </c>
      <c r="AI30" t="s">
        <v>3405</v>
      </c>
      <c r="AJ30"/>
      <c r="AK30" t="s">
        <v>3406</v>
      </c>
      <c r="AN30" t="s">
        <v>673</v>
      </c>
      <c r="AO30" t="s">
        <v>21</v>
      </c>
      <c r="AP30" t="s">
        <v>3405</v>
      </c>
      <c r="AQ30"/>
      <c r="AR30" t="s">
        <v>3406</v>
      </c>
    </row>
    <row r="31" spans="1:44" s="2887" customFormat="1" ht="12.75">
      <c r="A31" s="2885" t="s">
        <v>2834</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3403</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101.49</v>
      </c>
      <c r="AH33" s="3154">
        <f t="shared" ref="AH33:AH50" si="130">$AG$52*T33</f>
        <v>100.72000000000001</v>
      </c>
      <c r="AI33" s="3154">
        <f t="shared" ref="AI33:AI50" si="131">$AG$52*U33</f>
        <v>103.35000000000001</v>
      </c>
      <c r="AJ33" s="3156"/>
      <c r="AK33" s="3154">
        <f t="shared" ref="AK33:AK50" si="132">$AG$52*W33</f>
        <v>100.72000000000001</v>
      </c>
      <c r="AN33" s="3159">
        <v>100</v>
      </c>
      <c r="AO33" s="3159">
        <v>100</v>
      </c>
      <c r="AP33" s="3159">
        <v>100</v>
      </c>
      <c r="AQ33" s="3159"/>
      <c r="AR33" s="3159">
        <v>100</v>
      </c>
    </row>
    <row r="34" spans="1:44" s="2045" customFormat="1" ht="12.75">
      <c r="A34" s="2040" t="s">
        <v>3402</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101.49</v>
      </c>
      <c r="AH34" s="3154">
        <f t="shared" si="130"/>
        <v>100.72000000000001</v>
      </c>
      <c r="AI34" s="3154">
        <f t="shared" si="131"/>
        <v>103.35000000000001</v>
      </c>
      <c r="AJ34" s="3156"/>
      <c r="AK34" s="3154">
        <f t="shared" si="132"/>
        <v>100.72000000000001</v>
      </c>
      <c r="AN34" s="3154">
        <f>AN33/(1+E33/100)</f>
        <v>100</v>
      </c>
      <c r="AO34" s="3154">
        <f t="shared" ref="AO34:AR34" si="140">AO33/(1+F33/100)</f>
        <v>100</v>
      </c>
      <c r="AP34" s="3154">
        <f t="shared" si="140"/>
        <v>100</v>
      </c>
      <c r="AQ34" s="3154"/>
      <c r="AR34" s="3154">
        <f t="shared" si="140"/>
        <v>100</v>
      </c>
    </row>
    <row r="35" spans="1:44" s="2917" customFormat="1" ht="12.75">
      <c r="A35" s="2908" t="s">
        <v>3410</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5">
        <f t="shared" si="129"/>
        <v>101.49</v>
      </c>
      <c r="AH35" s="3155">
        <f t="shared" si="130"/>
        <v>100.72000000000001</v>
      </c>
      <c r="AI35" s="3155">
        <f t="shared" si="131"/>
        <v>103.35000000000001</v>
      </c>
      <c r="AJ35" s="3157"/>
      <c r="AK35" s="3155">
        <f t="shared" si="132"/>
        <v>100.72000000000001</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3407</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v>
      </c>
      <c r="AO36" s="3154">
        <f t="shared" ref="AO36:AO52" si="159">AO35/(1+F35/100)</f>
        <v>100</v>
      </c>
      <c r="AP36" s="3154">
        <f t="shared" ref="AP36:AP52" si="160">AP35/(1+G35/100)</f>
        <v>100</v>
      </c>
      <c r="AQ36" s="3154"/>
      <c r="AR36" s="3154">
        <f t="shared" ref="AR36:AR52" si="161">AR35/(1+I35/100)</f>
        <v>100</v>
      </c>
    </row>
    <row r="37" spans="1:44" s="2045" customFormat="1" ht="12.75">
      <c r="A37" s="2040" t="s">
        <v>3408</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101.49193139145439</v>
      </c>
      <c r="AO37" s="3154">
        <f t="shared" si="159"/>
        <v>100.98969905069683</v>
      </c>
      <c r="AP37" s="3154">
        <f t="shared" si="160"/>
        <v>100.51261433309881</v>
      </c>
      <c r="AQ37" s="3154"/>
      <c r="AR37" s="3154">
        <f t="shared" si="161"/>
        <v>100.98969905069683</v>
      </c>
    </row>
    <row r="38" spans="1:44" s="2045" customFormat="1" ht="12.75">
      <c r="A38" s="2040" t="s">
        <v>3372</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102.11483186583598</v>
      </c>
      <c r="AO38" s="3154">
        <f t="shared" si="159"/>
        <v>101.71185320847701</v>
      </c>
      <c r="AP38" s="3154">
        <f t="shared" si="160"/>
        <v>101.4049781407373</v>
      </c>
      <c r="AQ38" s="3154"/>
      <c r="AR38" s="3154">
        <f t="shared" si="161"/>
        <v>101.71185320847701</v>
      </c>
    </row>
    <row r="39" spans="1:44" s="2045" customFormat="1" ht="12.75">
      <c r="A39" s="2906" t="s">
        <v>3376</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102.79326743087979</v>
      </c>
      <c r="AO39" s="3154">
        <f t="shared" si="159"/>
        <v>102.24351950992863</v>
      </c>
      <c r="AP39" s="3154">
        <f t="shared" si="160"/>
        <v>104.40129531631555</v>
      </c>
      <c r="AQ39" s="3154"/>
      <c r="AR39" s="3154">
        <f t="shared" si="161"/>
        <v>102.24351950992863</v>
      </c>
    </row>
    <row r="40" spans="1:44" s="2045" customFormat="1" ht="12.75">
      <c r="A40" s="2906" t="s">
        <v>3373</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103.11291747505246</v>
      </c>
      <c r="AO40" s="3154">
        <f t="shared" si="159"/>
        <v>102.64383044867849</v>
      </c>
      <c r="AP40" s="3154">
        <f t="shared" si="160"/>
        <v>103.13276233953923</v>
      </c>
      <c r="AQ40" s="3154"/>
      <c r="AR40" s="3154">
        <f t="shared" si="161"/>
        <v>102.64383044867849</v>
      </c>
    </row>
    <row r="41" spans="1:44" s="2045" customFormat="1" ht="12.75">
      <c r="A41" s="2906" t="s">
        <v>3371</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102.85577802997751</v>
      </c>
      <c r="AO41" s="3154">
        <f t="shared" si="159"/>
        <v>102.23489088513793</v>
      </c>
      <c r="AP41" s="3154">
        <f t="shared" si="160"/>
        <v>103.78661803314806</v>
      </c>
      <c r="AQ41" s="3154"/>
      <c r="AR41" s="3154">
        <f t="shared" si="161"/>
        <v>102.23489088513793</v>
      </c>
    </row>
    <row r="42" spans="1:44" s="2045" customFormat="1" ht="12.75">
      <c r="A42" s="2906" t="s">
        <v>3369</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102.78382934943292</v>
      </c>
      <c r="AO42" s="3154">
        <f t="shared" si="159"/>
        <v>102.14296221914071</v>
      </c>
      <c r="AP42" s="3154">
        <f t="shared" si="160"/>
        <v>103.75549138573234</v>
      </c>
      <c r="AQ42" s="3154"/>
      <c r="AR42" s="3154">
        <f t="shared" si="161"/>
        <v>102.14296221914071</v>
      </c>
    </row>
    <row r="43" spans="1:44" s="2045" customFormat="1" ht="12.75">
      <c r="A43" s="2906" t="s">
        <v>3368</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102.42534065713295</v>
      </c>
      <c r="AO43" s="3154">
        <f t="shared" si="159"/>
        <v>101.96961387555227</v>
      </c>
      <c r="AP43" s="3154">
        <f t="shared" si="160"/>
        <v>103.21875386563104</v>
      </c>
      <c r="AQ43" s="3154"/>
      <c r="AR43" s="3154">
        <f t="shared" si="161"/>
        <v>101.96961387555227</v>
      </c>
    </row>
    <row r="44" spans="1:44" s="2045" customFormat="1" ht="12.75">
      <c r="A44" s="2906" t="s">
        <v>3366</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101.91576184789349</v>
      </c>
      <c r="AO44" s="3154">
        <f t="shared" si="159"/>
        <v>101.5128062474388</v>
      </c>
      <c r="AP44" s="3154">
        <f t="shared" si="160"/>
        <v>102.30821078960358</v>
      </c>
      <c r="AQ44" s="3154"/>
      <c r="AR44" s="3154">
        <f t="shared" si="161"/>
        <v>101.5128062474388</v>
      </c>
    </row>
    <row r="45" spans="1:44" s="2045" customFormat="1" ht="12.75">
      <c r="A45" s="2906" t="s">
        <v>3365</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101.35829124604027</v>
      </c>
      <c r="AO45" s="3154">
        <f t="shared" si="159"/>
        <v>100.91739362505101</v>
      </c>
      <c r="AP45" s="3154">
        <f t="shared" si="160"/>
        <v>101.6576021359336</v>
      </c>
      <c r="AQ45" s="3154"/>
      <c r="AR45" s="3154">
        <f t="shared" si="161"/>
        <v>100.91739362505101</v>
      </c>
    </row>
    <row r="46" spans="1:44" s="2045" customFormat="1" ht="12.75">
      <c r="A46" s="2906" t="s">
        <v>3364</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100.90422224593357</v>
      </c>
      <c r="AO46" s="3154">
        <f t="shared" si="159"/>
        <v>100.71596170164771</v>
      </c>
      <c r="AP46" s="3154">
        <f t="shared" si="160"/>
        <v>101.2727656265527</v>
      </c>
      <c r="AQ46" s="3154"/>
      <c r="AR46" s="3154">
        <f t="shared" si="161"/>
        <v>100.71596170164771</v>
      </c>
    </row>
    <row r="47" spans="1:44" s="2045" customFormat="1" ht="12.75">
      <c r="A47" s="2906" t="s">
        <v>3354</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100.60241500093079</v>
      </c>
      <c r="AO47" s="3154">
        <f t="shared" si="159"/>
        <v>100.42472998469212</v>
      </c>
      <c r="AP47" s="3154">
        <f t="shared" si="160"/>
        <v>100.43912092289268</v>
      </c>
      <c r="AQ47" s="3154"/>
      <c r="AR47" s="3154">
        <f t="shared" si="161"/>
        <v>100.42472998469212</v>
      </c>
    </row>
    <row r="48" spans="1:44" s="2045" customFormat="1" ht="12.75">
      <c r="A48" s="2906" t="s">
        <v>2835</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100.71319952040324</v>
      </c>
      <c r="AO48" s="3154">
        <f t="shared" si="159"/>
        <v>100.55545207238622</v>
      </c>
      <c r="AP48" s="3154">
        <f t="shared" si="160"/>
        <v>99.90960004266654</v>
      </c>
      <c r="AQ48" s="3154"/>
      <c r="AR48" s="3154">
        <f t="shared" si="161"/>
        <v>100.55545207238622</v>
      </c>
    </row>
    <row r="49" spans="1:44" s="2045" customFormat="1" ht="12.75">
      <c r="A49" s="2906" t="s">
        <v>2836</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100.11252437415828</v>
      </c>
      <c r="AO49" s="3154">
        <f t="shared" si="159"/>
        <v>100.10497966389867</v>
      </c>
      <c r="AP49" s="3154">
        <f t="shared" si="160"/>
        <v>99.382870827281934</v>
      </c>
      <c r="AQ49" s="3154"/>
      <c r="AR49" s="3154">
        <f t="shared" si="161"/>
        <v>100.10497966389867</v>
      </c>
    </row>
    <row r="50" spans="1:44" s="2045" customFormat="1" ht="12.75">
      <c r="A50" s="2906" t="s">
        <v>2837</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99.535220097592244</v>
      </c>
      <c r="AO50" s="3154">
        <f t="shared" si="159"/>
        <v>100.02495969614176</v>
      </c>
      <c r="AP50" s="3154">
        <f t="shared" si="160"/>
        <v>98.711631731507694</v>
      </c>
      <c r="AQ50" s="3154"/>
      <c r="AR50" s="3154">
        <f t="shared" si="161"/>
        <v>100.02495969614176</v>
      </c>
    </row>
    <row r="51" spans="1:44" s="2045" customFormat="1" ht="12.75">
      <c r="A51" s="2906" t="s">
        <v>2838</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99.069593010443171</v>
      </c>
      <c r="AO51" s="3154">
        <f t="shared" si="159"/>
        <v>99.745671815059609</v>
      </c>
      <c r="AP51" s="3154">
        <f t="shared" si="160"/>
        <v>97.821456477561867</v>
      </c>
      <c r="AQ51" s="3154"/>
      <c r="AR51" s="3154">
        <f t="shared" si="161"/>
        <v>99.745671815059609</v>
      </c>
    </row>
    <row r="52" spans="1:44" s="2929" customFormat="1" ht="14.25" thickBot="1">
      <c r="A52" s="2919" t="s">
        <v>2824</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98.527690711529758</v>
      </c>
      <c r="AO52" s="3161">
        <f t="shared" si="159"/>
        <v>99.288942678737428</v>
      </c>
      <c r="AP52" s="3161">
        <f t="shared" si="160"/>
        <v>96.757128068805017</v>
      </c>
      <c r="AQ52" s="3161"/>
      <c r="AR52" s="3161">
        <f t="shared" si="161"/>
        <v>99.288942678737428</v>
      </c>
    </row>
    <row r="53" spans="1:44" ht="14.25" thickTop="1"/>
    <row r="54" spans="1:44">
      <c r="A54" s="3144" t="s">
        <v>3379</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36" sqref="A36:XFD36"/>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28" t="s">
        <v>452</v>
      </c>
      <c r="C1" s="3528"/>
      <c r="D1" s="3528"/>
      <c r="E1" s="3528"/>
      <c r="F1" s="3528"/>
      <c r="G1" s="3524" t="s">
        <v>453</v>
      </c>
      <c r="H1" s="3524"/>
      <c r="I1" s="3524"/>
      <c r="J1" s="3524"/>
      <c r="K1" s="3524"/>
      <c r="L1" s="3524"/>
      <c r="N1" s="3524" t="s">
        <v>454</v>
      </c>
      <c r="O1" s="3524"/>
      <c r="P1" s="3524"/>
      <c r="Q1" s="3524"/>
      <c r="S1" s="3524" t="s">
        <v>455</v>
      </c>
      <c r="T1" s="3524"/>
      <c r="U1" s="3524"/>
      <c r="V1" s="3524"/>
      <c r="X1" s="3523" t="s">
        <v>456</v>
      </c>
      <c r="Y1" s="3524"/>
      <c r="Z1" s="3524"/>
      <c r="AA1" s="3524"/>
      <c r="AB1" s="3524"/>
      <c r="AD1" s="3523" t="s">
        <v>457</v>
      </c>
      <c r="AE1" s="3524"/>
      <c r="AF1" s="3524"/>
      <c r="AG1" s="3524"/>
      <c r="AH1" s="3524"/>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3362</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3359</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3360</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3361</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26">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26"/>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26"/>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33"/>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29">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26"/>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26"/>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33"/>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29">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26"/>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26"/>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27"/>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25">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26"/>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26"/>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27"/>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25">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26"/>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26"/>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27"/>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30">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31"/>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31"/>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32"/>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25">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26"/>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26"/>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27"/>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25">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26">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26">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27">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25">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26">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26">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27">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25">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26">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26">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27">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25">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26">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26">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27">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25">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26">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26">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27">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25">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26">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26">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27">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25">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26">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26">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27">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25">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26">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26">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27">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25">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26">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26">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27">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25">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26">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26">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27">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36" sqref="A36:XFD36"/>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536" t="s">
        <v>2839</v>
      </c>
      <c r="B1" s="3536"/>
      <c r="C1" s="3536"/>
      <c r="D1" s="3536"/>
      <c r="E1" s="3536"/>
      <c r="F1" s="3536"/>
      <c r="G1" s="3537"/>
      <c r="I1" s="2939" t="s">
        <v>2840</v>
      </c>
      <c r="J1" s="2940" t="s">
        <v>2841</v>
      </c>
      <c r="K1" s="2940" t="s">
        <v>2842</v>
      </c>
      <c r="L1" s="2940" t="s">
        <v>2843</v>
      </c>
      <c r="M1" s="2940" t="s">
        <v>2844</v>
      </c>
      <c r="N1" s="2940" t="s">
        <v>2845</v>
      </c>
      <c r="O1" s="2940" t="s">
        <v>2846</v>
      </c>
      <c r="P1" s="2940" t="s">
        <v>2847</v>
      </c>
      <c r="Q1" s="2940" t="s">
        <v>2848</v>
      </c>
      <c r="R1" s="2940" t="s">
        <v>2849</v>
      </c>
      <c r="S1" s="2940" t="s">
        <v>2850</v>
      </c>
      <c r="T1" s="2941" t="s">
        <v>2851</v>
      </c>
    </row>
    <row r="2" spans="1:20" ht="12" thickBot="1">
      <c r="A2" s="2942" t="s">
        <v>2852</v>
      </c>
      <c r="B2" s="2942"/>
      <c r="C2" s="2942"/>
      <c r="D2" s="2942"/>
      <c r="E2" s="2942"/>
      <c r="F2" s="2942"/>
      <c r="G2" s="2943" t="s">
        <v>2853</v>
      </c>
      <c r="I2" s="2944" t="s">
        <v>2854</v>
      </c>
      <c r="J2" s="2944" t="s">
        <v>2855</v>
      </c>
      <c r="K2" s="2944" t="s">
        <v>2856</v>
      </c>
      <c r="L2" s="2944" t="s">
        <v>2857</v>
      </c>
      <c r="M2" s="2944" t="s">
        <v>2858</v>
      </c>
      <c r="N2" s="2944" t="s">
        <v>2859</v>
      </c>
      <c r="O2" s="2944" t="s">
        <v>2860</v>
      </c>
      <c r="P2" s="2944" t="s">
        <v>2861</v>
      </c>
      <c r="Q2" s="2944" t="s">
        <v>2862</v>
      </c>
      <c r="R2" s="2944" t="s">
        <v>2863</v>
      </c>
      <c r="S2" s="2944" t="s">
        <v>2864</v>
      </c>
      <c r="T2" s="2944" t="s">
        <v>2865</v>
      </c>
    </row>
    <row r="3" spans="1:20" s="2950" customFormat="1">
      <c r="A3" s="3534" t="s">
        <v>2866</v>
      </c>
      <c r="B3" s="2945"/>
      <c r="C3" s="2946" t="s">
        <v>2811</v>
      </c>
      <c r="D3" s="2946" t="s">
        <v>2867</v>
      </c>
      <c r="E3" s="2946" t="s">
        <v>2813</v>
      </c>
      <c r="F3" s="2946" t="s">
        <v>2868</v>
      </c>
      <c r="G3" s="2946" t="s">
        <v>2631</v>
      </c>
      <c r="H3" s="2947"/>
      <c r="I3" s="2948" t="s">
        <v>2869</v>
      </c>
      <c r="J3" s="2949" t="s">
        <v>128</v>
      </c>
      <c r="K3" s="2949" t="s">
        <v>129</v>
      </c>
      <c r="L3" s="2948" t="s">
        <v>130</v>
      </c>
      <c r="M3" s="2948" t="s">
        <v>131</v>
      </c>
      <c r="N3" s="2948" t="s">
        <v>132</v>
      </c>
      <c r="O3" s="2948" t="s">
        <v>133</v>
      </c>
      <c r="P3" s="2948" t="s">
        <v>134</v>
      </c>
      <c r="Q3" s="2948" t="s">
        <v>135</v>
      </c>
      <c r="R3" s="2948" t="s">
        <v>136</v>
      </c>
      <c r="S3" s="2948" t="s">
        <v>2870</v>
      </c>
      <c r="T3" s="2948" t="s">
        <v>2871</v>
      </c>
    </row>
    <row r="4" spans="1:20" s="2950" customFormat="1" ht="12" thickBot="1">
      <c r="A4" s="3535"/>
      <c r="B4" s="2951" t="s">
        <v>2872</v>
      </c>
      <c r="C4" s="2951" t="s">
        <v>2873</v>
      </c>
      <c r="D4" s="2951" t="s">
        <v>2873</v>
      </c>
      <c r="E4" s="2951" t="s">
        <v>2873</v>
      </c>
      <c r="F4" s="2952" t="s">
        <v>2873</v>
      </c>
      <c r="G4" s="2952" t="s">
        <v>2873</v>
      </c>
      <c r="H4" s="2947"/>
      <c r="I4" s="2949" t="s">
        <v>137</v>
      </c>
      <c r="J4" s="2949" t="s">
        <v>111</v>
      </c>
      <c r="K4" s="2949" t="s">
        <v>138</v>
      </c>
      <c r="L4" s="2948" t="s">
        <v>139</v>
      </c>
      <c r="M4" s="2948" t="s">
        <v>140</v>
      </c>
      <c r="N4" s="2948" t="s">
        <v>141</v>
      </c>
      <c r="O4" s="2948" t="s">
        <v>142</v>
      </c>
      <c r="P4" s="2948" t="s">
        <v>143</v>
      </c>
      <c r="Q4" s="2948" t="s">
        <v>2874</v>
      </c>
      <c r="R4" s="2948" t="s">
        <v>2875</v>
      </c>
      <c r="S4" s="2948" t="s">
        <v>2876</v>
      </c>
      <c r="T4" s="2948" t="s">
        <v>2877</v>
      </c>
    </row>
    <row r="5" spans="1:20">
      <c r="A5" s="2953" t="s">
        <v>2840</v>
      </c>
      <c r="B5" s="2944" t="s">
        <v>2854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2878</v>
      </c>
      <c r="R5" s="2948" t="s">
        <v>2879</v>
      </c>
      <c r="S5" s="2948" t="s">
        <v>153</v>
      </c>
      <c r="T5" s="2948" t="s">
        <v>2880</v>
      </c>
    </row>
    <row r="6" spans="1:20" ht="12" thickBot="1">
      <c r="A6" s="2948" t="s">
        <v>144</v>
      </c>
      <c r="B6" s="2948" t="s">
        <v>2869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2881</v>
      </c>
      <c r="Q6" s="2948" t="s">
        <v>2882</v>
      </c>
      <c r="R6" s="2948" t="s">
        <v>161</v>
      </c>
      <c r="S6" s="2948" t="s">
        <v>2883</v>
      </c>
      <c r="T6" s="2948" t="s">
        <v>2884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2885</v>
      </c>
      <c r="Q7" s="2948" t="s">
        <v>2886</v>
      </c>
      <c r="R7" s="2948" t="s">
        <v>2887</v>
      </c>
      <c r="S7" s="2948" t="s">
        <v>2888</v>
      </c>
      <c r="T7" s="2948" t="s">
        <v>2889</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2890</v>
      </c>
      <c r="Q8" s="2948" t="s">
        <v>174</v>
      </c>
      <c r="R8" s="2948" t="s">
        <v>2891</v>
      </c>
      <c r="S8" s="2948" t="s">
        <v>2892</v>
      </c>
      <c r="T8" s="2955" t="s">
        <v>2893</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2894</v>
      </c>
      <c r="Q9" s="2948" t="s">
        <v>182</v>
      </c>
      <c r="R9" s="2948" t="s">
        <v>183</v>
      </c>
      <c r="S9" s="2948" t="s">
        <v>200</v>
      </c>
    </row>
    <row r="10" spans="1:20">
      <c r="A10" s="2953" t="s">
        <v>184</v>
      </c>
      <c r="B10" s="2944" t="s">
        <v>2855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2896</v>
      </c>
      <c r="P11" s="2948" t="s">
        <v>191</v>
      </c>
      <c r="Q11" s="2948" t="s">
        <v>199</v>
      </c>
      <c r="R11" s="2948" t="s">
        <v>2897</v>
      </c>
      <c r="S11" s="2948" t="s">
        <v>2898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2899</v>
      </c>
      <c r="P12" s="2948" t="s">
        <v>2900</v>
      </c>
      <c r="Q12" s="2948" t="s">
        <v>2901</v>
      </c>
      <c r="R12" s="2948" t="s">
        <v>2902</v>
      </c>
      <c r="S12" s="2948" t="s">
        <v>2903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2905</v>
      </c>
      <c r="K14" s="2949" t="s">
        <v>215</v>
      </c>
      <c r="L14" s="2948" t="s">
        <v>216</v>
      </c>
      <c r="M14" s="2948" t="s">
        <v>217</v>
      </c>
      <c r="N14" s="2948" t="s">
        <v>218</v>
      </c>
      <c r="O14" s="2948" t="s">
        <v>240</v>
      </c>
      <c r="P14" s="2948" t="s">
        <v>213</v>
      </c>
      <c r="Q14" s="2948" t="s">
        <v>2906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2907</v>
      </c>
      <c r="P15" s="2948" t="s">
        <v>2908</v>
      </c>
      <c r="Q15" s="2948" t="s">
        <v>242</v>
      </c>
      <c r="R15" s="2948" t="s">
        <v>2909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2910</v>
      </c>
      <c r="P16" s="2948" t="s">
        <v>227</v>
      </c>
      <c r="Q16" s="2948" t="s">
        <v>250</v>
      </c>
      <c r="R16" s="2948" t="s">
        <v>207</v>
      </c>
      <c r="S16" s="2948" t="s">
        <v>2911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2912</v>
      </c>
      <c r="P17" s="2948" t="s">
        <v>2913</v>
      </c>
      <c r="Q17" s="2948" t="s">
        <v>256</v>
      </c>
      <c r="R17" s="2948" t="s">
        <v>2914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2915</v>
      </c>
      <c r="P18" s="2948" t="s">
        <v>241</v>
      </c>
      <c r="Q18" s="2948" t="s">
        <v>2916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2917</v>
      </c>
      <c r="P19" s="2948" t="s">
        <v>249</v>
      </c>
      <c r="Q19" s="2948" t="s">
        <v>2918</v>
      </c>
      <c r="R19" s="2948" t="s">
        <v>265</v>
      </c>
      <c r="S19" s="2948" t="s">
        <v>2919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2920</v>
      </c>
      <c r="P20" s="2948" t="s">
        <v>2921</v>
      </c>
      <c r="Q20" s="2948" t="s">
        <v>290</v>
      </c>
      <c r="R20" s="2948" t="s">
        <v>2922</v>
      </c>
      <c r="S20" s="2948" t="s">
        <v>277</v>
      </c>
    </row>
    <row r="21" spans="1:19" ht="14.25" customHeight="1" thickBot="1">
      <c r="A21" s="2948" t="s">
        <v>184</v>
      </c>
      <c r="B21" s="2949" t="s">
        <v>208</v>
      </c>
      <c r="C21" s="2948">
        <v>32370</v>
      </c>
      <c r="D21" s="2948">
        <v>26730</v>
      </c>
      <c r="E21" s="2948">
        <v>26640</v>
      </c>
      <c r="F21" s="2948"/>
      <c r="G21" s="2948">
        <v>19440</v>
      </c>
      <c r="J21" s="2955" t="s">
        <v>2923</v>
      </c>
      <c r="K21" s="2949" t="s">
        <v>267</v>
      </c>
      <c r="L21" s="2948" t="s">
        <v>268</v>
      </c>
      <c r="M21" s="2948" t="s">
        <v>269</v>
      </c>
      <c r="N21" s="2948" t="s">
        <v>270</v>
      </c>
      <c r="O21" s="2948" t="s">
        <v>264</v>
      </c>
      <c r="P21" s="2948" t="s">
        <v>283</v>
      </c>
      <c r="Q21" s="2948" t="s">
        <v>293</v>
      </c>
      <c r="R21" s="2948" t="s">
        <v>2924</v>
      </c>
      <c r="S21" s="2955" t="s">
        <v>2925</v>
      </c>
    </row>
    <row r="22" spans="1:19" ht="14.25" customHeight="1">
      <c r="A22" s="2948" t="s">
        <v>184</v>
      </c>
      <c r="B22" s="2949" t="s">
        <v>2905</v>
      </c>
      <c r="C22" s="2948">
        <v>29830</v>
      </c>
      <c r="D22" s="2948">
        <v>27600</v>
      </c>
      <c r="E22" s="2948">
        <v>28150</v>
      </c>
      <c r="F22" s="2948"/>
      <c r="G22" s="2948">
        <v>20080</v>
      </c>
      <c r="K22" s="2949" t="s">
        <v>2926</v>
      </c>
      <c r="L22" s="2948" t="s">
        <v>272</v>
      </c>
      <c r="M22" s="2948" t="s">
        <v>273</v>
      </c>
      <c r="N22" s="2948" t="s">
        <v>274</v>
      </c>
      <c r="O22" s="2948" t="s">
        <v>2927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2928</v>
      </c>
      <c r="L23" s="2948" t="s">
        <v>278</v>
      </c>
      <c r="M23" s="2948" t="s">
        <v>279</v>
      </c>
      <c r="N23" s="2948" t="s">
        <v>2929</v>
      </c>
      <c r="O23" s="2948" t="s">
        <v>2930</v>
      </c>
      <c r="P23" s="2948" t="s">
        <v>289</v>
      </c>
      <c r="Q23" s="2948" t="s">
        <v>298</v>
      </c>
      <c r="R23" s="2948" t="s">
        <v>2931</v>
      </c>
    </row>
    <row r="24" spans="1:19" ht="14.25" customHeight="1">
      <c r="A24" s="2948" t="s">
        <v>184</v>
      </c>
      <c r="B24" s="2949" t="s">
        <v>230</v>
      </c>
      <c r="C24" s="2948">
        <v>27930</v>
      </c>
      <c r="D24" s="2948">
        <v>32260</v>
      </c>
      <c r="E24" s="2948">
        <v>32120</v>
      </c>
      <c r="F24" s="2948"/>
      <c r="G24" s="2948">
        <v>23470</v>
      </c>
      <c r="K24" s="2949" t="s">
        <v>2932</v>
      </c>
      <c r="L24" s="2948" t="s">
        <v>281</v>
      </c>
      <c r="M24" s="2948" t="s">
        <v>282</v>
      </c>
      <c r="N24" s="2948" t="s">
        <v>2933</v>
      </c>
      <c r="O24" s="2948" t="s">
        <v>285</v>
      </c>
      <c r="P24" s="2948" t="s">
        <v>2934</v>
      </c>
      <c r="Q24" s="2957" t="s">
        <v>2935</v>
      </c>
      <c r="R24" s="2948" t="s">
        <v>2936</v>
      </c>
    </row>
    <row r="25" spans="1:19" ht="14.25" customHeight="1">
      <c r="A25" s="2948" t="s">
        <v>184</v>
      </c>
      <c r="B25" s="2949" t="s">
        <v>235</v>
      </c>
      <c r="C25" s="2948">
        <v>32230</v>
      </c>
      <c r="D25" s="2948">
        <v>29640</v>
      </c>
      <c r="E25" s="2948">
        <v>29510</v>
      </c>
      <c r="F25" s="2948"/>
      <c r="G25" s="2948">
        <v>21560</v>
      </c>
      <c r="K25" s="2949" t="s">
        <v>2937</v>
      </c>
      <c r="L25" s="2948" t="s">
        <v>2938</v>
      </c>
      <c r="M25" s="2948" t="s">
        <v>284</v>
      </c>
      <c r="N25" s="2948" t="s">
        <v>292</v>
      </c>
      <c r="O25" s="2948" t="s">
        <v>288</v>
      </c>
      <c r="P25" s="2948" t="s">
        <v>275</v>
      </c>
      <c r="Q25" s="2957" t="s">
        <v>271</v>
      </c>
      <c r="R25" s="2948" t="s">
        <v>2939</v>
      </c>
    </row>
    <row r="26" spans="1:19" ht="14.25" customHeight="1" thickBot="1">
      <c r="A26" s="2948" t="s">
        <v>184</v>
      </c>
      <c r="B26" s="2949" t="s">
        <v>244</v>
      </c>
      <c r="C26" s="2948">
        <v>31690</v>
      </c>
      <c r="D26" s="2948">
        <v>27650</v>
      </c>
      <c r="E26" s="2948">
        <v>28200</v>
      </c>
      <c r="F26" s="2948"/>
      <c r="G26" s="2948">
        <v>20110</v>
      </c>
      <c r="K26" s="2954" t="s">
        <v>2940</v>
      </c>
      <c r="L26" s="2948" t="s">
        <v>2941</v>
      </c>
      <c r="M26" s="2948" t="s">
        <v>287</v>
      </c>
      <c r="N26" s="2948" t="s">
        <v>294</v>
      </c>
      <c r="O26" s="2948" t="s">
        <v>2942</v>
      </c>
      <c r="P26" s="2948" t="s">
        <v>2943</v>
      </c>
      <c r="Q26" s="2957" t="s">
        <v>276</v>
      </c>
      <c r="R26" s="2948" t="s">
        <v>2944</v>
      </c>
    </row>
    <row r="27" spans="1:19" ht="14.25" customHeight="1">
      <c r="A27" s="2948" t="s">
        <v>184</v>
      </c>
      <c r="B27" s="2949" t="s">
        <v>251</v>
      </c>
      <c r="C27" s="2948">
        <v>29610</v>
      </c>
      <c r="D27" s="2948">
        <v>27770</v>
      </c>
      <c r="E27" s="2948">
        <v>28300</v>
      </c>
      <c r="F27" s="2948"/>
      <c r="G27" s="2948">
        <v>20210</v>
      </c>
      <c r="L27" s="2948" t="s">
        <v>2945</v>
      </c>
      <c r="M27" s="2948" t="s">
        <v>291</v>
      </c>
      <c r="N27" s="2948" t="s">
        <v>297</v>
      </c>
      <c r="O27" s="2948" t="s">
        <v>2946</v>
      </c>
      <c r="P27" s="2948" t="s">
        <v>2947</v>
      </c>
      <c r="Q27" s="2948" t="s">
        <v>2948</v>
      </c>
      <c r="R27" s="2948" t="s">
        <v>2949</v>
      </c>
    </row>
    <row r="28" spans="1:19" ht="14.25" customHeight="1">
      <c r="A28" s="2948" t="s">
        <v>184</v>
      </c>
      <c r="B28" s="2949" t="s">
        <v>259</v>
      </c>
      <c r="C28" s="2948"/>
      <c r="D28" s="2948">
        <v>31520</v>
      </c>
      <c r="E28" s="2948">
        <v>31410</v>
      </c>
      <c r="F28" s="2948"/>
      <c r="G28" s="2948">
        <v>22940</v>
      </c>
      <c r="L28" s="2948" t="s">
        <v>2950</v>
      </c>
      <c r="M28" s="2948" t="s">
        <v>2951</v>
      </c>
      <c r="N28" s="2948" t="s">
        <v>2952</v>
      </c>
      <c r="O28" s="2948" t="s">
        <v>2953</v>
      </c>
      <c r="P28" s="2948" t="s">
        <v>2954</v>
      </c>
      <c r="Q28" s="2948" t="s">
        <v>2955</v>
      </c>
      <c r="R28" s="2948" t="s">
        <v>2956</v>
      </c>
    </row>
    <row r="29" spans="1:19" ht="14.25" customHeight="1" thickBot="1">
      <c r="A29" s="2956" t="s">
        <v>184</v>
      </c>
      <c r="B29" s="2958" t="s">
        <v>2923</v>
      </c>
      <c r="C29" s="2959"/>
      <c r="D29" s="2959">
        <v>29460</v>
      </c>
      <c r="E29" s="2959">
        <v>28640</v>
      </c>
      <c r="F29" s="2959"/>
      <c r="G29" s="2959">
        <v>21430</v>
      </c>
      <c r="L29" s="2948" t="s">
        <v>2957</v>
      </c>
      <c r="M29" s="2948" t="s">
        <v>2958</v>
      </c>
      <c r="N29" s="2948" t="s">
        <v>2959</v>
      </c>
      <c r="O29" s="2948" t="s">
        <v>2960</v>
      </c>
      <c r="P29" s="2948" t="s">
        <v>2961</v>
      </c>
      <c r="Q29" s="2948" t="s">
        <v>2962</v>
      </c>
      <c r="R29" s="2948" t="s">
        <v>280</v>
      </c>
    </row>
    <row r="30" spans="1:19" ht="14.25" customHeight="1">
      <c r="A30" s="2953" t="s">
        <v>296</v>
      </c>
      <c r="B30" s="2944" t="s">
        <v>2856</v>
      </c>
      <c r="C30" s="2944">
        <v>26890</v>
      </c>
      <c r="D30" s="2944">
        <v>26770</v>
      </c>
      <c r="E30" s="2944">
        <v>25700</v>
      </c>
      <c r="F30" s="2944">
        <v>8180</v>
      </c>
      <c r="G30" s="2960">
        <v>18740</v>
      </c>
      <c r="L30" s="2948" t="s">
        <v>2963</v>
      </c>
      <c r="M30" s="2948" t="s">
        <v>2964</v>
      </c>
      <c r="N30" s="2948" t="s">
        <v>2965</v>
      </c>
      <c r="O30" s="2948" t="s">
        <v>2966</v>
      </c>
      <c r="P30" s="2948" t="s">
        <v>2967</v>
      </c>
      <c r="Q30" s="2948" t="s">
        <v>2968</v>
      </c>
      <c r="R30" s="2948" t="s">
        <v>2969</v>
      </c>
    </row>
    <row r="31" spans="1:19" ht="14.25" customHeight="1">
      <c r="A31" s="2948" t="s">
        <v>296</v>
      </c>
      <c r="B31" s="2949" t="s">
        <v>129</v>
      </c>
      <c r="C31" s="2948">
        <v>24550</v>
      </c>
      <c r="D31" s="2948">
        <v>23990</v>
      </c>
      <c r="E31" s="2948">
        <v>22930</v>
      </c>
      <c r="F31" s="2948">
        <v>7470</v>
      </c>
      <c r="G31" s="2961">
        <v>16790</v>
      </c>
      <c r="L31" s="2948" t="s">
        <v>2970</v>
      </c>
      <c r="M31" s="2948" t="s">
        <v>2971</v>
      </c>
      <c r="N31" s="2948" t="s">
        <v>2972</v>
      </c>
      <c r="O31" s="2948" t="s">
        <v>2973</v>
      </c>
      <c r="P31" s="2948" t="s">
        <v>2974</v>
      </c>
      <c r="Q31" s="2948" t="s">
        <v>2975</v>
      </c>
      <c r="R31" s="2948" t="s">
        <v>2976</v>
      </c>
    </row>
    <row r="32" spans="1:19" ht="14.25" customHeight="1" thickBot="1">
      <c r="A32" s="2948" t="s">
        <v>296</v>
      </c>
      <c r="B32" s="2949" t="s">
        <v>138</v>
      </c>
      <c r="C32" s="2948">
        <v>27210</v>
      </c>
      <c r="D32" s="2948">
        <v>23240</v>
      </c>
      <c r="E32" s="2948">
        <v>23260</v>
      </c>
      <c r="F32" s="2948">
        <v>7130</v>
      </c>
      <c r="G32" s="2961">
        <v>16270</v>
      </c>
      <c r="L32" s="2948" t="s">
        <v>2977</v>
      </c>
      <c r="M32" s="2948" t="s">
        <v>2978</v>
      </c>
      <c r="N32" s="2948" t="s">
        <v>300</v>
      </c>
      <c r="O32" s="2948" t="s">
        <v>2979</v>
      </c>
      <c r="P32" s="2948" t="s">
        <v>299</v>
      </c>
      <c r="Q32" s="2948" t="s">
        <v>2980</v>
      </c>
      <c r="R32" s="2955" t="s">
        <v>2981</v>
      </c>
    </row>
    <row r="33" spans="1:17" ht="14.25" customHeight="1" thickBot="1">
      <c r="A33" s="2948" t="s">
        <v>296</v>
      </c>
      <c r="B33" s="2949" t="s">
        <v>147</v>
      </c>
      <c r="C33" s="2948">
        <v>27300</v>
      </c>
      <c r="D33" s="2948">
        <v>22980</v>
      </c>
      <c r="E33" s="2948">
        <v>24260</v>
      </c>
      <c r="F33" s="2948">
        <v>5860</v>
      </c>
      <c r="G33" s="2961">
        <v>16090</v>
      </c>
      <c r="L33" s="2955" t="s">
        <v>2982</v>
      </c>
      <c r="M33" s="2948" t="s">
        <v>2983</v>
      </c>
      <c r="N33" s="2948" t="s">
        <v>301</v>
      </c>
      <c r="O33" s="2948" t="s">
        <v>2984</v>
      </c>
      <c r="P33" s="2948" t="s">
        <v>2985</v>
      </c>
      <c r="Q33" s="2948" t="s">
        <v>2986</v>
      </c>
    </row>
    <row r="34" spans="1:17" ht="14.25" customHeight="1">
      <c r="A34" s="2948" t="s">
        <v>296</v>
      </c>
      <c r="B34" s="2949" t="s">
        <v>156</v>
      </c>
      <c r="C34" s="2948">
        <v>23090</v>
      </c>
      <c r="D34" s="2948">
        <v>23390</v>
      </c>
      <c r="E34" s="2948">
        <v>23510</v>
      </c>
      <c r="F34" s="2948">
        <v>6700</v>
      </c>
      <c r="G34" s="2961">
        <v>16370</v>
      </c>
      <c r="M34" s="2948" t="s">
        <v>2987</v>
      </c>
      <c r="N34" s="2948" t="s">
        <v>302</v>
      </c>
      <c r="O34" s="2948" t="s">
        <v>2988</v>
      </c>
      <c r="P34" s="2948" t="s">
        <v>2989</v>
      </c>
      <c r="Q34" s="2948" t="s">
        <v>2990</v>
      </c>
    </row>
    <row r="35" spans="1:17" ht="14.25" customHeight="1">
      <c r="A35" s="2948" t="s">
        <v>296</v>
      </c>
      <c r="B35" s="2949" t="s">
        <v>163</v>
      </c>
      <c r="C35" s="2948">
        <v>27270</v>
      </c>
      <c r="D35" s="2948">
        <v>24270</v>
      </c>
      <c r="E35" s="2948">
        <v>24950</v>
      </c>
      <c r="F35" s="2948">
        <v>6600</v>
      </c>
      <c r="G35" s="2961">
        <v>16990</v>
      </c>
      <c r="M35" s="2948" t="s">
        <v>2991</v>
      </c>
      <c r="N35" s="2948" t="s">
        <v>2992</v>
      </c>
      <c r="O35" s="2948" t="s">
        <v>2993</v>
      </c>
      <c r="P35" s="2948" t="s">
        <v>2994</v>
      </c>
      <c r="Q35" s="2948" t="s">
        <v>2995</v>
      </c>
    </row>
    <row r="36" spans="1:17" ht="14.25" customHeight="1">
      <c r="A36" s="2948" t="s">
        <v>296</v>
      </c>
      <c r="B36" s="2949" t="s">
        <v>169</v>
      </c>
      <c r="C36" s="2948">
        <v>23490</v>
      </c>
      <c r="D36" s="2948">
        <v>23020</v>
      </c>
      <c r="E36" s="2948">
        <v>25230</v>
      </c>
      <c r="F36" s="2948">
        <v>6780</v>
      </c>
      <c r="G36" s="2961">
        <v>16120</v>
      </c>
      <c r="M36" s="2948" t="s">
        <v>2996</v>
      </c>
      <c r="N36" s="2948" t="s">
        <v>2997</v>
      </c>
      <c r="O36" s="2948" t="s">
        <v>2998</v>
      </c>
      <c r="P36" s="2948" t="s">
        <v>2999</v>
      </c>
      <c r="Q36" s="2948" t="s">
        <v>3000</v>
      </c>
    </row>
    <row r="37" spans="1:17" ht="14.25" customHeight="1">
      <c r="A37" s="2948" t="s">
        <v>296</v>
      </c>
      <c r="B37" s="2949" t="s">
        <v>176</v>
      </c>
      <c r="C37" s="2948">
        <v>24380</v>
      </c>
      <c r="D37" s="2948">
        <v>22240</v>
      </c>
      <c r="E37" s="2948">
        <v>25980</v>
      </c>
      <c r="F37" s="2948">
        <v>8160</v>
      </c>
      <c r="G37" s="2961">
        <v>15570</v>
      </c>
      <c r="M37" s="2948" t="s">
        <v>3001</v>
      </c>
      <c r="N37" s="2948" t="s">
        <v>3002</v>
      </c>
      <c r="O37" s="2948" t="s">
        <v>3003</v>
      </c>
      <c r="P37" s="2948" t="s">
        <v>3004</v>
      </c>
      <c r="Q37" s="2948" t="s">
        <v>3005</v>
      </c>
    </row>
    <row r="38" spans="1:17" ht="14.25" customHeight="1">
      <c r="A38" s="2948" t="s">
        <v>296</v>
      </c>
      <c r="B38" s="2949" t="s">
        <v>186</v>
      </c>
      <c r="C38" s="2948">
        <v>23120</v>
      </c>
      <c r="D38" s="2948">
        <v>24630</v>
      </c>
      <c r="E38" s="2948">
        <v>25030</v>
      </c>
      <c r="F38" s="2948">
        <v>7710</v>
      </c>
      <c r="G38" s="2961">
        <v>17240</v>
      </c>
      <c r="M38" s="2948" t="s">
        <v>3006</v>
      </c>
      <c r="N38" s="2948" t="s">
        <v>3007</v>
      </c>
      <c r="O38" s="2948" t="s">
        <v>3008</v>
      </c>
      <c r="P38" s="2948" t="s">
        <v>3009</v>
      </c>
      <c r="Q38" s="2948" t="s">
        <v>3010</v>
      </c>
    </row>
    <row r="39" spans="1:17" ht="14.25" customHeight="1">
      <c r="A39" s="2948" t="s">
        <v>296</v>
      </c>
      <c r="B39" s="2949" t="s">
        <v>195</v>
      </c>
      <c r="C39" s="2948">
        <v>22330</v>
      </c>
      <c r="D39" s="2948">
        <v>21140</v>
      </c>
      <c r="E39" s="2948">
        <v>23970</v>
      </c>
      <c r="F39" s="2948">
        <v>7940</v>
      </c>
      <c r="G39" s="2961">
        <v>14790</v>
      </c>
      <c r="M39" s="2948" t="s">
        <v>3011</v>
      </c>
      <c r="N39" s="2948" t="s">
        <v>3012</v>
      </c>
      <c r="O39" s="2948" t="s">
        <v>3013</v>
      </c>
      <c r="P39" s="2948" t="s">
        <v>3014</v>
      </c>
      <c r="Q39" s="2948" t="s">
        <v>3015</v>
      </c>
    </row>
    <row r="40" spans="1:17" ht="14.25" customHeight="1">
      <c r="A40" s="2948" t="s">
        <v>296</v>
      </c>
      <c r="B40" s="2949" t="s">
        <v>202</v>
      </c>
      <c r="C40" s="2948">
        <v>24740</v>
      </c>
      <c r="D40" s="2948">
        <v>24690</v>
      </c>
      <c r="E40" s="2948">
        <v>22610</v>
      </c>
      <c r="F40" s="2948"/>
      <c r="G40" s="2961">
        <v>17280</v>
      </c>
      <c r="M40" s="2948" t="s">
        <v>3016</v>
      </c>
      <c r="N40" s="2948" t="s">
        <v>3017</v>
      </c>
      <c r="O40" s="2948" t="s">
        <v>3018</v>
      </c>
      <c r="P40" s="2948" t="s">
        <v>3019</v>
      </c>
      <c r="Q40" s="2948" t="s">
        <v>3020</v>
      </c>
    </row>
    <row r="41" spans="1:17" ht="14.25" customHeight="1" thickBot="1">
      <c r="A41" s="2948" t="s">
        <v>296</v>
      </c>
      <c r="B41" s="2949" t="s">
        <v>209</v>
      </c>
      <c r="C41" s="2948">
        <v>21220</v>
      </c>
      <c r="D41" s="2948">
        <v>21120</v>
      </c>
      <c r="E41" s="2948">
        <v>22590</v>
      </c>
      <c r="F41" s="2948"/>
      <c r="G41" s="2961">
        <v>14780</v>
      </c>
      <c r="M41" s="2955" t="s">
        <v>3021</v>
      </c>
      <c r="N41" s="2948" t="s">
        <v>3022</v>
      </c>
      <c r="O41" s="2948" t="s">
        <v>3023</v>
      </c>
      <c r="P41" s="2948" t="s">
        <v>3024</v>
      </c>
      <c r="Q41" s="2948" t="s">
        <v>3025</v>
      </c>
    </row>
    <row r="42" spans="1:17" ht="14.25" customHeight="1">
      <c r="A42" s="2948" t="s">
        <v>296</v>
      </c>
      <c r="B42" s="2949" t="s">
        <v>215</v>
      </c>
      <c r="C42" s="2948">
        <v>24800</v>
      </c>
      <c r="D42" s="2948">
        <v>22280</v>
      </c>
      <c r="E42" s="2948">
        <v>24350</v>
      </c>
      <c r="F42" s="2948"/>
      <c r="G42" s="2961">
        <v>15590</v>
      </c>
      <c r="N42" s="2948" t="s">
        <v>3026</v>
      </c>
      <c r="O42" s="2948" t="s">
        <v>3027</v>
      </c>
      <c r="P42" s="2948" t="s">
        <v>3028</v>
      </c>
      <c r="Q42" s="2948" t="s">
        <v>3029</v>
      </c>
    </row>
    <row r="43" spans="1:17" ht="14.25" customHeight="1">
      <c r="A43" s="2948" t="s">
        <v>3030</v>
      </c>
      <c r="B43" s="2949" t="s">
        <v>223</v>
      </c>
      <c r="C43" s="2948">
        <v>21210</v>
      </c>
      <c r="D43" s="2948">
        <v>21160</v>
      </c>
      <c r="E43" s="2948">
        <v>22650</v>
      </c>
      <c r="F43" s="2948"/>
      <c r="G43" s="2961">
        <v>14800</v>
      </c>
      <c r="N43" s="2948" t="s">
        <v>3031</v>
      </c>
      <c r="O43" s="2948" t="s">
        <v>3032</v>
      </c>
      <c r="P43" s="2948" t="s">
        <v>3033</v>
      </c>
      <c r="Q43" s="2948" t="s">
        <v>3034</v>
      </c>
    </row>
    <row r="44" spans="1:17" ht="14.25" customHeight="1" thickBot="1">
      <c r="A44" s="2948" t="s">
        <v>296</v>
      </c>
      <c r="B44" s="2949" t="s">
        <v>231</v>
      </c>
      <c r="C44" s="2948">
        <v>22370</v>
      </c>
      <c r="D44" s="2948">
        <v>23140</v>
      </c>
      <c r="E44" s="2948">
        <v>25090</v>
      </c>
      <c r="F44" s="2948"/>
      <c r="G44" s="2961">
        <v>16190</v>
      </c>
      <c r="N44" s="2948" t="s">
        <v>3035</v>
      </c>
      <c r="O44" s="2948" t="s">
        <v>3036</v>
      </c>
      <c r="P44" s="2955" t="s">
        <v>3037</v>
      </c>
      <c r="Q44" s="2948" t="s">
        <v>3038</v>
      </c>
    </row>
    <row r="45" spans="1:17" ht="14.25" customHeight="1" thickBot="1">
      <c r="A45" s="2948" t="s">
        <v>296</v>
      </c>
      <c r="B45" s="2949" t="s">
        <v>236</v>
      </c>
      <c r="C45" s="2948">
        <v>21240</v>
      </c>
      <c r="D45" s="2948">
        <v>27050</v>
      </c>
      <c r="E45" s="2948">
        <v>28000</v>
      </c>
      <c r="F45" s="2948"/>
      <c r="G45" s="2961">
        <v>18940</v>
      </c>
      <c r="N45" s="2948" t="s">
        <v>3039</v>
      </c>
      <c r="O45" s="2955" t="s">
        <v>3040</v>
      </c>
      <c r="Q45" s="2948" t="s">
        <v>3041</v>
      </c>
    </row>
    <row r="46" spans="1:17" ht="14.25" customHeight="1">
      <c r="A46" s="2948" t="s">
        <v>296</v>
      </c>
      <c r="B46" s="2949" t="s">
        <v>245</v>
      </c>
      <c r="C46" s="2948">
        <v>23240</v>
      </c>
      <c r="D46" s="2948">
        <v>23000</v>
      </c>
      <c r="E46" s="2948">
        <v>24980</v>
      </c>
      <c r="F46" s="2948"/>
      <c r="G46" s="2961">
        <v>16100</v>
      </c>
      <c r="N46" s="2948" t="s">
        <v>3042</v>
      </c>
      <c r="Q46" s="2948" t="s">
        <v>3043</v>
      </c>
    </row>
    <row r="47" spans="1:17" ht="14.25" customHeight="1">
      <c r="A47" s="2948" t="s">
        <v>296</v>
      </c>
      <c r="B47" s="2949" t="s">
        <v>252</v>
      </c>
      <c r="C47" s="2948">
        <v>27150</v>
      </c>
      <c r="D47" s="2948">
        <v>23310</v>
      </c>
      <c r="E47" s="2948">
        <v>25150</v>
      </c>
      <c r="F47" s="2948"/>
      <c r="G47" s="2961">
        <v>16310</v>
      </c>
      <c r="N47" s="2948" t="s">
        <v>3044</v>
      </c>
      <c r="Q47" s="2948" t="s">
        <v>3045</v>
      </c>
    </row>
    <row r="48" spans="1:17" ht="14.25" customHeight="1">
      <c r="A48" s="2948" t="s">
        <v>296</v>
      </c>
      <c r="B48" s="2949" t="s">
        <v>260</v>
      </c>
      <c r="C48" s="2948">
        <v>23100</v>
      </c>
      <c r="D48" s="2948">
        <v>21110</v>
      </c>
      <c r="E48" s="2948">
        <v>23080</v>
      </c>
      <c r="F48" s="2948"/>
      <c r="G48" s="2961">
        <v>14780</v>
      </c>
      <c r="N48" s="2948" t="s">
        <v>3046</v>
      </c>
      <c r="Q48" s="2948" t="s">
        <v>3047</v>
      </c>
    </row>
    <row r="49" spans="1:17" ht="14.25" customHeight="1">
      <c r="A49" s="2948" t="s">
        <v>296</v>
      </c>
      <c r="B49" s="2949" t="s">
        <v>267</v>
      </c>
      <c r="C49" s="2948">
        <v>23400</v>
      </c>
      <c r="D49" s="2948">
        <v>22920</v>
      </c>
      <c r="E49" s="2948">
        <v>24900</v>
      </c>
      <c r="F49" s="2948"/>
      <c r="G49" s="2961">
        <v>16040</v>
      </c>
      <c r="N49" s="2948" t="s">
        <v>3048</v>
      </c>
      <c r="Q49" s="2948" t="s">
        <v>3049</v>
      </c>
    </row>
    <row r="50" spans="1:17" ht="14.25" customHeight="1">
      <c r="A50" s="2948" t="s">
        <v>296</v>
      </c>
      <c r="B50" s="2949" t="s">
        <v>2926</v>
      </c>
      <c r="C50" s="2948">
        <v>21200</v>
      </c>
      <c r="D50" s="2948">
        <v>26540</v>
      </c>
      <c r="E50" s="2948">
        <v>23200</v>
      </c>
      <c r="F50" s="2948"/>
      <c r="G50" s="2961">
        <v>18580</v>
      </c>
      <c r="N50" s="2948" t="s">
        <v>3050</v>
      </c>
      <c r="Q50" s="2949" t="s">
        <v>3051</v>
      </c>
    </row>
    <row r="51" spans="1:17" ht="14.25" customHeight="1" thickBot="1">
      <c r="A51" s="2948" t="s">
        <v>296</v>
      </c>
      <c r="B51" s="2949" t="s">
        <v>2928</v>
      </c>
      <c r="C51" s="2948">
        <v>23000</v>
      </c>
      <c r="D51" s="2948">
        <v>23460</v>
      </c>
      <c r="E51" s="2948">
        <v>25290</v>
      </c>
      <c r="F51" s="2948"/>
      <c r="G51" s="2961">
        <v>16420</v>
      </c>
      <c r="N51" s="2948" t="s">
        <v>3052</v>
      </c>
      <c r="Q51" s="2955" t="s">
        <v>3053</v>
      </c>
    </row>
    <row r="52" spans="1:17" ht="14.25" customHeight="1">
      <c r="A52" s="2948" t="s">
        <v>296</v>
      </c>
      <c r="B52" s="2949" t="s">
        <v>2932</v>
      </c>
      <c r="C52" s="2948">
        <v>26660</v>
      </c>
      <c r="D52" s="2948">
        <v>22350</v>
      </c>
      <c r="E52" s="2948">
        <v>22920</v>
      </c>
      <c r="F52" s="2948"/>
      <c r="G52" s="2961">
        <v>15640</v>
      </c>
      <c r="N52" s="2948" t="s">
        <v>3054</v>
      </c>
    </row>
    <row r="53" spans="1:17" ht="14.25" customHeight="1">
      <c r="A53" s="2948" t="s">
        <v>296</v>
      </c>
      <c r="B53" s="2949" t="s">
        <v>2937</v>
      </c>
      <c r="C53" s="2948">
        <v>23580</v>
      </c>
      <c r="D53" s="2948"/>
      <c r="E53" s="2948">
        <v>24280</v>
      </c>
      <c r="F53" s="2948"/>
      <c r="G53" s="2961"/>
      <c r="N53" s="2948" t="s">
        <v>3055</v>
      </c>
    </row>
    <row r="54" spans="1:17" ht="14.25" customHeight="1" thickBot="1">
      <c r="A54" s="2962" t="s">
        <v>296</v>
      </c>
      <c r="B54" s="2954" t="s">
        <v>2940</v>
      </c>
      <c r="C54" s="2955">
        <v>22460</v>
      </c>
      <c r="D54" s="2955"/>
      <c r="E54" s="2955"/>
      <c r="F54" s="2955"/>
      <c r="G54" s="2963"/>
      <c r="N54" s="2948" t="s">
        <v>3056</v>
      </c>
    </row>
    <row r="55" spans="1:17" ht="14.25" customHeight="1">
      <c r="A55" s="2953" t="s">
        <v>110</v>
      </c>
      <c r="B55" s="2944" t="s">
        <v>3057</v>
      </c>
      <c r="C55" s="2948">
        <v>21970</v>
      </c>
      <c r="D55" s="2948">
        <v>20370</v>
      </c>
      <c r="E55" s="2948">
        <v>20180</v>
      </c>
      <c r="F55" s="2948">
        <v>5730</v>
      </c>
      <c r="G55" s="2948">
        <v>13820</v>
      </c>
      <c r="N55" s="2948" t="s">
        <v>3058</v>
      </c>
    </row>
    <row r="56" spans="1:17" ht="14.25" customHeight="1">
      <c r="A56" s="2948" t="s">
        <v>110</v>
      </c>
      <c r="B56" s="2948" t="s">
        <v>130</v>
      </c>
      <c r="C56" s="2948">
        <v>20470</v>
      </c>
      <c r="D56" s="2948">
        <v>20700</v>
      </c>
      <c r="E56" s="2948">
        <v>20380</v>
      </c>
      <c r="F56" s="2948">
        <v>4760</v>
      </c>
      <c r="G56" s="2948">
        <v>14050</v>
      </c>
      <c r="N56" s="2948" t="s">
        <v>3059</v>
      </c>
    </row>
    <row r="57" spans="1:17" ht="14.25" customHeight="1">
      <c r="A57" s="2948" t="s">
        <v>110</v>
      </c>
      <c r="B57" s="2948" t="s">
        <v>139</v>
      </c>
      <c r="C57" s="2948">
        <v>20790</v>
      </c>
      <c r="D57" s="2948">
        <v>21370</v>
      </c>
      <c r="E57" s="2948">
        <v>20890</v>
      </c>
      <c r="F57" s="2948">
        <v>4910</v>
      </c>
      <c r="G57" s="2948">
        <v>14510</v>
      </c>
      <c r="N57" s="2948" t="s">
        <v>3060</v>
      </c>
    </row>
    <row r="58" spans="1:17" ht="14.25" customHeight="1">
      <c r="A58" s="2948" t="s">
        <v>110</v>
      </c>
      <c r="B58" s="2948" t="s">
        <v>148</v>
      </c>
      <c r="C58" s="2948">
        <v>21460</v>
      </c>
      <c r="D58" s="2948">
        <v>20920</v>
      </c>
      <c r="E58" s="2948">
        <v>23410</v>
      </c>
      <c r="F58" s="2948">
        <v>5100</v>
      </c>
      <c r="G58" s="2948">
        <v>14200</v>
      </c>
      <c r="N58" s="2948" t="s">
        <v>3061</v>
      </c>
    </row>
    <row r="59" spans="1:17" ht="14.25" customHeight="1">
      <c r="A59" s="2948" t="s">
        <v>110</v>
      </c>
      <c r="B59" s="2948" t="s">
        <v>157</v>
      </c>
      <c r="C59" s="2948">
        <v>21000</v>
      </c>
      <c r="D59" s="2948">
        <v>21550</v>
      </c>
      <c r="E59" s="2948">
        <v>21150</v>
      </c>
      <c r="F59" s="2948">
        <v>5250</v>
      </c>
      <c r="G59" s="2948">
        <v>14630</v>
      </c>
      <c r="N59" s="2948" t="s">
        <v>3062</v>
      </c>
    </row>
    <row r="60" spans="1:17" ht="14.25" customHeight="1">
      <c r="A60" s="2948" t="s">
        <v>110</v>
      </c>
      <c r="B60" s="2948" t="s">
        <v>164</v>
      </c>
      <c r="C60" s="2948">
        <v>21640</v>
      </c>
      <c r="D60" s="2948">
        <v>21260</v>
      </c>
      <c r="E60" s="2948">
        <v>24040</v>
      </c>
      <c r="F60" s="2948">
        <v>4470</v>
      </c>
      <c r="G60" s="2948">
        <v>14430</v>
      </c>
      <c r="N60" s="2948" t="s">
        <v>3063</v>
      </c>
    </row>
    <row r="61" spans="1:17" ht="14.25" customHeight="1">
      <c r="A61" s="2948" t="s">
        <v>110</v>
      </c>
      <c r="B61" s="2948" t="s">
        <v>170</v>
      </c>
      <c r="C61" s="2948">
        <v>21330</v>
      </c>
      <c r="D61" s="2948">
        <v>18640</v>
      </c>
      <c r="E61" s="2948">
        <v>21190</v>
      </c>
      <c r="F61" s="2948">
        <v>4180</v>
      </c>
      <c r="G61" s="2948">
        <v>12650</v>
      </c>
      <c r="N61" s="2948" t="s">
        <v>3064</v>
      </c>
    </row>
    <row r="62" spans="1:17" ht="14.25" customHeight="1">
      <c r="A62" s="2948" t="s">
        <v>110</v>
      </c>
      <c r="B62" s="2948" t="s">
        <v>177</v>
      </c>
      <c r="C62" s="2948">
        <v>18710</v>
      </c>
      <c r="D62" s="2948">
        <v>19400</v>
      </c>
      <c r="E62" s="2948">
        <v>23750</v>
      </c>
      <c r="F62" s="2948">
        <v>4860</v>
      </c>
      <c r="G62" s="2948">
        <v>13170</v>
      </c>
      <c r="N62" s="2948" t="s">
        <v>3065</v>
      </c>
    </row>
    <row r="63" spans="1:17" ht="14.25" customHeight="1">
      <c r="A63" s="2948" t="s">
        <v>110</v>
      </c>
      <c r="B63" s="2948" t="s">
        <v>187</v>
      </c>
      <c r="C63" s="2948">
        <v>19480</v>
      </c>
      <c r="D63" s="2948">
        <v>16830</v>
      </c>
      <c r="E63" s="2948">
        <v>21590</v>
      </c>
      <c r="F63" s="2948">
        <v>4560</v>
      </c>
      <c r="G63" s="2948">
        <v>11420</v>
      </c>
      <c r="N63" s="2948" t="s">
        <v>3066</v>
      </c>
    </row>
    <row r="64" spans="1:17" ht="14.25" customHeight="1" thickBot="1">
      <c r="A64" s="2948" t="s">
        <v>110</v>
      </c>
      <c r="B64" s="2948" t="s">
        <v>196</v>
      </c>
      <c r="C64" s="2948">
        <v>16920</v>
      </c>
      <c r="D64" s="2948">
        <v>19190</v>
      </c>
      <c r="E64" s="2948">
        <v>22200</v>
      </c>
      <c r="F64" s="2948">
        <v>4390</v>
      </c>
      <c r="G64" s="2948">
        <v>13030</v>
      </c>
      <c r="N64" s="2955" t="s">
        <v>3067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2938</v>
      </c>
      <c r="C78" s="2948">
        <v>19820</v>
      </c>
      <c r="D78" s="2948">
        <v>19780</v>
      </c>
      <c r="E78" s="2948">
        <v>18560</v>
      </c>
      <c r="F78" s="2948"/>
      <c r="G78" s="2948">
        <v>13430</v>
      </c>
    </row>
    <row r="79" spans="1:7" s="2782" customFormat="1" ht="14.25" customHeight="1">
      <c r="A79" s="2948" t="s">
        <v>110</v>
      </c>
      <c r="B79" s="2948" t="s">
        <v>2941</v>
      </c>
      <c r="C79" s="2948">
        <v>21660</v>
      </c>
      <c r="D79" s="2948">
        <v>18000</v>
      </c>
      <c r="E79" s="2948">
        <v>22570</v>
      </c>
      <c r="F79" s="2948"/>
      <c r="G79" s="2948">
        <v>12220</v>
      </c>
    </row>
    <row r="80" spans="1:7" s="2782" customFormat="1" ht="14.25" customHeight="1">
      <c r="A80" s="2948" t="s">
        <v>110</v>
      </c>
      <c r="B80" s="2948" t="s">
        <v>2945</v>
      </c>
      <c r="C80" s="2948">
        <v>19850</v>
      </c>
      <c r="D80" s="2948"/>
      <c r="E80" s="2948">
        <v>21700</v>
      </c>
      <c r="F80" s="2948"/>
      <c r="G80" s="2948"/>
    </row>
    <row r="81" spans="1:7" s="2782" customFormat="1" ht="14.25" customHeight="1">
      <c r="A81" s="2948" t="s">
        <v>110</v>
      </c>
      <c r="B81" s="2948" t="s">
        <v>2950</v>
      </c>
      <c r="C81" s="2948">
        <v>18080</v>
      </c>
      <c r="D81" s="2948"/>
      <c r="E81" s="2948">
        <v>20900</v>
      </c>
      <c r="F81" s="2948"/>
      <c r="G81" s="2948"/>
    </row>
    <row r="82" spans="1:7" s="2782" customFormat="1" ht="14.25" customHeight="1">
      <c r="A82" s="2948" t="s">
        <v>110</v>
      </c>
      <c r="B82" s="2948" t="s">
        <v>2957</v>
      </c>
      <c r="C82" s="2948"/>
      <c r="D82" s="2948"/>
      <c r="E82" s="2948">
        <v>20840</v>
      </c>
      <c r="F82" s="2948"/>
      <c r="G82" s="2948"/>
    </row>
    <row r="83" spans="1:7" s="2782" customFormat="1" ht="14.25" customHeight="1">
      <c r="A83" s="2948" t="s">
        <v>110</v>
      </c>
      <c r="B83" s="2948" t="s">
        <v>3068</v>
      </c>
      <c r="C83" s="2948"/>
      <c r="D83" s="2948"/>
      <c r="E83" s="2948"/>
      <c r="F83" s="2948">
        <v>4770</v>
      </c>
      <c r="G83" s="2948"/>
    </row>
    <row r="84" spans="1:7" s="2782" customFormat="1" ht="14.25" customHeight="1">
      <c r="A84" s="2948" t="s">
        <v>110</v>
      </c>
      <c r="B84" s="2948" t="s">
        <v>3069</v>
      </c>
      <c r="C84" s="2948"/>
      <c r="D84" s="2948"/>
      <c r="E84" s="2948"/>
      <c r="F84" s="2948">
        <v>4600</v>
      </c>
      <c r="G84" s="2948"/>
    </row>
    <row r="85" spans="1:7" s="2782" customFormat="1" ht="14.25" customHeight="1">
      <c r="A85" s="2948" t="s">
        <v>110</v>
      </c>
      <c r="B85" s="2948" t="s">
        <v>3070</v>
      </c>
      <c r="C85" s="2948"/>
      <c r="D85" s="2948"/>
      <c r="E85" s="2948"/>
      <c r="F85" s="2948">
        <v>4680</v>
      </c>
      <c r="G85" s="2948"/>
    </row>
    <row r="86" spans="1:7" s="2782" customFormat="1" ht="14.25" customHeight="1" thickBot="1">
      <c r="A86" s="2956" t="s">
        <v>110</v>
      </c>
      <c r="B86" s="2958" t="s">
        <v>3071</v>
      </c>
      <c r="C86" s="2959">
        <v>16610</v>
      </c>
      <c r="D86" s="2959">
        <v>16540</v>
      </c>
      <c r="E86" s="2959">
        <v>18850</v>
      </c>
      <c r="F86" s="2959"/>
      <c r="G86" s="2959">
        <v>11220</v>
      </c>
    </row>
    <row r="87" spans="1:7" s="2782" customFormat="1" ht="14.25" customHeight="1">
      <c r="A87" s="2953" t="s">
        <v>303</v>
      </c>
      <c r="B87" s="2944" t="s">
        <v>3072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2951</v>
      </c>
      <c r="C113" s="2948">
        <v>15520</v>
      </c>
      <c r="D113" s="2948">
        <v>15450</v>
      </c>
      <c r="E113" s="2948"/>
      <c r="F113" s="2948"/>
      <c r="G113" s="2961">
        <v>10210</v>
      </c>
    </row>
    <row r="114" spans="1:7" s="2782" customFormat="1" ht="14.25" customHeight="1">
      <c r="A114" s="2948" t="s">
        <v>303</v>
      </c>
      <c r="B114" s="2948" t="s">
        <v>2958</v>
      </c>
      <c r="C114" s="2948">
        <v>13110</v>
      </c>
      <c r="D114" s="2948">
        <v>13050</v>
      </c>
      <c r="E114" s="2948"/>
      <c r="F114" s="2948"/>
      <c r="G114" s="2961">
        <v>8620</v>
      </c>
    </row>
    <row r="115" spans="1:7" s="2782" customFormat="1" ht="14.25" customHeight="1">
      <c r="A115" s="2948" t="s">
        <v>303</v>
      </c>
      <c r="B115" s="2948" t="s">
        <v>2964</v>
      </c>
      <c r="C115" s="2948">
        <v>12460</v>
      </c>
      <c r="D115" s="2948">
        <v>12390</v>
      </c>
      <c r="E115" s="2948"/>
      <c r="F115" s="2948"/>
      <c r="G115" s="2961">
        <v>8190</v>
      </c>
    </row>
    <row r="116" spans="1:7" s="2782" customFormat="1" ht="14.25" customHeight="1">
      <c r="A116" s="2948" t="s">
        <v>303</v>
      </c>
      <c r="B116" s="2948" t="s">
        <v>2971</v>
      </c>
      <c r="C116" s="2948">
        <v>13580</v>
      </c>
      <c r="D116" s="2948">
        <v>13520</v>
      </c>
      <c r="E116" s="2948"/>
      <c r="F116" s="2948"/>
      <c r="G116" s="2961">
        <v>8930</v>
      </c>
    </row>
    <row r="117" spans="1:7" s="2782" customFormat="1" ht="14.25" customHeight="1">
      <c r="A117" s="2948" t="s">
        <v>303</v>
      </c>
      <c r="B117" s="2948" t="s">
        <v>2978</v>
      </c>
      <c r="C117" s="2948">
        <v>17120</v>
      </c>
      <c r="D117" s="2948">
        <v>17040</v>
      </c>
      <c r="E117" s="2948"/>
      <c r="F117" s="2948"/>
      <c r="G117" s="2961">
        <v>11260</v>
      </c>
    </row>
    <row r="118" spans="1:7" s="2782" customFormat="1" ht="14.25" customHeight="1">
      <c r="A118" s="2948" t="s">
        <v>303</v>
      </c>
      <c r="B118" s="2948" t="s">
        <v>2983</v>
      </c>
      <c r="C118" s="2948">
        <v>14860</v>
      </c>
      <c r="D118" s="2948">
        <v>14790</v>
      </c>
      <c r="E118" s="2948"/>
      <c r="F118" s="2948"/>
      <c r="G118" s="2961">
        <v>9780</v>
      </c>
    </row>
    <row r="119" spans="1:7" s="2782" customFormat="1" ht="14.25" customHeight="1">
      <c r="A119" s="2948" t="s">
        <v>303</v>
      </c>
      <c r="B119" s="2948" t="s">
        <v>2987</v>
      </c>
      <c r="C119" s="2948">
        <v>16470</v>
      </c>
      <c r="D119" s="2948">
        <v>16400</v>
      </c>
      <c r="E119" s="2948"/>
      <c r="F119" s="2948"/>
      <c r="G119" s="2961">
        <v>10840</v>
      </c>
    </row>
    <row r="120" spans="1:7" s="2782" customFormat="1" ht="14.25" customHeight="1">
      <c r="A120" s="2948" t="s">
        <v>303</v>
      </c>
      <c r="B120" s="2948" t="s">
        <v>3073</v>
      </c>
      <c r="C120" s="2948"/>
      <c r="D120" s="2948"/>
      <c r="E120" s="2948"/>
      <c r="F120" s="2948">
        <v>4160</v>
      </c>
      <c r="G120" s="2961"/>
    </row>
    <row r="121" spans="1:7" s="2782" customFormat="1" ht="14.25" customHeight="1">
      <c r="A121" s="2948" t="s">
        <v>303</v>
      </c>
      <c r="B121" s="2948" t="s">
        <v>3074</v>
      </c>
      <c r="C121" s="2948"/>
      <c r="D121" s="2948"/>
      <c r="E121" s="2948"/>
      <c r="F121" s="2948">
        <v>3880</v>
      </c>
      <c r="G121" s="2961"/>
    </row>
    <row r="122" spans="1:7" s="2782" customFormat="1" ht="14.25" customHeight="1">
      <c r="A122" s="2948" t="s">
        <v>303</v>
      </c>
      <c r="B122" s="2948" t="s">
        <v>3075</v>
      </c>
      <c r="C122" s="2948">
        <v>13750</v>
      </c>
      <c r="D122" s="2948">
        <v>13680</v>
      </c>
      <c r="E122" s="2948">
        <v>16460</v>
      </c>
      <c r="F122" s="2948">
        <v>2880</v>
      </c>
      <c r="G122" s="2961">
        <v>9040</v>
      </c>
    </row>
    <row r="123" spans="1:7" s="2782" customFormat="1" ht="14.25" customHeight="1">
      <c r="A123" s="2948" t="s">
        <v>303</v>
      </c>
      <c r="B123" s="2948" t="s">
        <v>3006</v>
      </c>
      <c r="C123" s="2948">
        <v>13590</v>
      </c>
      <c r="D123" s="2948">
        <v>13520</v>
      </c>
      <c r="E123" s="2948">
        <v>16290</v>
      </c>
      <c r="F123" s="2948">
        <v>2790</v>
      </c>
      <c r="G123" s="2961">
        <v>8930</v>
      </c>
    </row>
    <row r="124" spans="1:7" s="2782" customFormat="1" ht="14.25" customHeight="1">
      <c r="A124" s="2948" t="s">
        <v>303</v>
      </c>
      <c r="B124" s="2948" t="s">
        <v>3011</v>
      </c>
      <c r="C124" s="2948">
        <v>13400</v>
      </c>
      <c r="D124" s="2948">
        <v>13320</v>
      </c>
      <c r="E124" s="2948">
        <v>16100</v>
      </c>
      <c r="F124" s="2948">
        <v>2320</v>
      </c>
      <c r="G124" s="2961">
        <v>8800</v>
      </c>
    </row>
    <row r="125" spans="1:7" s="2782" customFormat="1" ht="14.25" customHeight="1">
      <c r="A125" s="2948" t="s">
        <v>303</v>
      </c>
      <c r="B125" s="2948" t="s">
        <v>3016</v>
      </c>
      <c r="C125" s="2948">
        <v>12860</v>
      </c>
      <c r="D125" s="2948">
        <v>12790</v>
      </c>
      <c r="E125" s="2948">
        <v>15370</v>
      </c>
      <c r="F125" s="2948">
        <v>2280</v>
      </c>
      <c r="G125" s="2961">
        <v>8450</v>
      </c>
    </row>
    <row r="126" spans="1:7" s="2782" customFormat="1" ht="14.25" customHeight="1" thickBot="1">
      <c r="A126" s="2962" t="s">
        <v>303</v>
      </c>
      <c r="B126" s="2955" t="s">
        <v>3021</v>
      </c>
      <c r="C126" s="2955">
        <v>12960</v>
      </c>
      <c r="D126" s="2955">
        <v>12890</v>
      </c>
      <c r="E126" s="2955">
        <v>15530</v>
      </c>
      <c r="F126" s="2955">
        <v>2910</v>
      </c>
      <c r="G126" s="2963">
        <v>8520</v>
      </c>
    </row>
    <row r="127" spans="1:7" s="2782" customFormat="1" ht="14.25" customHeight="1">
      <c r="A127" s="2953" t="s">
        <v>29</v>
      </c>
      <c r="B127" s="2944" t="s">
        <v>3076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3077</v>
      </c>
      <c r="C148" s="2948">
        <v>10370</v>
      </c>
      <c r="D148" s="2948">
        <v>10310</v>
      </c>
      <c r="E148" s="2948">
        <v>12970</v>
      </c>
      <c r="F148" s="2948"/>
      <c r="G148" s="2948">
        <v>6630</v>
      </c>
    </row>
    <row r="149" spans="1:7" s="2782" customFormat="1" ht="14.25" customHeight="1">
      <c r="A149" s="2948" t="s">
        <v>29</v>
      </c>
      <c r="B149" s="2948" t="s">
        <v>3078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2952</v>
      </c>
      <c r="C153" s="2948">
        <v>10880</v>
      </c>
      <c r="D153" s="2948">
        <v>10820</v>
      </c>
      <c r="E153" s="2948">
        <v>13660</v>
      </c>
      <c r="F153" s="2948">
        <v>2260</v>
      </c>
      <c r="G153" s="2948">
        <v>6970</v>
      </c>
    </row>
    <row r="154" spans="1:7" s="2782" customFormat="1" ht="14.25" customHeight="1">
      <c r="A154" s="2948" t="s">
        <v>29</v>
      </c>
      <c r="B154" s="2948" t="s">
        <v>3079</v>
      </c>
      <c r="C154" s="2948">
        <v>11220</v>
      </c>
      <c r="D154" s="2948">
        <v>11160</v>
      </c>
      <c r="E154" s="2948">
        <v>14130</v>
      </c>
      <c r="F154" s="2948">
        <v>2230</v>
      </c>
      <c r="G154" s="2948">
        <v>7180</v>
      </c>
    </row>
    <row r="155" spans="1:7" s="2782" customFormat="1" ht="14.25" customHeight="1">
      <c r="A155" s="2948" t="s">
        <v>29</v>
      </c>
      <c r="B155" s="2948" t="s">
        <v>2965</v>
      </c>
      <c r="C155" s="2948">
        <v>10430</v>
      </c>
      <c r="D155" s="2948">
        <v>10380</v>
      </c>
      <c r="E155" s="2948">
        <v>13140</v>
      </c>
      <c r="F155" s="2948">
        <v>2080</v>
      </c>
      <c r="G155" s="2948">
        <v>6650</v>
      </c>
    </row>
    <row r="156" spans="1:7" s="2782" customFormat="1" ht="14.25" customHeight="1">
      <c r="A156" s="2948" t="s">
        <v>29</v>
      </c>
      <c r="B156" s="2948" t="s">
        <v>3080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3081</v>
      </c>
      <c r="C160" s="2948">
        <v>11180</v>
      </c>
      <c r="D160" s="2948">
        <v>11140</v>
      </c>
      <c r="E160" s="2948">
        <v>14050</v>
      </c>
      <c r="F160" s="2948">
        <v>2270</v>
      </c>
      <c r="G160" s="2948">
        <v>7170</v>
      </c>
    </row>
    <row r="161" spans="1:7" s="2782" customFormat="1" ht="14.25" customHeight="1">
      <c r="A161" s="2948" t="s">
        <v>29</v>
      </c>
      <c r="B161" s="2948" t="s">
        <v>2997</v>
      </c>
      <c r="C161" s="2948">
        <v>11160</v>
      </c>
      <c r="D161" s="2948">
        <v>11120</v>
      </c>
      <c r="E161" s="2948">
        <v>14020</v>
      </c>
      <c r="F161" s="2948">
        <v>2150</v>
      </c>
      <c r="G161" s="2948">
        <v>7160</v>
      </c>
    </row>
    <row r="162" spans="1:7" s="2782" customFormat="1" ht="14.25" customHeight="1">
      <c r="A162" s="2948" t="s">
        <v>29</v>
      </c>
      <c r="B162" s="2948" t="s">
        <v>3002</v>
      </c>
      <c r="C162" s="2948">
        <v>9620</v>
      </c>
      <c r="D162" s="2948">
        <v>9570</v>
      </c>
      <c r="E162" s="2948">
        <v>12320</v>
      </c>
      <c r="F162" s="2948">
        <v>2010</v>
      </c>
      <c r="G162" s="2948">
        <v>6160</v>
      </c>
    </row>
    <row r="163" spans="1:7" s="2782" customFormat="1" ht="14.25" customHeight="1">
      <c r="A163" s="2948" t="s">
        <v>29</v>
      </c>
      <c r="B163" s="2948" t="s">
        <v>3007</v>
      </c>
      <c r="C163" s="2948">
        <v>9320</v>
      </c>
      <c r="D163" s="2948">
        <v>9270</v>
      </c>
      <c r="E163" s="2948">
        <v>11790</v>
      </c>
      <c r="F163" s="2948">
        <v>1920</v>
      </c>
      <c r="G163" s="2948">
        <v>5960</v>
      </c>
    </row>
    <row r="164" spans="1:7" s="2782" customFormat="1" ht="14.25" customHeight="1">
      <c r="A164" s="2948" t="s">
        <v>29</v>
      </c>
      <c r="B164" s="2948" t="s">
        <v>3012</v>
      </c>
      <c r="C164" s="2948"/>
      <c r="D164" s="2948"/>
      <c r="E164" s="2948"/>
      <c r="F164" s="2948">
        <v>1980</v>
      </c>
      <c r="G164" s="2948"/>
    </row>
    <row r="165" spans="1:7" s="2782" customFormat="1" ht="14.25" customHeight="1">
      <c r="A165" s="2948" t="s">
        <v>29</v>
      </c>
      <c r="B165" s="2948" t="s">
        <v>3082</v>
      </c>
      <c r="C165" s="2948">
        <v>11060</v>
      </c>
      <c r="D165" s="2948">
        <v>11030</v>
      </c>
      <c r="E165" s="2948">
        <v>13850</v>
      </c>
      <c r="F165" s="2948">
        <v>2170</v>
      </c>
      <c r="G165" s="2948">
        <v>7090</v>
      </c>
    </row>
    <row r="166" spans="1:7" s="2782" customFormat="1" ht="14.25" customHeight="1">
      <c r="A166" s="2948" t="s">
        <v>29</v>
      </c>
      <c r="B166" s="2948" t="s">
        <v>3022</v>
      </c>
      <c r="C166" s="2948">
        <v>11050</v>
      </c>
      <c r="D166" s="2948">
        <v>11010</v>
      </c>
      <c r="E166" s="2948">
        <v>13920</v>
      </c>
      <c r="F166" s="2948">
        <v>2140</v>
      </c>
      <c r="G166" s="2948">
        <v>7080</v>
      </c>
    </row>
    <row r="167" spans="1:7" s="2782" customFormat="1" ht="14.25" customHeight="1">
      <c r="A167" s="2948" t="s">
        <v>29</v>
      </c>
      <c r="B167" s="2948" t="s">
        <v>3026</v>
      </c>
      <c r="C167" s="2948">
        <v>10930</v>
      </c>
      <c r="D167" s="2948">
        <v>10890</v>
      </c>
      <c r="E167" s="2948">
        <v>13790</v>
      </c>
      <c r="F167" s="2948">
        <v>2010</v>
      </c>
      <c r="G167" s="2948">
        <v>7000</v>
      </c>
    </row>
    <row r="168" spans="1:7" s="2782" customFormat="1" ht="14.25" customHeight="1">
      <c r="A168" s="2948" t="s">
        <v>29</v>
      </c>
      <c r="B168" s="2948" t="s">
        <v>3031</v>
      </c>
      <c r="C168" s="2948">
        <v>9420</v>
      </c>
      <c r="D168" s="2948">
        <v>9380</v>
      </c>
      <c r="E168" s="2948">
        <v>11970</v>
      </c>
      <c r="F168" s="2948"/>
      <c r="G168" s="2948">
        <v>6040</v>
      </c>
    </row>
    <row r="169" spans="1:7" s="2782" customFormat="1" ht="14.25" customHeight="1">
      <c r="A169" s="2948" t="s">
        <v>29</v>
      </c>
      <c r="B169" s="2948" t="s">
        <v>3083</v>
      </c>
      <c r="C169" s="2948"/>
      <c r="D169" s="2948"/>
      <c r="E169" s="2948"/>
      <c r="F169" s="2948">
        <v>2880</v>
      </c>
      <c r="G169" s="2948"/>
    </row>
    <row r="170" spans="1:7" s="2782" customFormat="1" ht="14.25" customHeight="1">
      <c r="A170" s="2948" t="s">
        <v>29</v>
      </c>
      <c r="B170" s="2948" t="s">
        <v>3039</v>
      </c>
      <c r="C170" s="2948"/>
      <c r="D170" s="2948"/>
      <c r="E170" s="2948"/>
      <c r="F170" s="2948">
        <v>2880</v>
      </c>
      <c r="G170" s="2948"/>
    </row>
    <row r="171" spans="1:7" s="2782" customFormat="1" ht="14.25" customHeight="1">
      <c r="A171" s="2948" t="s">
        <v>29</v>
      </c>
      <c r="B171" s="2948" t="s">
        <v>3042</v>
      </c>
      <c r="C171" s="2948"/>
      <c r="D171" s="2948"/>
      <c r="E171" s="2948"/>
      <c r="F171" s="2948">
        <v>2880</v>
      </c>
      <c r="G171" s="2948"/>
    </row>
    <row r="172" spans="1:7" s="2782" customFormat="1" ht="14.25" customHeight="1">
      <c r="A172" s="2948" t="s">
        <v>29</v>
      </c>
      <c r="B172" s="2948" t="s">
        <v>3044</v>
      </c>
      <c r="C172" s="2948"/>
      <c r="D172" s="2948"/>
      <c r="E172" s="2948"/>
      <c r="F172" s="2948">
        <v>2880</v>
      </c>
      <c r="G172" s="2948"/>
    </row>
    <row r="173" spans="1:7" s="2782" customFormat="1" ht="14.25" customHeight="1">
      <c r="A173" s="2948" t="s">
        <v>29</v>
      </c>
      <c r="B173" s="2948" t="s">
        <v>3046</v>
      </c>
      <c r="C173" s="2948"/>
      <c r="D173" s="2948"/>
      <c r="E173" s="2948"/>
      <c r="F173" s="2948">
        <v>2150</v>
      </c>
      <c r="G173" s="2948"/>
    </row>
    <row r="174" spans="1:7" s="2782" customFormat="1" ht="14.25" customHeight="1">
      <c r="A174" s="2948" t="s">
        <v>29</v>
      </c>
      <c r="B174" s="2948" t="s">
        <v>3048</v>
      </c>
      <c r="C174" s="2948"/>
      <c r="D174" s="2948"/>
      <c r="E174" s="2948"/>
      <c r="F174" s="2948">
        <v>2030</v>
      </c>
      <c r="G174" s="2948"/>
    </row>
    <row r="175" spans="1:7" s="2782" customFormat="1" ht="14.25" customHeight="1">
      <c r="A175" s="2948" t="s">
        <v>29</v>
      </c>
      <c r="B175" s="2948" t="s">
        <v>3050</v>
      </c>
      <c r="C175" s="2948"/>
      <c r="D175" s="2948"/>
      <c r="E175" s="2948"/>
      <c r="F175" s="2948">
        <v>2780</v>
      </c>
      <c r="G175" s="2948"/>
    </row>
    <row r="176" spans="1:7" s="2782" customFormat="1" ht="14.25" customHeight="1">
      <c r="A176" s="2948" t="s">
        <v>29</v>
      </c>
      <c r="B176" s="2948" t="s">
        <v>3052</v>
      </c>
      <c r="C176" s="2948"/>
      <c r="D176" s="2948"/>
      <c r="E176" s="2948"/>
      <c r="F176" s="2948">
        <v>2780</v>
      </c>
      <c r="G176" s="2948"/>
    </row>
    <row r="177" spans="1:7" s="2782" customFormat="1" ht="14.25" customHeight="1">
      <c r="A177" s="2948" t="s">
        <v>29</v>
      </c>
      <c r="B177" s="2948" t="s">
        <v>3084</v>
      </c>
      <c r="C177" s="2948"/>
      <c r="D177" s="2948"/>
      <c r="E177" s="2948"/>
      <c r="F177" s="2948">
        <v>2780</v>
      </c>
      <c r="G177" s="2948"/>
    </row>
    <row r="178" spans="1:7" s="2782" customFormat="1" ht="14.25" customHeight="1">
      <c r="A178" s="2948" t="s">
        <v>29</v>
      </c>
      <c r="B178" s="2948" t="s">
        <v>3085</v>
      </c>
      <c r="C178" s="2948"/>
      <c r="D178" s="2948"/>
      <c r="E178" s="2948"/>
      <c r="F178" s="2948">
        <v>2060</v>
      </c>
      <c r="G178" s="2948"/>
    </row>
    <row r="179" spans="1:7" s="2782" customFormat="1" ht="14.25" customHeight="1">
      <c r="A179" s="2948" t="s">
        <v>29</v>
      </c>
      <c r="B179" s="2948" t="s">
        <v>3086</v>
      </c>
      <c r="C179" s="2948"/>
      <c r="D179" s="2948"/>
      <c r="E179" s="2948"/>
      <c r="F179" s="2948">
        <v>2120</v>
      </c>
      <c r="G179" s="2948"/>
    </row>
    <row r="180" spans="1:7" s="2782" customFormat="1" ht="14.25" customHeight="1">
      <c r="A180" s="2948" t="s">
        <v>29</v>
      </c>
      <c r="B180" s="2948" t="s">
        <v>3058</v>
      </c>
      <c r="C180" s="2948"/>
      <c r="D180" s="2948"/>
      <c r="E180" s="2948"/>
      <c r="F180" s="2948">
        <v>2340</v>
      </c>
      <c r="G180" s="2948"/>
    </row>
    <row r="181" spans="1:7" s="2782" customFormat="1" ht="14.25" customHeight="1">
      <c r="A181" s="2948" t="s">
        <v>29</v>
      </c>
      <c r="B181" s="2948" t="s">
        <v>3059</v>
      </c>
      <c r="C181" s="2948"/>
      <c r="D181" s="2948"/>
      <c r="E181" s="2948"/>
      <c r="F181" s="2948">
        <v>2340</v>
      </c>
      <c r="G181" s="2948"/>
    </row>
    <row r="182" spans="1:7" s="2782" customFormat="1" ht="14.25" customHeight="1">
      <c r="A182" s="2948" t="s">
        <v>29</v>
      </c>
      <c r="B182" s="2948" t="s">
        <v>3060</v>
      </c>
      <c r="C182" s="2948"/>
      <c r="D182" s="2948"/>
      <c r="E182" s="2948"/>
      <c r="F182" s="2948">
        <v>2340</v>
      </c>
      <c r="G182" s="2948"/>
    </row>
    <row r="183" spans="1:7" s="2782" customFormat="1" ht="14.25" customHeight="1">
      <c r="A183" s="2948" t="s">
        <v>29</v>
      </c>
      <c r="B183" s="2948" t="s">
        <v>3061</v>
      </c>
      <c r="C183" s="2948"/>
      <c r="D183" s="2948"/>
      <c r="E183" s="2948"/>
      <c r="F183" s="2948">
        <v>2340</v>
      </c>
      <c r="G183" s="2948"/>
    </row>
    <row r="184" spans="1:7" s="2782" customFormat="1" ht="14.25" customHeight="1">
      <c r="A184" s="2948" t="s">
        <v>29</v>
      </c>
      <c r="B184" s="2948" t="s">
        <v>3062</v>
      </c>
      <c r="C184" s="2948"/>
      <c r="D184" s="2948"/>
      <c r="E184" s="2948"/>
      <c r="F184" s="2948">
        <v>2340</v>
      </c>
      <c r="G184" s="2948"/>
    </row>
    <row r="185" spans="1:7" s="2782" customFormat="1" ht="14.25" customHeight="1">
      <c r="A185" s="2948" t="s">
        <v>29</v>
      </c>
      <c r="B185" s="2948" t="s">
        <v>3063</v>
      </c>
      <c r="C185" s="2948"/>
      <c r="D185" s="2948"/>
      <c r="E185" s="2948"/>
      <c r="F185" s="2948">
        <v>2530</v>
      </c>
      <c r="G185" s="2948"/>
    </row>
    <row r="186" spans="1:7" s="2782" customFormat="1" ht="14.25" customHeight="1">
      <c r="A186" s="2948" t="s">
        <v>29</v>
      </c>
      <c r="B186" s="2948" t="s">
        <v>3064</v>
      </c>
      <c r="C186" s="2948"/>
      <c r="D186" s="2948"/>
      <c r="E186" s="2948"/>
      <c r="F186" s="2948">
        <v>2550</v>
      </c>
      <c r="G186" s="2948"/>
    </row>
    <row r="187" spans="1:7" s="2782" customFormat="1" ht="14.25" customHeight="1">
      <c r="A187" s="2948" t="s">
        <v>29</v>
      </c>
      <c r="B187" s="2948" t="s">
        <v>3065</v>
      </c>
      <c r="C187" s="2948"/>
      <c r="D187" s="2948"/>
      <c r="E187" s="2948"/>
      <c r="F187" s="2948">
        <v>2070</v>
      </c>
      <c r="G187" s="2948"/>
    </row>
    <row r="188" spans="1:7" s="2782" customFormat="1" ht="14.25" customHeight="1">
      <c r="A188" s="2948" t="s">
        <v>29</v>
      </c>
      <c r="B188" s="2948" t="s">
        <v>3066</v>
      </c>
      <c r="C188" s="2948"/>
      <c r="D188" s="2948"/>
      <c r="E188" s="2948"/>
      <c r="F188" s="2948">
        <v>2340</v>
      </c>
      <c r="G188" s="2948"/>
    </row>
    <row r="189" spans="1:7" s="2782" customFormat="1" ht="14.25" customHeight="1" thickBot="1">
      <c r="A189" s="2956" t="s">
        <v>29</v>
      </c>
      <c r="B189" s="2959" t="s">
        <v>3067</v>
      </c>
      <c r="C189" s="2959"/>
      <c r="D189" s="2959"/>
      <c r="E189" s="2959"/>
      <c r="F189" s="2959">
        <v>2050</v>
      </c>
      <c r="G189" s="2959"/>
    </row>
    <row r="190" spans="1:7" s="2782" customFormat="1" ht="14.25" customHeight="1">
      <c r="A190" s="2953" t="s">
        <v>304</v>
      </c>
      <c r="B190" s="2944" t="s">
        <v>3087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3088</v>
      </c>
      <c r="C199" s="2948">
        <v>8690</v>
      </c>
      <c r="D199" s="2948">
        <v>8630</v>
      </c>
      <c r="E199" s="2948">
        <v>11350</v>
      </c>
      <c r="F199" s="2948">
        <v>1600</v>
      </c>
      <c r="G199" s="2961">
        <v>5450</v>
      </c>
    </row>
    <row r="200" spans="1:7" s="2782" customFormat="1" ht="14.25" customHeight="1">
      <c r="A200" s="2948" t="s">
        <v>304</v>
      </c>
      <c r="B200" s="2948" t="s">
        <v>2899</v>
      </c>
      <c r="C200" s="2948"/>
      <c r="D200" s="2948"/>
      <c r="E200" s="2948"/>
      <c r="F200" s="2948">
        <v>1510</v>
      </c>
      <c r="G200" s="2961"/>
    </row>
    <row r="201" spans="1:7" s="2782" customFormat="1" ht="14.25" customHeight="1">
      <c r="A201" s="2948" t="s">
        <v>304</v>
      </c>
      <c r="B201" s="2948" t="s">
        <v>3089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3090</v>
      </c>
      <c r="C203" s="2948">
        <v>8130</v>
      </c>
      <c r="D203" s="2948">
        <v>8070</v>
      </c>
      <c r="E203" s="2948">
        <v>10820</v>
      </c>
      <c r="F203" s="2948">
        <v>1690</v>
      </c>
      <c r="G203" s="2961">
        <v>5100</v>
      </c>
    </row>
    <row r="204" spans="1:7" s="2782" customFormat="1" ht="14.25" customHeight="1">
      <c r="A204" s="2948" t="s">
        <v>304</v>
      </c>
      <c r="B204" s="2948" t="s">
        <v>2910</v>
      </c>
      <c r="C204" s="2948">
        <v>8350</v>
      </c>
      <c r="D204" s="2948">
        <v>8290</v>
      </c>
      <c r="E204" s="2948">
        <v>11080</v>
      </c>
      <c r="F204" s="2948">
        <v>1450</v>
      </c>
      <c r="G204" s="2961">
        <v>5240</v>
      </c>
    </row>
    <row r="205" spans="1:7" s="2782" customFormat="1" ht="14.25" customHeight="1">
      <c r="A205" s="2948" t="s">
        <v>304</v>
      </c>
      <c r="B205" s="2948" t="s">
        <v>2912</v>
      </c>
      <c r="C205" s="2948">
        <v>7190</v>
      </c>
      <c r="D205" s="2948">
        <v>7130</v>
      </c>
      <c r="E205" s="2948">
        <v>9490</v>
      </c>
      <c r="F205" s="2948">
        <v>1470</v>
      </c>
      <c r="G205" s="2961">
        <v>4510</v>
      </c>
    </row>
    <row r="206" spans="1:7" s="2782" customFormat="1" ht="14.25" customHeight="1">
      <c r="A206" s="2948" t="s">
        <v>304</v>
      </c>
      <c r="B206" s="2948" t="s">
        <v>2915</v>
      </c>
      <c r="C206" s="2948">
        <v>7000</v>
      </c>
      <c r="D206" s="2948">
        <v>6950</v>
      </c>
      <c r="E206" s="2948">
        <v>9170</v>
      </c>
      <c r="F206" s="2948">
        <v>1400</v>
      </c>
      <c r="G206" s="2961">
        <v>4380</v>
      </c>
    </row>
    <row r="207" spans="1:7" s="2782" customFormat="1" ht="14.25" customHeight="1">
      <c r="A207" s="2948" t="s">
        <v>304</v>
      </c>
      <c r="B207" s="2948" t="s">
        <v>2917</v>
      </c>
      <c r="C207" s="2948">
        <v>6950</v>
      </c>
      <c r="D207" s="2948">
        <v>6900</v>
      </c>
      <c r="E207" s="2948">
        <v>9110</v>
      </c>
      <c r="F207" s="2948">
        <v>1790</v>
      </c>
      <c r="G207" s="2961">
        <v>4360</v>
      </c>
    </row>
    <row r="208" spans="1:7" s="2782" customFormat="1" ht="14.25" customHeight="1">
      <c r="A208" s="2948" t="s">
        <v>304</v>
      </c>
      <c r="B208" s="2948" t="s">
        <v>3091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2927</v>
      </c>
      <c r="C210" s="2948">
        <v>8710</v>
      </c>
      <c r="D210" s="2948">
        <v>8660</v>
      </c>
      <c r="E210" s="2948">
        <v>11440</v>
      </c>
      <c r="F210" s="2948">
        <v>1740</v>
      </c>
      <c r="G210" s="2961">
        <v>5470</v>
      </c>
    </row>
    <row r="211" spans="1:7" s="2782" customFormat="1" ht="14.25" customHeight="1">
      <c r="A211" s="2948" t="s">
        <v>304</v>
      </c>
      <c r="B211" s="2948" t="s">
        <v>3092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3093</v>
      </c>
      <c r="C214" s="2948">
        <v>8090</v>
      </c>
      <c r="D214" s="2948">
        <v>8030</v>
      </c>
      <c r="E214" s="2948">
        <v>10780</v>
      </c>
      <c r="F214" s="2948">
        <v>1570</v>
      </c>
      <c r="G214" s="2961">
        <v>5070</v>
      </c>
    </row>
    <row r="215" spans="1:7" s="2782" customFormat="1" ht="14.25" customHeight="1">
      <c r="A215" s="2948" t="s">
        <v>304</v>
      </c>
      <c r="B215" s="2948" t="s">
        <v>3094</v>
      </c>
      <c r="C215" s="2948">
        <v>7950</v>
      </c>
      <c r="D215" s="2948">
        <v>7900</v>
      </c>
      <c r="E215" s="2948">
        <v>10560</v>
      </c>
      <c r="F215" s="2948">
        <v>1630</v>
      </c>
      <c r="G215" s="2961">
        <v>4990</v>
      </c>
    </row>
    <row r="216" spans="1:7" s="2782" customFormat="1" ht="14.25" customHeight="1">
      <c r="A216" s="2948" t="s">
        <v>304</v>
      </c>
      <c r="B216" s="2948" t="s">
        <v>3095</v>
      </c>
      <c r="C216" s="2948">
        <v>8490</v>
      </c>
      <c r="D216" s="2948">
        <v>8440</v>
      </c>
      <c r="E216" s="2948">
        <v>11260</v>
      </c>
      <c r="F216" s="2948">
        <v>1690</v>
      </c>
      <c r="G216" s="2961">
        <v>5330</v>
      </c>
    </row>
    <row r="217" spans="1:7" s="2782" customFormat="1" ht="14.25" customHeight="1">
      <c r="A217" s="2948" t="s">
        <v>304</v>
      </c>
      <c r="B217" s="2948" t="s">
        <v>2960</v>
      </c>
      <c r="C217" s="2948">
        <v>8200</v>
      </c>
      <c r="D217" s="2948">
        <v>8150</v>
      </c>
      <c r="E217" s="2948">
        <v>10910</v>
      </c>
      <c r="F217" s="2948">
        <v>1670</v>
      </c>
      <c r="G217" s="2961">
        <v>5150</v>
      </c>
    </row>
    <row r="218" spans="1:7" s="2782" customFormat="1" ht="14.25" customHeight="1">
      <c r="A218" s="2948" t="s">
        <v>304</v>
      </c>
      <c r="B218" s="2948" t="s">
        <v>3096</v>
      </c>
      <c r="C218" s="2948"/>
      <c r="D218" s="2948"/>
      <c r="E218" s="2948"/>
      <c r="F218" s="2948">
        <v>2040</v>
      </c>
      <c r="G218" s="2961"/>
    </row>
    <row r="219" spans="1:7" s="2782" customFormat="1" ht="14.25" customHeight="1">
      <c r="A219" s="2948" t="s">
        <v>304</v>
      </c>
      <c r="B219" s="2948" t="s">
        <v>3097</v>
      </c>
      <c r="C219" s="2948"/>
      <c r="D219" s="2948"/>
      <c r="E219" s="2948"/>
      <c r="F219" s="2948">
        <v>2040</v>
      </c>
      <c r="G219" s="2961"/>
    </row>
    <row r="220" spans="1:7" s="2782" customFormat="1" ht="14.25" customHeight="1">
      <c r="A220" s="2948" t="s">
        <v>304</v>
      </c>
      <c r="B220" s="2948" t="s">
        <v>3098</v>
      </c>
      <c r="C220" s="2948"/>
      <c r="D220" s="2948"/>
      <c r="E220" s="2948"/>
      <c r="F220" s="2948">
        <v>2040</v>
      </c>
      <c r="G220" s="2961"/>
    </row>
    <row r="221" spans="1:7" s="2782" customFormat="1" ht="14.25" customHeight="1">
      <c r="A221" s="2948" t="s">
        <v>304</v>
      </c>
      <c r="B221" s="2948" t="s">
        <v>3099</v>
      </c>
      <c r="C221" s="2948"/>
      <c r="D221" s="2948"/>
      <c r="E221" s="2948"/>
      <c r="F221" s="2948">
        <v>2040</v>
      </c>
      <c r="G221" s="2961"/>
    </row>
    <row r="222" spans="1:7" s="2782" customFormat="1" ht="14.25" customHeight="1">
      <c r="A222" s="2948" t="s">
        <v>304</v>
      </c>
      <c r="B222" s="2948" t="s">
        <v>3100</v>
      </c>
      <c r="C222" s="2948"/>
      <c r="D222" s="2948"/>
      <c r="E222" s="2948"/>
      <c r="F222" s="2948">
        <v>2040</v>
      </c>
      <c r="G222" s="2961"/>
    </row>
    <row r="223" spans="1:7" s="2782" customFormat="1" ht="14.25" customHeight="1">
      <c r="A223" s="2948" t="s">
        <v>304</v>
      </c>
      <c r="B223" s="2948" t="s">
        <v>3101</v>
      </c>
      <c r="C223" s="2948"/>
      <c r="D223" s="2948"/>
      <c r="E223" s="2948"/>
      <c r="F223" s="2948">
        <v>1930</v>
      </c>
      <c r="G223" s="2961"/>
    </row>
    <row r="224" spans="1:7" s="2782" customFormat="1" ht="14.25" customHeight="1">
      <c r="A224" s="2948" t="s">
        <v>304</v>
      </c>
      <c r="B224" s="2948" t="s">
        <v>3102</v>
      </c>
      <c r="C224" s="2948"/>
      <c r="D224" s="2948"/>
      <c r="E224" s="2948"/>
      <c r="F224" s="2948">
        <v>1930</v>
      </c>
      <c r="G224" s="2961"/>
    </row>
    <row r="225" spans="1:7" s="2782" customFormat="1" ht="14.25" customHeight="1">
      <c r="A225" s="2948" t="s">
        <v>304</v>
      </c>
      <c r="B225" s="2948" t="s">
        <v>3103</v>
      </c>
      <c r="C225" s="2948"/>
      <c r="D225" s="2948"/>
      <c r="E225" s="2948"/>
      <c r="F225" s="2948">
        <v>1930</v>
      </c>
      <c r="G225" s="2961"/>
    </row>
    <row r="226" spans="1:7" s="2782" customFormat="1" ht="14.25" customHeight="1">
      <c r="A226" s="2948" t="s">
        <v>304</v>
      </c>
      <c r="B226" s="2948" t="s">
        <v>3104</v>
      </c>
      <c r="C226" s="2948"/>
      <c r="D226" s="2948"/>
      <c r="E226" s="2948"/>
      <c r="F226" s="2948">
        <v>1700</v>
      </c>
      <c r="G226" s="2961"/>
    </row>
    <row r="227" spans="1:7" s="2782" customFormat="1" ht="14.25" customHeight="1">
      <c r="A227" s="2948" t="s">
        <v>304</v>
      </c>
      <c r="B227" s="2948" t="s">
        <v>3105</v>
      </c>
      <c r="C227" s="2948"/>
      <c r="D227" s="2948"/>
      <c r="E227" s="2948"/>
      <c r="F227" s="2948">
        <v>1520</v>
      </c>
      <c r="G227" s="2961"/>
    </row>
    <row r="228" spans="1:7" s="2782" customFormat="1" ht="14.25" customHeight="1">
      <c r="A228" s="2948" t="s">
        <v>304</v>
      </c>
      <c r="B228" s="2948" t="s">
        <v>3106</v>
      </c>
      <c r="C228" s="2948"/>
      <c r="D228" s="2948"/>
      <c r="E228" s="2948"/>
      <c r="F228" s="2948">
        <v>1520</v>
      </c>
      <c r="G228" s="2961"/>
    </row>
    <row r="229" spans="1:7" s="2782" customFormat="1" ht="14.25" customHeight="1">
      <c r="A229" s="2948" t="s">
        <v>304</v>
      </c>
      <c r="B229" s="2948" t="s">
        <v>3023</v>
      </c>
      <c r="C229" s="2948"/>
      <c r="D229" s="2948"/>
      <c r="E229" s="2948"/>
      <c r="F229" s="2948">
        <v>1520</v>
      </c>
      <c r="G229" s="2961"/>
    </row>
    <row r="230" spans="1:7" s="2782" customFormat="1" ht="14.25" customHeight="1">
      <c r="A230" s="2948" t="s">
        <v>304</v>
      </c>
      <c r="B230" s="2948" t="s">
        <v>3107</v>
      </c>
      <c r="C230" s="2948"/>
      <c r="D230" s="2948"/>
      <c r="E230" s="2948"/>
      <c r="F230" s="2948">
        <v>1820</v>
      </c>
      <c r="G230" s="2961"/>
    </row>
    <row r="231" spans="1:7" s="2782" customFormat="1" ht="14.25" customHeight="1">
      <c r="A231" s="2948" t="s">
        <v>304</v>
      </c>
      <c r="B231" s="2948" t="s">
        <v>3108</v>
      </c>
      <c r="C231" s="2948"/>
      <c r="D231" s="2948"/>
      <c r="E231" s="2948"/>
      <c r="F231" s="2948">
        <v>1760</v>
      </c>
      <c r="G231" s="2961"/>
    </row>
    <row r="232" spans="1:7" s="2782" customFormat="1" ht="14.25" customHeight="1">
      <c r="A232" s="2948" t="s">
        <v>304</v>
      </c>
      <c r="B232" s="2948" t="s">
        <v>3109</v>
      </c>
      <c r="C232" s="2948"/>
      <c r="D232" s="2948"/>
      <c r="E232" s="2948"/>
      <c r="F232" s="2948">
        <v>1840</v>
      </c>
      <c r="G232" s="2961"/>
    </row>
    <row r="233" spans="1:7" s="2782" customFormat="1" ht="14.25" customHeight="1" thickBot="1">
      <c r="A233" s="2962" t="s">
        <v>304</v>
      </c>
      <c r="B233" s="2955" t="s">
        <v>3040</v>
      </c>
      <c r="C233" s="2955"/>
      <c r="D233" s="2955"/>
      <c r="E233" s="2955"/>
      <c r="F233" s="2955">
        <v>1770</v>
      </c>
      <c r="G233" s="2963"/>
    </row>
    <row r="234" spans="1:7" s="2782" customFormat="1" ht="14.25" customHeight="1">
      <c r="A234" s="2953" t="s">
        <v>305</v>
      </c>
      <c r="B234" s="2944" t="s">
        <v>3110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2881</v>
      </c>
      <c r="C238" s="2948">
        <v>6920</v>
      </c>
      <c r="D238" s="2948">
        <v>6890</v>
      </c>
      <c r="E238" s="2948">
        <v>8640</v>
      </c>
      <c r="F238" s="2948">
        <v>1310</v>
      </c>
      <c r="G238" s="2948">
        <v>4230</v>
      </c>
    </row>
    <row r="239" spans="1:7" s="2782" customFormat="1" ht="14.25" customHeight="1">
      <c r="A239" s="2948" t="s">
        <v>305</v>
      </c>
      <c r="B239" s="2948" t="s">
        <v>3111</v>
      </c>
      <c r="C239" s="2948">
        <v>6780</v>
      </c>
      <c r="D239" s="2948">
        <v>6750</v>
      </c>
      <c r="E239" s="2948">
        <v>8440</v>
      </c>
      <c r="F239" s="2948">
        <v>1160</v>
      </c>
      <c r="G239" s="2948">
        <v>4140</v>
      </c>
    </row>
    <row r="240" spans="1:7" s="2782" customFormat="1" ht="14.25" customHeight="1">
      <c r="A240" s="2948" t="s">
        <v>305</v>
      </c>
      <c r="B240" s="2948" t="s">
        <v>3112</v>
      </c>
      <c r="C240" s="2948">
        <v>5420</v>
      </c>
      <c r="D240" s="2948">
        <v>5380</v>
      </c>
      <c r="E240" s="2948">
        <v>6640</v>
      </c>
      <c r="F240" s="2948">
        <v>1020</v>
      </c>
      <c r="G240" s="2948">
        <v>3300</v>
      </c>
    </row>
    <row r="241" spans="1:7" s="2782" customFormat="1" ht="14.25" customHeight="1">
      <c r="A241" s="2948" t="s">
        <v>305</v>
      </c>
      <c r="B241" s="2948" t="s">
        <v>3113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2943</v>
      </c>
      <c r="C258" s="2948">
        <v>6190</v>
      </c>
      <c r="D258" s="2948">
        <v>6160</v>
      </c>
      <c r="E258" s="2948">
        <v>7680</v>
      </c>
      <c r="F258" s="2948">
        <v>1170</v>
      </c>
      <c r="G258" s="2948">
        <v>3780</v>
      </c>
    </row>
    <row r="259" spans="1:7" s="2782" customFormat="1" ht="14.25" customHeight="1">
      <c r="A259" s="2948" t="s">
        <v>305</v>
      </c>
      <c r="B259" s="2948" t="s">
        <v>3119</v>
      </c>
      <c r="C259" s="2948">
        <v>7610</v>
      </c>
      <c r="D259" s="2948">
        <v>7570</v>
      </c>
      <c r="E259" s="2948">
        <v>9350</v>
      </c>
      <c r="F259" s="2948">
        <v>1350</v>
      </c>
      <c r="G259" s="2948">
        <v>4650</v>
      </c>
    </row>
    <row r="260" spans="1:7" s="2782" customFormat="1" ht="14.25" customHeight="1">
      <c r="A260" s="2948" t="s">
        <v>305</v>
      </c>
      <c r="B260" s="2948" t="s">
        <v>3120</v>
      </c>
      <c r="C260" s="2948">
        <v>6920</v>
      </c>
      <c r="D260" s="2948">
        <v>6880</v>
      </c>
      <c r="E260" s="2948">
        <v>8380</v>
      </c>
      <c r="F260" s="2948">
        <v>1160</v>
      </c>
      <c r="G260" s="2948">
        <v>4220</v>
      </c>
    </row>
    <row r="261" spans="1:7" s="2782" customFormat="1" ht="14.25" customHeight="1">
      <c r="A261" s="2948" t="s">
        <v>305</v>
      </c>
      <c r="B261" s="2948" t="s">
        <v>3121</v>
      </c>
      <c r="C261" s="2948">
        <v>6850</v>
      </c>
      <c r="D261" s="2948">
        <v>6810</v>
      </c>
      <c r="E261" s="2948">
        <v>8290</v>
      </c>
      <c r="F261" s="2948">
        <v>1130</v>
      </c>
      <c r="G261" s="2948">
        <v>4180</v>
      </c>
    </row>
    <row r="262" spans="1:7" s="2782" customFormat="1" ht="14.25" customHeight="1">
      <c r="A262" s="2948" t="s">
        <v>305</v>
      </c>
      <c r="B262" s="2948" t="s">
        <v>3122</v>
      </c>
      <c r="C262" s="2948">
        <v>5860</v>
      </c>
      <c r="D262" s="2948">
        <v>5820</v>
      </c>
      <c r="E262" s="2948">
        <v>7640</v>
      </c>
      <c r="F262" s="2948">
        <v>1070</v>
      </c>
      <c r="G262" s="2948">
        <v>3570</v>
      </c>
    </row>
    <row r="263" spans="1:7" s="2782" customFormat="1" ht="14.25" customHeight="1">
      <c r="A263" s="2948" t="s">
        <v>305</v>
      </c>
      <c r="B263" s="2948" t="s">
        <v>3123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3124</v>
      </c>
      <c r="C265" s="2948"/>
      <c r="D265" s="2948"/>
      <c r="E265" s="2948"/>
      <c r="F265" s="2948">
        <v>1500</v>
      </c>
      <c r="G265" s="2948"/>
    </row>
    <row r="266" spans="1:7" s="2782" customFormat="1" ht="14.25" customHeight="1">
      <c r="A266" s="2948" t="s">
        <v>305</v>
      </c>
      <c r="B266" s="2948" t="s">
        <v>3125</v>
      </c>
      <c r="C266" s="2948"/>
      <c r="D266" s="2948"/>
      <c r="E266" s="2948"/>
      <c r="F266" s="2948">
        <v>1500</v>
      </c>
      <c r="G266" s="2948"/>
    </row>
    <row r="267" spans="1:7" s="2782" customFormat="1" ht="14.25" customHeight="1">
      <c r="A267" s="2948" t="s">
        <v>305</v>
      </c>
      <c r="B267" s="2948" t="s">
        <v>3126</v>
      </c>
      <c r="C267" s="2948"/>
      <c r="D267" s="2948"/>
      <c r="E267" s="2948"/>
      <c r="F267" s="2948">
        <v>1500</v>
      </c>
      <c r="G267" s="2948"/>
    </row>
    <row r="268" spans="1:7" s="2782" customFormat="1" ht="14.25" customHeight="1">
      <c r="A268" s="2948" t="s">
        <v>305</v>
      </c>
      <c r="B268" s="2948" t="s">
        <v>3127</v>
      </c>
      <c r="C268" s="2948"/>
      <c r="D268" s="2948"/>
      <c r="E268" s="2948"/>
      <c r="F268" s="2948">
        <v>1290</v>
      </c>
      <c r="G268" s="2948"/>
    </row>
    <row r="269" spans="1:7" s="2782" customFormat="1" ht="14.25" customHeight="1">
      <c r="A269" s="2948" t="s">
        <v>305</v>
      </c>
      <c r="B269" s="2948" t="s">
        <v>3128</v>
      </c>
      <c r="C269" s="2948"/>
      <c r="D269" s="2948"/>
      <c r="E269" s="2948"/>
      <c r="F269" s="2948">
        <v>1150</v>
      </c>
      <c r="G269" s="2948"/>
    </row>
    <row r="270" spans="1:7" s="2782" customFormat="1" ht="14.25" customHeight="1">
      <c r="A270" s="2948" t="s">
        <v>305</v>
      </c>
      <c r="B270" s="2948" t="s">
        <v>3129</v>
      </c>
      <c r="C270" s="2948"/>
      <c r="D270" s="2948"/>
      <c r="E270" s="2948"/>
      <c r="F270" s="2948">
        <v>1380</v>
      </c>
      <c r="G270" s="2948"/>
    </row>
    <row r="271" spans="1:7" s="2782" customFormat="1" ht="14.25" customHeight="1">
      <c r="A271" s="2948" t="s">
        <v>305</v>
      </c>
      <c r="B271" s="2948" t="s">
        <v>3130</v>
      </c>
      <c r="C271" s="2948"/>
      <c r="D271" s="2948"/>
      <c r="E271" s="2948"/>
      <c r="F271" s="2948">
        <v>1460</v>
      </c>
      <c r="G271" s="2948"/>
    </row>
    <row r="272" spans="1:7" s="2782" customFormat="1" ht="14.25" customHeight="1">
      <c r="A272" s="2948" t="s">
        <v>305</v>
      </c>
      <c r="B272" s="2948" t="s">
        <v>3131</v>
      </c>
      <c r="C272" s="2948"/>
      <c r="D272" s="2948"/>
      <c r="E272" s="2948"/>
      <c r="F272" s="2948">
        <v>1460</v>
      </c>
      <c r="G272" s="2948"/>
    </row>
    <row r="273" spans="1:7" s="2782" customFormat="1" ht="14.25" customHeight="1">
      <c r="A273" s="2948" t="s">
        <v>305</v>
      </c>
      <c r="B273" s="2948" t="s">
        <v>3024</v>
      </c>
      <c r="C273" s="2948"/>
      <c r="D273" s="2948"/>
      <c r="E273" s="2948"/>
      <c r="F273" s="2948">
        <v>1490</v>
      </c>
      <c r="G273" s="2948"/>
    </row>
    <row r="274" spans="1:7" s="2782" customFormat="1" ht="14.25" customHeight="1">
      <c r="A274" s="2948" t="s">
        <v>305</v>
      </c>
      <c r="B274" s="2948" t="s">
        <v>3132</v>
      </c>
      <c r="C274" s="2948"/>
      <c r="D274" s="2948"/>
      <c r="E274" s="2948"/>
      <c r="F274" s="2948">
        <v>1490</v>
      </c>
      <c r="G274" s="2948"/>
    </row>
    <row r="275" spans="1:7" s="2782" customFormat="1" ht="14.25" customHeight="1">
      <c r="A275" s="2948" t="s">
        <v>305</v>
      </c>
      <c r="B275" s="2948" t="s">
        <v>3133</v>
      </c>
      <c r="C275" s="2948"/>
      <c r="D275" s="2948"/>
      <c r="E275" s="2948"/>
      <c r="F275" s="2948">
        <v>1220</v>
      </c>
      <c r="G275" s="2948"/>
    </row>
    <row r="276" spans="1:7" s="2782" customFormat="1" ht="14.25" customHeight="1" thickBot="1">
      <c r="A276" s="2956" t="s">
        <v>305</v>
      </c>
      <c r="B276" s="2958" t="s">
        <v>3134</v>
      </c>
      <c r="C276" s="2959"/>
      <c r="D276" s="2959"/>
      <c r="E276" s="2959"/>
      <c r="F276" s="2959">
        <v>1380</v>
      </c>
      <c r="G276" s="2959"/>
    </row>
    <row r="277" spans="1:7" s="2782" customFormat="1" ht="14.25" customHeight="1">
      <c r="A277" s="2953" t="s">
        <v>306</v>
      </c>
      <c r="B277" s="2944" t="s">
        <v>3135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3136</v>
      </c>
      <c r="C279" s="2948">
        <v>4760</v>
      </c>
      <c r="D279" s="2948">
        <v>4720</v>
      </c>
      <c r="E279" s="2948">
        <v>5540</v>
      </c>
      <c r="F279" s="2948">
        <v>810</v>
      </c>
      <c r="G279" s="2961">
        <v>2850</v>
      </c>
    </row>
    <row r="280" spans="1:7" s="2782" customFormat="1" ht="14.25" customHeight="1">
      <c r="A280" s="2948" t="s">
        <v>306</v>
      </c>
      <c r="B280" s="2948" t="s">
        <v>3137</v>
      </c>
      <c r="C280" s="2948">
        <v>4010</v>
      </c>
      <c r="D280" s="2948">
        <v>3950</v>
      </c>
      <c r="E280" s="2948">
        <v>4710</v>
      </c>
      <c r="F280" s="2948">
        <v>800</v>
      </c>
      <c r="G280" s="2961">
        <v>2390</v>
      </c>
    </row>
    <row r="281" spans="1:7" s="2782" customFormat="1" ht="14.25" customHeight="1">
      <c r="A281" s="2948" t="s">
        <v>306</v>
      </c>
      <c r="B281" s="2948" t="s">
        <v>3138</v>
      </c>
      <c r="C281" s="2948">
        <v>4480</v>
      </c>
      <c r="D281" s="2948">
        <v>4420</v>
      </c>
      <c r="E281" s="2948">
        <v>5230</v>
      </c>
      <c r="F281" s="2948">
        <v>870</v>
      </c>
      <c r="G281" s="2961">
        <v>2660</v>
      </c>
    </row>
    <row r="282" spans="1:7" s="2782" customFormat="1" ht="14.25" customHeight="1">
      <c r="A282" s="2948" t="s">
        <v>306</v>
      </c>
      <c r="B282" s="2948" t="s">
        <v>3139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2916</v>
      </c>
      <c r="C293" s="2948">
        <v>5320</v>
      </c>
      <c r="D293" s="2948">
        <v>5270</v>
      </c>
      <c r="E293" s="2948">
        <v>6160</v>
      </c>
      <c r="F293" s="2948">
        <v>990</v>
      </c>
      <c r="G293" s="2961">
        <v>3170</v>
      </c>
    </row>
    <row r="294" spans="1:7" s="2782" customFormat="1" ht="14.25" customHeight="1">
      <c r="A294" s="2948" t="s">
        <v>306</v>
      </c>
      <c r="B294" s="2948" t="s">
        <v>3142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3143</v>
      </c>
      <c r="C302" s="2948">
        <v>5520</v>
      </c>
      <c r="D302" s="2948">
        <v>5470</v>
      </c>
      <c r="E302" s="2948">
        <v>6410</v>
      </c>
      <c r="F302" s="2948">
        <v>950</v>
      </c>
      <c r="G302" s="2961">
        <v>3300</v>
      </c>
    </row>
    <row r="303" spans="1:7" s="2782" customFormat="1" ht="14.25" customHeight="1">
      <c r="A303" s="2948" t="s">
        <v>306</v>
      </c>
      <c r="B303" s="2948" t="s">
        <v>2955</v>
      </c>
      <c r="C303" s="2948">
        <v>5630</v>
      </c>
      <c r="D303" s="2948">
        <v>5590</v>
      </c>
      <c r="E303" s="2948">
        <v>6550</v>
      </c>
      <c r="F303" s="2948">
        <v>1010</v>
      </c>
      <c r="G303" s="2961">
        <v>3370</v>
      </c>
    </row>
    <row r="304" spans="1:7" s="2782" customFormat="1" ht="14.25" customHeight="1">
      <c r="A304" s="2948" t="s">
        <v>306</v>
      </c>
      <c r="B304" s="2948" t="s">
        <v>2962</v>
      </c>
      <c r="C304" s="2948">
        <v>5680</v>
      </c>
      <c r="D304" s="2948">
        <v>5620</v>
      </c>
      <c r="E304" s="2948">
        <v>6620</v>
      </c>
      <c r="F304" s="2948">
        <v>1050</v>
      </c>
      <c r="G304" s="2961">
        <v>3390</v>
      </c>
    </row>
    <row r="305" spans="1:7" s="2782" customFormat="1" ht="14.25" customHeight="1">
      <c r="A305" s="2948" t="s">
        <v>306</v>
      </c>
      <c r="B305" s="2948" t="s">
        <v>2968</v>
      </c>
      <c r="C305" s="2948">
        <v>5590</v>
      </c>
      <c r="D305" s="2948">
        <v>5530</v>
      </c>
      <c r="E305" s="2948">
        <v>6460</v>
      </c>
      <c r="F305" s="2948">
        <v>900</v>
      </c>
      <c r="G305" s="2961">
        <v>3340</v>
      </c>
    </row>
    <row r="306" spans="1:7" s="2782" customFormat="1" ht="14.25" customHeight="1">
      <c r="A306" s="2948" t="s">
        <v>306</v>
      </c>
      <c r="B306" s="2948" t="s">
        <v>3144</v>
      </c>
      <c r="C306" s="2948">
        <v>5560</v>
      </c>
      <c r="D306" s="2948">
        <v>5510</v>
      </c>
      <c r="E306" s="2948">
        <v>6440</v>
      </c>
      <c r="F306" s="2948">
        <v>900</v>
      </c>
      <c r="G306" s="2961">
        <v>3320</v>
      </c>
    </row>
    <row r="307" spans="1:7" s="2782" customFormat="1" ht="14.25" customHeight="1">
      <c r="A307" s="2948" t="s">
        <v>306</v>
      </c>
      <c r="B307" s="2948" t="s">
        <v>2980</v>
      </c>
      <c r="C307" s="2948">
        <v>5650</v>
      </c>
      <c r="D307" s="2948">
        <v>5600</v>
      </c>
      <c r="E307" s="2948">
        <v>6590</v>
      </c>
      <c r="F307" s="2948">
        <v>930</v>
      </c>
      <c r="G307" s="2961">
        <v>3380</v>
      </c>
    </row>
    <row r="308" spans="1:7" s="2782" customFormat="1" ht="14.25" customHeight="1">
      <c r="A308" s="2948" t="s">
        <v>306</v>
      </c>
      <c r="B308" s="2948" t="s">
        <v>3145</v>
      </c>
      <c r="C308" s="2948">
        <v>5620</v>
      </c>
      <c r="D308" s="2948">
        <v>5580</v>
      </c>
      <c r="E308" s="2948">
        <v>6540</v>
      </c>
      <c r="F308" s="2948">
        <v>910</v>
      </c>
      <c r="G308" s="2961">
        <v>3370</v>
      </c>
    </row>
    <row r="309" spans="1:7" s="2782" customFormat="1" ht="14.25" customHeight="1">
      <c r="A309" s="2948" t="s">
        <v>306</v>
      </c>
      <c r="B309" s="2948" t="s">
        <v>3146</v>
      </c>
      <c r="C309" s="2948">
        <v>5060</v>
      </c>
      <c r="D309" s="2948">
        <v>5020</v>
      </c>
      <c r="E309" s="2948">
        <v>6370</v>
      </c>
      <c r="F309" s="2948">
        <v>800</v>
      </c>
      <c r="G309" s="2961">
        <v>3020</v>
      </c>
    </row>
    <row r="310" spans="1:7" s="2782" customFormat="1" ht="14.25" customHeight="1">
      <c r="A310" s="2948" t="s">
        <v>306</v>
      </c>
      <c r="B310" s="2948" t="s">
        <v>2995</v>
      </c>
      <c r="C310" s="2948">
        <v>5150</v>
      </c>
      <c r="D310" s="2948">
        <v>5110</v>
      </c>
      <c r="E310" s="2948">
        <v>6500</v>
      </c>
      <c r="F310" s="2948">
        <v>880</v>
      </c>
      <c r="G310" s="2961">
        <v>3080</v>
      </c>
    </row>
    <row r="311" spans="1:7" s="2782" customFormat="1" ht="14.25" customHeight="1">
      <c r="A311" s="2948" t="s">
        <v>306</v>
      </c>
      <c r="B311" s="2948" t="s">
        <v>3147</v>
      </c>
      <c r="C311" s="2948">
        <v>4750</v>
      </c>
      <c r="D311" s="2948">
        <v>4710</v>
      </c>
      <c r="E311" s="2948">
        <v>5510</v>
      </c>
      <c r="F311" s="2948">
        <v>880</v>
      </c>
      <c r="G311" s="2961">
        <v>2840</v>
      </c>
    </row>
    <row r="312" spans="1:7" s="2782" customFormat="1" ht="14.25" customHeight="1">
      <c r="A312" s="2948" t="s">
        <v>306</v>
      </c>
      <c r="B312" s="2948" t="s">
        <v>3005</v>
      </c>
      <c r="C312" s="2948">
        <v>4690</v>
      </c>
      <c r="D312" s="2948">
        <v>4640</v>
      </c>
      <c r="E312" s="2948">
        <v>5420</v>
      </c>
      <c r="F312" s="2948">
        <v>800</v>
      </c>
      <c r="G312" s="2961">
        <v>2800</v>
      </c>
    </row>
    <row r="313" spans="1:7" s="2782" customFormat="1" ht="14.25" customHeight="1">
      <c r="A313" s="2948" t="s">
        <v>306</v>
      </c>
      <c r="B313" s="2948" t="s">
        <v>3010</v>
      </c>
      <c r="C313" s="2948">
        <v>4810</v>
      </c>
      <c r="D313" s="2948">
        <v>4760</v>
      </c>
      <c r="E313" s="2948">
        <v>5550</v>
      </c>
      <c r="F313" s="2948">
        <v>920</v>
      </c>
      <c r="G313" s="2961">
        <v>2870</v>
      </c>
    </row>
    <row r="314" spans="1:7" s="2782" customFormat="1" ht="14.25" customHeight="1">
      <c r="A314" s="2948" t="s">
        <v>306</v>
      </c>
      <c r="B314" s="2948" t="s">
        <v>3148</v>
      </c>
      <c r="C314" s="2948"/>
      <c r="D314" s="2948"/>
      <c r="E314" s="2948"/>
      <c r="F314" s="2948">
        <v>1020</v>
      </c>
      <c r="G314" s="2961"/>
    </row>
    <row r="315" spans="1:7" s="2782" customFormat="1" ht="14.25" customHeight="1">
      <c r="A315" s="2948" t="s">
        <v>306</v>
      </c>
      <c r="B315" s="2948" t="s">
        <v>3149</v>
      </c>
      <c r="C315" s="2948"/>
      <c r="D315" s="2948"/>
      <c r="E315" s="2948"/>
      <c r="F315" s="2948">
        <v>1050</v>
      </c>
      <c r="G315" s="2961"/>
    </row>
    <row r="316" spans="1:7" s="2782" customFormat="1" ht="14.25" customHeight="1">
      <c r="A316" s="2948" t="s">
        <v>306</v>
      </c>
      <c r="B316" s="2948" t="s">
        <v>3025</v>
      </c>
      <c r="C316" s="2948"/>
      <c r="D316" s="2948"/>
      <c r="E316" s="2948"/>
      <c r="F316" s="2948">
        <v>900</v>
      </c>
      <c r="G316" s="2961"/>
    </row>
    <row r="317" spans="1:7" s="2782" customFormat="1" ht="14.25" customHeight="1">
      <c r="A317" s="2948" t="s">
        <v>306</v>
      </c>
      <c r="B317" s="2948" t="s">
        <v>3150</v>
      </c>
      <c r="C317" s="2948"/>
      <c r="D317" s="2948"/>
      <c r="E317" s="2948"/>
      <c r="F317" s="2948">
        <v>920</v>
      </c>
      <c r="G317" s="2961"/>
    </row>
    <row r="318" spans="1:7" s="2782" customFormat="1" ht="14.25" customHeight="1">
      <c r="A318" s="2948" t="s">
        <v>306</v>
      </c>
      <c r="B318" s="2948" t="s">
        <v>3151</v>
      </c>
      <c r="C318" s="2948"/>
      <c r="D318" s="2948"/>
      <c r="E318" s="2948"/>
      <c r="F318" s="2948">
        <v>1080</v>
      </c>
      <c r="G318" s="2961"/>
    </row>
    <row r="319" spans="1:7" s="2782" customFormat="1" ht="14.25" customHeight="1">
      <c r="A319" s="2948" t="s">
        <v>306</v>
      </c>
      <c r="B319" s="2948" t="s">
        <v>3038</v>
      </c>
      <c r="C319" s="2948"/>
      <c r="D319" s="2948"/>
      <c r="E319" s="2948"/>
      <c r="F319" s="2948">
        <v>1020</v>
      </c>
      <c r="G319" s="2961"/>
    </row>
    <row r="320" spans="1:7" s="2782" customFormat="1" ht="14.25" customHeight="1">
      <c r="A320" s="2948" t="s">
        <v>306</v>
      </c>
      <c r="B320" s="2948" t="s">
        <v>3041</v>
      </c>
      <c r="C320" s="2948"/>
      <c r="D320" s="2948"/>
      <c r="E320" s="2948"/>
      <c r="F320" s="2948">
        <v>1050</v>
      </c>
      <c r="G320" s="2961"/>
    </row>
    <row r="321" spans="1:7" s="2782" customFormat="1" ht="14.25" customHeight="1">
      <c r="A321" s="2948" t="s">
        <v>306</v>
      </c>
      <c r="B321" s="2948" t="s">
        <v>3043</v>
      </c>
      <c r="C321" s="2948"/>
      <c r="D321" s="2948"/>
      <c r="E321" s="2948"/>
      <c r="F321" s="2948">
        <v>960</v>
      </c>
      <c r="G321" s="2961"/>
    </row>
    <row r="322" spans="1:7" s="2782" customFormat="1" ht="14.25" customHeight="1">
      <c r="A322" s="2948" t="s">
        <v>306</v>
      </c>
      <c r="B322" s="2948" t="s">
        <v>3045</v>
      </c>
      <c r="C322" s="2948"/>
      <c r="D322" s="2948"/>
      <c r="E322" s="2948"/>
      <c r="F322" s="2948">
        <v>960</v>
      </c>
      <c r="G322" s="2961"/>
    </row>
    <row r="323" spans="1:7" s="2782" customFormat="1" ht="14.25" customHeight="1">
      <c r="A323" s="2948" t="s">
        <v>306</v>
      </c>
      <c r="B323" s="2948" t="s">
        <v>3047</v>
      </c>
      <c r="C323" s="2948"/>
      <c r="D323" s="2948"/>
      <c r="E323" s="2948"/>
      <c r="F323" s="2948">
        <v>880</v>
      </c>
      <c r="G323" s="2961"/>
    </row>
    <row r="324" spans="1:7" s="2782" customFormat="1" ht="14.25" customHeight="1">
      <c r="A324" s="2948" t="s">
        <v>306</v>
      </c>
      <c r="B324" s="2948" t="s">
        <v>3049</v>
      </c>
      <c r="C324" s="2948"/>
      <c r="D324" s="2948"/>
      <c r="E324" s="2948"/>
      <c r="F324" s="2948">
        <v>930</v>
      </c>
      <c r="G324" s="2961"/>
    </row>
    <row r="325" spans="1:7" s="2782" customFormat="1" ht="14.25" customHeight="1">
      <c r="A325" s="2948" t="s">
        <v>306</v>
      </c>
      <c r="B325" s="2949" t="s">
        <v>3051</v>
      </c>
      <c r="C325" s="2948"/>
      <c r="D325" s="2948"/>
      <c r="E325" s="2948"/>
      <c r="F325" s="2948">
        <v>900</v>
      </c>
      <c r="G325" s="2961"/>
    </row>
    <row r="326" spans="1:7" s="2782" customFormat="1" ht="14.25" customHeight="1" thickBot="1">
      <c r="A326" s="2962" t="s">
        <v>306</v>
      </c>
      <c r="B326" s="2955" t="s">
        <v>3053</v>
      </c>
      <c r="C326" s="2955"/>
      <c r="D326" s="2955"/>
      <c r="E326" s="2955"/>
      <c r="F326" s="2955">
        <v>790</v>
      </c>
      <c r="G326" s="2963"/>
    </row>
    <row r="327" spans="1:7" s="2782" customFormat="1" ht="14.25" customHeight="1">
      <c r="A327" s="2953" t="s">
        <v>307</v>
      </c>
      <c r="B327" s="2944" t="s">
        <v>3152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3153</v>
      </c>
      <c r="C329" s="2948">
        <v>2730</v>
      </c>
      <c r="D329" s="2948">
        <v>2690</v>
      </c>
      <c r="E329" s="2948">
        <v>3100</v>
      </c>
      <c r="F329" s="2948">
        <v>660</v>
      </c>
      <c r="G329" s="2948">
        <v>1610</v>
      </c>
    </row>
    <row r="330" spans="1:7" s="2782" customFormat="1" ht="14.25" customHeight="1">
      <c r="A330" s="2948" t="s">
        <v>307</v>
      </c>
      <c r="B330" s="2948" t="s">
        <v>3154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2887</v>
      </c>
      <c r="C332" s="2948">
        <v>3520</v>
      </c>
      <c r="D332" s="2948">
        <v>3480</v>
      </c>
      <c r="E332" s="2948">
        <v>3830</v>
      </c>
      <c r="F332" s="2948">
        <v>720</v>
      </c>
      <c r="G332" s="2948">
        <v>2090</v>
      </c>
    </row>
    <row r="333" spans="1:7" s="2782" customFormat="1" ht="14.25" customHeight="1">
      <c r="A333" s="2948" t="s">
        <v>307</v>
      </c>
      <c r="B333" s="2948" t="s">
        <v>3155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2897</v>
      </c>
      <c r="C336" s="2948">
        <v>3570</v>
      </c>
      <c r="D336" s="2948">
        <v>3530</v>
      </c>
      <c r="E336" s="2948">
        <v>3880</v>
      </c>
      <c r="F336" s="2948">
        <v>770</v>
      </c>
      <c r="G336" s="2948">
        <v>2110</v>
      </c>
    </row>
    <row r="337" spans="1:10" s="2782" customFormat="1" ht="14.25" customHeight="1">
      <c r="A337" s="2948" t="s">
        <v>307</v>
      </c>
      <c r="B337" s="2948" t="s">
        <v>3156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2922</v>
      </c>
      <c r="C345" s="2948">
        <v>3190</v>
      </c>
      <c r="D345" s="2948">
        <v>3140</v>
      </c>
      <c r="E345" s="2948">
        <v>3450</v>
      </c>
      <c r="F345" s="2948">
        <v>720</v>
      </c>
      <c r="G345" s="2948">
        <v>1880</v>
      </c>
      <c r="J345" s="2782"/>
    </row>
    <row r="346" spans="1:10">
      <c r="A346" s="2948" t="s">
        <v>307</v>
      </c>
      <c r="B346" s="2948" t="s">
        <v>3159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2931</v>
      </c>
      <c r="C348" s="2948">
        <v>4000</v>
      </c>
      <c r="D348" s="2948">
        <v>3950</v>
      </c>
      <c r="E348" s="2948">
        <v>4430</v>
      </c>
      <c r="F348" s="2948">
        <v>760</v>
      </c>
      <c r="G348" s="2948">
        <v>2360</v>
      </c>
      <c r="J348" s="2782"/>
    </row>
    <row r="349" spans="1:10">
      <c r="A349" s="2948" t="s">
        <v>307</v>
      </c>
      <c r="B349" s="2948" t="s">
        <v>2936</v>
      </c>
      <c r="C349" s="2948">
        <v>3820</v>
      </c>
      <c r="D349" s="2948">
        <v>3780</v>
      </c>
      <c r="E349" s="2948">
        <v>4170</v>
      </c>
      <c r="F349" s="2948">
        <v>710</v>
      </c>
      <c r="G349" s="2948">
        <v>2260</v>
      </c>
      <c r="J349" s="2782"/>
    </row>
    <row r="350" spans="1:10">
      <c r="A350" s="2948" t="s">
        <v>307</v>
      </c>
      <c r="B350" s="2948" t="s">
        <v>3160</v>
      </c>
      <c r="C350" s="2948">
        <v>3760</v>
      </c>
      <c r="D350" s="2948">
        <v>3730</v>
      </c>
      <c r="E350" s="2948">
        <v>4100</v>
      </c>
      <c r="F350" s="2948">
        <v>800</v>
      </c>
      <c r="G350" s="2948">
        <v>2230</v>
      </c>
      <c r="J350" s="2782"/>
    </row>
    <row r="351" spans="1:10">
      <c r="A351" s="2948" t="s">
        <v>307</v>
      </c>
      <c r="B351" s="2948" t="s">
        <v>2944</v>
      </c>
      <c r="C351" s="2948">
        <v>3610</v>
      </c>
      <c r="D351" s="2948">
        <v>3580</v>
      </c>
      <c r="E351" s="2948">
        <v>3930</v>
      </c>
      <c r="F351" s="2948">
        <v>700</v>
      </c>
      <c r="G351" s="2948">
        <v>2140</v>
      </c>
      <c r="J351" s="2782"/>
    </row>
    <row r="352" spans="1:10">
      <c r="A352" s="2948" t="s">
        <v>307</v>
      </c>
      <c r="B352" s="2948" t="s">
        <v>2949</v>
      </c>
      <c r="C352" s="2948">
        <v>3670</v>
      </c>
      <c r="D352" s="2948">
        <v>3630</v>
      </c>
      <c r="E352" s="2948">
        <v>4000</v>
      </c>
      <c r="F352" s="2948">
        <v>750</v>
      </c>
      <c r="G352" s="2948">
        <v>2180</v>
      </c>
    </row>
    <row r="353" spans="1:7" s="2783" customFormat="1">
      <c r="A353" s="2948" t="s">
        <v>307</v>
      </c>
      <c r="B353" s="2948" t="s">
        <v>3161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2969</v>
      </c>
      <c r="C355" s="2948">
        <v>3650</v>
      </c>
      <c r="D355" s="2948">
        <v>3610</v>
      </c>
      <c r="E355" s="2948">
        <v>4200</v>
      </c>
      <c r="F355" s="2948">
        <v>640</v>
      </c>
      <c r="G355" s="2948">
        <v>2160</v>
      </c>
    </row>
    <row r="356" spans="1:7" s="2783" customFormat="1">
      <c r="A356" s="2948" t="s">
        <v>307</v>
      </c>
      <c r="B356" s="2948" t="s">
        <v>2976</v>
      </c>
      <c r="C356" s="2948">
        <v>3260</v>
      </c>
      <c r="D356" s="2948">
        <v>3230</v>
      </c>
      <c r="E356" s="2948">
        <v>3740</v>
      </c>
      <c r="F356" s="2948">
        <v>600</v>
      </c>
      <c r="G356" s="2948">
        <v>1930</v>
      </c>
    </row>
    <row r="357" spans="1:7" s="2783" customFormat="1" ht="12" thickBot="1">
      <c r="A357" s="2956" t="s">
        <v>307</v>
      </c>
      <c r="B357" s="2959" t="s">
        <v>3162</v>
      </c>
      <c r="C357" s="2959">
        <v>3690</v>
      </c>
      <c r="D357" s="2959">
        <v>3650</v>
      </c>
      <c r="E357" s="2959">
        <v>4020</v>
      </c>
      <c r="F357" s="2959">
        <v>700</v>
      </c>
      <c r="G357" s="2959">
        <v>2190</v>
      </c>
    </row>
    <row r="358" spans="1:7" s="2783" customFormat="1">
      <c r="A358" s="2953" t="s">
        <v>3163</v>
      </c>
      <c r="B358" s="2944" t="s">
        <v>3164</v>
      </c>
      <c r="C358" s="2944">
        <v>2080</v>
      </c>
      <c r="D358" s="2944">
        <v>2040</v>
      </c>
      <c r="E358" s="2944">
        <v>2010</v>
      </c>
      <c r="F358" s="2944">
        <v>530</v>
      </c>
      <c r="G358" s="2960">
        <v>1230</v>
      </c>
    </row>
    <row r="359" spans="1:7" s="2783" customFormat="1">
      <c r="A359" s="2948" t="s">
        <v>3163</v>
      </c>
      <c r="B359" s="2948" t="s">
        <v>3165</v>
      </c>
      <c r="C359" s="2948">
        <v>1850</v>
      </c>
      <c r="D359" s="2948">
        <v>1820</v>
      </c>
      <c r="E359" s="2948">
        <v>1780</v>
      </c>
      <c r="F359" s="2948">
        <v>520</v>
      </c>
      <c r="G359" s="2961">
        <v>1100</v>
      </c>
    </row>
    <row r="360" spans="1:7" s="2783" customFormat="1">
      <c r="A360" s="2948" t="s">
        <v>3163</v>
      </c>
      <c r="B360" s="2948" t="s">
        <v>3166</v>
      </c>
      <c r="C360" s="2948">
        <v>2020</v>
      </c>
      <c r="D360" s="2948">
        <v>1990</v>
      </c>
      <c r="E360" s="2948">
        <v>1950</v>
      </c>
      <c r="F360" s="2948">
        <v>500</v>
      </c>
      <c r="G360" s="2961">
        <v>1200</v>
      </c>
    </row>
    <row r="361" spans="1:7" s="2783" customFormat="1">
      <c r="A361" s="2948" t="s">
        <v>3163</v>
      </c>
      <c r="B361" s="2948" t="s">
        <v>153</v>
      </c>
      <c r="C361" s="2948">
        <v>2260</v>
      </c>
      <c r="D361" s="2948">
        <v>2220</v>
      </c>
      <c r="E361" s="2948">
        <v>2180</v>
      </c>
      <c r="F361" s="2948">
        <v>580</v>
      </c>
      <c r="G361" s="2961">
        <v>1340</v>
      </c>
    </row>
    <row r="362" spans="1:7" s="2783" customFormat="1">
      <c r="A362" s="2948" t="s">
        <v>3163</v>
      </c>
      <c r="B362" s="2948" t="s">
        <v>3167</v>
      </c>
      <c r="C362" s="2948">
        <v>2650</v>
      </c>
      <c r="D362" s="2948">
        <v>2610</v>
      </c>
      <c r="E362" s="2948">
        <v>2570</v>
      </c>
      <c r="F362" s="2948">
        <v>630</v>
      </c>
      <c r="G362" s="2961">
        <v>1570</v>
      </c>
    </row>
    <row r="363" spans="1:7" s="2783" customFormat="1">
      <c r="A363" s="2948" t="s">
        <v>3163</v>
      </c>
      <c r="B363" s="2948" t="s">
        <v>2888</v>
      </c>
      <c r="C363" s="2948">
        <v>2390</v>
      </c>
      <c r="D363" s="2948">
        <v>2360</v>
      </c>
      <c r="E363" s="2948">
        <v>2320</v>
      </c>
      <c r="F363" s="2948">
        <v>600</v>
      </c>
      <c r="G363" s="2961">
        <v>1420</v>
      </c>
    </row>
    <row r="364" spans="1:7" s="2783" customFormat="1">
      <c r="A364" s="2948" t="s">
        <v>3163</v>
      </c>
      <c r="B364" s="2948" t="s">
        <v>3168</v>
      </c>
      <c r="C364" s="2948">
        <v>2050</v>
      </c>
      <c r="D364" s="2948">
        <v>2030</v>
      </c>
      <c r="E364" s="2948">
        <v>1990</v>
      </c>
      <c r="F364" s="2948">
        <v>550</v>
      </c>
      <c r="G364" s="2961">
        <v>1220</v>
      </c>
    </row>
    <row r="365" spans="1:7" s="2783" customFormat="1">
      <c r="A365" s="2948" t="s">
        <v>3163</v>
      </c>
      <c r="B365" s="2948" t="s">
        <v>200</v>
      </c>
      <c r="C365" s="2948">
        <v>2140</v>
      </c>
      <c r="D365" s="2948">
        <v>2100</v>
      </c>
      <c r="E365" s="2948">
        <v>2060</v>
      </c>
      <c r="F365" s="2948">
        <v>540</v>
      </c>
      <c r="G365" s="2961">
        <v>1270</v>
      </c>
    </row>
    <row r="366" spans="1:7" s="2783" customFormat="1">
      <c r="A366" s="2948" t="s">
        <v>3163</v>
      </c>
      <c r="B366" s="2948" t="s">
        <v>2895</v>
      </c>
      <c r="C366" s="2948">
        <v>2410</v>
      </c>
      <c r="D366" s="2948">
        <v>2370</v>
      </c>
      <c r="E366" s="2948">
        <v>2330</v>
      </c>
      <c r="F366" s="2948">
        <v>570</v>
      </c>
      <c r="G366" s="2961">
        <v>1440</v>
      </c>
    </row>
    <row r="367" spans="1:7" s="2783" customFormat="1">
      <c r="A367" s="2948" t="s">
        <v>3163</v>
      </c>
      <c r="B367" s="2948" t="s">
        <v>3169</v>
      </c>
      <c r="C367" s="2948">
        <v>2300</v>
      </c>
      <c r="D367" s="2948">
        <v>2260</v>
      </c>
      <c r="E367" s="2948">
        <v>2220</v>
      </c>
      <c r="F367" s="2948">
        <v>560</v>
      </c>
      <c r="G367" s="2961">
        <v>1370</v>
      </c>
    </row>
    <row r="368" spans="1:7" s="2783" customFormat="1">
      <c r="A368" s="2948" t="s">
        <v>3163</v>
      </c>
      <c r="B368" s="2948" t="s">
        <v>3170</v>
      </c>
      <c r="C368" s="2948">
        <v>2430</v>
      </c>
      <c r="D368" s="2948">
        <v>2390</v>
      </c>
      <c r="E368" s="2948">
        <v>2350</v>
      </c>
      <c r="F368" s="2948">
        <v>570</v>
      </c>
      <c r="G368" s="2961">
        <v>1450</v>
      </c>
    </row>
    <row r="369" spans="1:7" s="2783" customFormat="1">
      <c r="A369" s="2948" t="s">
        <v>3163</v>
      </c>
      <c r="B369" s="2948" t="s">
        <v>214</v>
      </c>
      <c r="C369" s="2948">
        <v>2320</v>
      </c>
      <c r="D369" s="2948">
        <v>2290</v>
      </c>
      <c r="E369" s="2948">
        <v>2250</v>
      </c>
      <c r="F369" s="2948">
        <v>550</v>
      </c>
      <c r="G369" s="2961">
        <v>1380</v>
      </c>
    </row>
    <row r="370" spans="1:7" s="2783" customFormat="1">
      <c r="A370" s="2948" t="s">
        <v>3163</v>
      </c>
      <c r="B370" s="2948" t="s">
        <v>221</v>
      </c>
      <c r="C370" s="2948">
        <v>2190</v>
      </c>
      <c r="D370" s="2948">
        <v>2170</v>
      </c>
      <c r="E370" s="2948">
        <v>2130</v>
      </c>
      <c r="F370" s="2948">
        <v>530</v>
      </c>
      <c r="G370" s="2961">
        <v>1310</v>
      </c>
    </row>
    <row r="371" spans="1:7" s="2783" customFormat="1">
      <c r="A371" s="2948" t="s">
        <v>3163</v>
      </c>
      <c r="B371" s="2948" t="s">
        <v>229</v>
      </c>
      <c r="C371" s="2948">
        <v>2460</v>
      </c>
      <c r="D371" s="2948">
        <v>2420</v>
      </c>
      <c r="E371" s="2948">
        <v>2370</v>
      </c>
      <c r="F371" s="2948">
        <v>560</v>
      </c>
      <c r="G371" s="2961">
        <v>1470</v>
      </c>
    </row>
    <row r="372" spans="1:7" s="2783" customFormat="1">
      <c r="A372" s="2948" t="s">
        <v>3163</v>
      </c>
      <c r="B372" s="2948" t="s">
        <v>3171</v>
      </c>
      <c r="C372" s="2948">
        <v>2250</v>
      </c>
      <c r="D372" s="2948">
        <v>2210</v>
      </c>
      <c r="E372" s="2948">
        <v>2180</v>
      </c>
      <c r="F372" s="2948">
        <v>550</v>
      </c>
      <c r="G372" s="2961">
        <v>1340</v>
      </c>
    </row>
    <row r="373" spans="1:7" s="2783" customFormat="1">
      <c r="A373" s="2948" t="s">
        <v>3163</v>
      </c>
      <c r="B373" s="2948" t="s">
        <v>258</v>
      </c>
      <c r="C373" s="2948">
        <v>2210</v>
      </c>
      <c r="D373" s="2948">
        <v>2190</v>
      </c>
      <c r="E373" s="2948">
        <v>2150</v>
      </c>
      <c r="F373" s="2948">
        <v>530</v>
      </c>
      <c r="G373" s="2961">
        <v>1320</v>
      </c>
    </row>
    <row r="374" spans="1:7" s="2783" customFormat="1">
      <c r="A374" s="2948" t="s">
        <v>3163</v>
      </c>
      <c r="B374" s="2948" t="s">
        <v>266</v>
      </c>
      <c r="C374" s="2948">
        <v>2320</v>
      </c>
      <c r="D374" s="2948">
        <v>2280</v>
      </c>
      <c r="E374" s="2948">
        <v>2230</v>
      </c>
      <c r="F374" s="2948">
        <v>580</v>
      </c>
      <c r="G374" s="2961">
        <v>1380</v>
      </c>
    </row>
    <row r="375" spans="1:7" s="2783" customFormat="1">
      <c r="A375" s="2948" t="s">
        <v>3163</v>
      </c>
      <c r="B375" s="2948" t="s">
        <v>3172</v>
      </c>
      <c r="C375" s="2948">
        <v>2090</v>
      </c>
      <c r="D375" s="2948">
        <v>2050</v>
      </c>
      <c r="E375" s="2948">
        <v>2020</v>
      </c>
      <c r="F375" s="2948">
        <v>520</v>
      </c>
      <c r="G375" s="2961">
        <v>1240</v>
      </c>
    </row>
    <row r="376" spans="1:7" s="2783" customFormat="1">
      <c r="A376" s="2948" t="s">
        <v>3163</v>
      </c>
      <c r="B376" s="2948" t="s">
        <v>277</v>
      </c>
      <c r="C376" s="2948">
        <v>2010</v>
      </c>
      <c r="D376" s="2948">
        <v>1980</v>
      </c>
      <c r="E376" s="2948">
        <v>1940</v>
      </c>
      <c r="F376" s="2948">
        <v>540</v>
      </c>
      <c r="G376" s="2961">
        <v>1190</v>
      </c>
    </row>
    <row r="377" spans="1:7" s="2783" customFormat="1" ht="12" thickBot="1">
      <c r="A377" s="2956" t="s">
        <v>3163</v>
      </c>
      <c r="B377" s="2959" t="s">
        <v>2925</v>
      </c>
      <c r="C377" s="2959">
        <v>1930</v>
      </c>
      <c r="D377" s="2959">
        <v>1890</v>
      </c>
      <c r="E377" s="2959">
        <v>1860</v>
      </c>
      <c r="F377" s="2959">
        <v>530</v>
      </c>
      <c r="G377" s="2964">
        <v>1150</v>
      </c>
    </row>
    <row r="378" spans="1:7" s="2783" customFormat="1">
      <c r="A378" s="2965" t="s">
        <v>3173</v>
      </c>
      <c r="B378" s="2944" t="s">
        <v>3174</v>
      </c>
      <c r="C378" s="2944">
        <v>1520</v>
      </c>
      <c r="D378" s="2944">
        <v>1490</v>
      </c>
      <c r="E378" s="2944">
        <v>1460</v>
      </c>
      <c r="F378" s="2944">
        <v>460</v>
      </c>
      <c r="G378" s="2960">
        <v>940</v>
      </c>
    </row>
    <row r="379" spans="1:7" s="2783" customFormat="1">
      <c r="A379" s="2966" t="s">
        <v>3173</v>
      </c>
      <c r="B379" s="2948" t="s">
        <v>3175</v>
      </c>
      <c r="C379" s="2948">
        <v>1500</v>
      </c>
      <c r="D379" s="2948">
        <v>1470</v>
      </c>
      <c r="E379" s="2948">
        <v>1430</v>
      </c>
      <c r="F379" s="2948">
        <v>460</v>
      </c>
      <c r="G379" s="2961">
        <v>920</v>
      </c>
    </row>
    <row r="380" spans="1:7" s="2783" customFormat="1">
      <c r="A380" s="2966" t="s">
        <v>3173</v>
      </c>
      <c r="B380" s="2948" t="s">
        <v>3176</v>
      </c>
      <c r="C380" s="2948">
        <v>1620</v>
      </c>
      <c r="D380" s="2948">
        <v>1590</v>
      </c>
      <c r="E380" s="2948">
        <v>1560</v>
      </c>
      <c r="F380" s="2948">
        <v>480</v>
      </c>
      <c r="G380" s="2961">
        <v>1000</v>
      </c>
    </row>
    <row r="381" spans="1:7" s="2783" customFormat="1">
      <c r="A381" s="2966" t="s">
        <v>3173</v>
      </c>
      <c r="B381" s="2948" t="s">
        <v>3177</v>
      </c>
      <c r="C381" s="2948">
        <v>1460</v>
      </c>
      <c r="D381" s="2948">
        <v>1430</v>
      </c>
      <c r="E381" s="2948">
        <v>1390</v>
      </c>
      <c r="F381" s="2948">
        <v>450</v>
      </c>
      <c r="G381" s="2961">
        <v>900</v>
      </c>
    </row>
    <row r="382" spans="1:7" s="2783" customFormat="1">
      <c r="A382" s="2966" t="s">
        <v>3173</v>
      </c>
      <c r="B382" s="2948" t="s">
        <v>3178</v>
      </c>
      <c r="C382" s="2948">
        <v>1310</v>
      </c>
      <c r="D382" s="2948">
        <v>1280</v>
      </c>
      <c r="E382" s="2948">
        <v>1250</v>
      </c>
      <c r="F382" s="2948">
        <v>440</v>
      </c>
      <c r="G382" s="2961">
        <v>800</v>
      </c>
    </row>
    <row r="383" spans="1:7" s="2783" customFormat="1">
      <c r="A383" s="2966" t="s">
        <v>3173</v>
      </c>
      <c r="B383" s="2948" t="s">
        <v>3179</v>
      </c>
      <c r="C383" s="2948">
        <v>1260</v>
      </c>
      <c r="D383" s="2948">
        <v>1230</v>
      </c>
      <c r="E383" s="2948">
        <v>1200</v>
      </c>
      <c r="F383" s="2948">
        <v>420</v>
      </c>
      <c r="G383" s="2961">
        <v>770</v>
      </c>
    </row>
    <row r="384" spans="1:7" s="2783" customFormat="1" ht="12" thickBot="1">
      <c r="A384" s="2967" t="s">
        <v>3173</v>
      </c>
      <c r="B384" s="2955" t="s">
        <v>3180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A36" sqref="A36:XFD36"/>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45748</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2309</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73"/>
  <sheetViews>
    <sheetView zoomScale="115" zoomScaleSheetLayoutView="100" workbookViewId="0">
      <selection activeCell="K24" sqref="K24"/>
    </sheetView>
  </sheetViews>
  <sheetFormatPr defaultRowHeight="13.5"/>
  <cols>
    <col min="1" max="1" width="6.875" style="3163" customWidth="1"/>
    <col min="2" max="2" width="12.125" style="3163" customWidth="1"/>
    <col min="3" max="3" width="10.875" style="3163" customWidth="1"/>
    <col min="4" max="4" width="14.75" style="3163" customWidth="1"/>
    <col min="5" max="5" width="14.875" style="3163" customWidth="1"/>
    <col min="6" max="6" width="12.5" style="3163" customWidth="1"/>
    <col min="7" max="7" width="14.25" style="3163" customWidth="1"/>
    <col min="8" max="256" width="9" style="3163"/>
    <col min="257" max="257" width="6.875" style="3163" customWidth="1"/>
    <col min="258" max="258" width="12.125" style="3163" customWidth="1"/>
    <col min="259" max="259" width="10.875" style="3163" customWidth="1"/>
    <col min="260" max="260" width="14.75" style="3163" customWidth="1"/>
    <col min="261" max="261" width="14.875" style="3163" customWidth="1"/>
    <col min="262" max="262" width="12.5" style="3163" customWidth="1"/>
    <col min="263" max="263" width="14.25" style="3163" customWidth="1"/>
    <col min="264" max="512" width="9" style="3163"/>
    <col min="513" max="513" width="6.875" style="3163" customWidth="1"/>
    <col min="514" max="514" width="12.125" style="3163" customWidth="1"/>
    <col min="515" max="515" width="10.875" style="3163" customWidth="1"/>
    <col min="516" max="516" width="14.75" style="3163" customWidth="1"/>
    <col min="517" max="517" width="14.875" style="3163" customWidth="1"/>
    <col min="518" max="518" width="12.5" style="3163" customWidth="1"/>
    <col min="519" max="519" width="14.25" style="3163" customWidth="1"/>
    <col min="520" max="768" width="9" style="3163"/>
    <col min="769" max="769" width="6.875" style="3163" customWidth="1"/>
    <col min="770" max="770" width="12.125" style="3163" customWidth="1"/>
    <col min="771" max="771" width="10.875" style="3163" customWidth="1"/>
    <col min="772" max="772" width="14.75" style="3163" customWidth="1"/>
    <col min="773" max="773" width="14.875" style="3163" customWidth="1"/>
    <col min="774" max="774" width="12.5" style="3163" customWidth="1"/>
    <col min="775" max="775" width="14.25" style="3163" customWidth="1"/>
    <col min="776" max="1024" width="9" style="3163"/>
    <col min="1025" max="1025" width="6.875" style="3163" customWidth="1"/>
    <col min="1026" max="1026" width="12.125" style="3163" customWidth="1"/>
    <col min="1027" max="1027" width="10.875" style="3163" customWidth="1"/>
    <col min="1028" max="1028" width="14.75" style="3163" customWidth="1"/>
    <col min="1029" max="1029" width="14.875" style="3163" customWidth="1"/>
    <col min="1030" max="1030" width="12.5" style="3163" customWidth="1"/>
    <col min="1031" max="1031" width="14.25" style="3163" customWidth="1"/>
    <col min="1032" max="1280" width="9" style="3163"/>
    <col min="1281" max="1281" width="6.875" style="3163" customWidth="1"/>
    <col min="1282" max="1282" width="12.125" style="3163" customWidth="1"/>
    <col min="1283" max="1283" width="10.875" style="3163" customWidth="1"/>
    <col min="1284" max="1284" width="14.75" style="3163" customWidth="1"/>
    <col min="1285" max="1285" width="14.875" style="3163" customWidth="1"/>
    <col min="1286" max="1286" width="12.5" style="3163" customWidth="1"/>
    <col min="1287" max="1287" width="14.25" style="3163" customWidth="1"/>
    <col min="1288" max="1536" width="9" style="3163"/>
    <col min="1537" max="1537" width="6.875" style="3163" customWidth="1"/>
    <col min="1538" max="1538" width="12.125" style="3163" customWidth="1"/>
    <col min="1539" max="1539" width="10.875" style="3163" customWidth="1"/>
    <col min="1540" max="1540" width="14.75" style="3163" customWidth="1"/>
    <col min="1541" max="1541" width="14.875" style="3163" customWidth="1"/>
    <col min="1542" max="1542" width="12.5" style="3163" customWidth="1"/>
    <col min="1543" max="1543" width="14.25" style="3163" customWidth="1"/>
    <col min="1544" max="1792" width="9" style="3163"/>
    <col min="1793" max="1793" width="6.875" style="3163" customWidth="1"/>
    <col min="1794" max="1794" width="12.125" style="3163" customWidth="1"/>
    <col min="1795" max="1795" width="10.875" style="3163" customWidth="1"/>
    <col min="1796" max="1796" width="14.75" style="3163" customWidth="1"/>
    <col min="1797" max="1797" width="14.875" style="3163" customWidth="1"/>
    <col min="1798" max="1798" width="12.5" style="3163" customWidth="1"/>
    <col min="1799" max="1799" width="14.25" style="3163" customWidth="1"/>
    <col min="1800" max="2048" width="9" style="3163"/>
    <col min="2049" max="2049" width="6.875" style="3163" customWidth="1"/>
    <col min="2050" max="2050" width="12.125" style="3163" customWidth="1"/>
    <col min="2051" max="2051" width="10.875" style="3163" customWidth="1"/>
    <col min="2052" max="2052" width="14.75" style="3163" customWidth="1"/>
    <col min="2053" max="2053" width="14.875" style="3163" customWidth="1"/>
    <col min="2054" max="2054" width="12.5" style="3163" customWidth="1"/>
    <col min="2055" max="2055" width="14.25" style="3163" customWidth="1"/>
    <col min="2056" max="2304" width="9" style="3163"/>
    <col min="2305" max="2305" width="6.875" style="3163" customWidth="1"/>
    <col min="2306" max="2306" width="12.125" style="3163" customWidth="1"/>
    <col min="2307" max="2307" width="10.875" style="3163" customWidth="1"/>
    <col min="2308" max="2308" width="14.75" style="3163" customWidth="1"/>
    <col min="2309" max="2309" width="14.875" style="3163" customWidth="1"/>
    <col min="2310" max="2310" width="12.5" style="3163" customWidth="1"/>
    <col min="2311" max="2311" width="14.25" style="3163" customWidth="1"/>
    <col min="2312" max="2560" width="9" style="3163"/>
    <col min="2561" max="2561" width="6.875" style="3163" customWidth="1"/>
    <col min="2562" max="2562" width="12.125" style="3163" customWidth="1"/>
    <col min="2563" max="2563" width="10.875" style="3163" customWidth="1"/>
    <col min="2564" max="2564" width="14.75" style="3163" customWidth="1"/>
    <col min="2565" max="2565" width="14.875" style="3163" customWidth="1"/>
    <col min="2566" max="2566" width="12.5" style="3163" customWidth="1"/>
    <col min="2567" max="2567" width="14.25" style="3163" customWidth="1"/>
    <col min="2568" max="2816" width="9" style="3163"/>
    <col min="2817" max="2817" width="6.875" style="3163" customWidth="1"/>
    <col min="2818" max="2818" width="12.125" style="3163" customWidth="1"/>
    <col min="2819" max="2819" width="10.875" style="3163" customWidth="1"/>
    <col min="2820" max="2820" width="14.75" style="3163" customWidth="1"/>
    <col min="2821" max="2821" width="14.875" style="3163" customWidth="1"/>
    <col min="2822" max="2822" width="12.5" style="3163" customWidth="1"/>
    <col min="2823" max="2823" width="14.25" style="3163" customWidth="1"/>
    <col min="2824" max="3072" width="9" style="3163"/>
    <col min="3073" max="3073" width="6.875" style="3163" customWidth="1"/>
    <col min="3074" max="3074" width="12.125" style="3163" customWidth="1"/>
    <col min="3075" max="3075" width="10.875" style="3163" customWidth="1"/>
    <col min="3076" max="3076" width="14.75" style="3163" customWidth="1"/>
    <col min="3077" max="3077" width="14.875" style="3163" customWidth="1"/>
    <col min="3078" max="3078" width="12.5" style="3163" customWidth="1"/>
    <col min="3079" max="3079" width="14.25" style="3163" customWidth="1"/>
    <col min="3080" max="3328" width="9" style="3163"/>
    <col min="3329" max="3329" width="6.875" style="3163" customWidth="1"/>
    <col min="3330" max="3330" width="12.125" style="3163" customWidth="1"/>
    <col min="3331" max="3331" width="10.875" style="3163" customWidth="1"/>
    <col min="3332" max="3332" width="14.75" style="3163" customWidth="1"/>
    <col min="3333" max="3333" width="14.875" style="3163" customWidth="1"/>
    <col min="3334" max="3334" width="12.5" style="3163" customWidth="1"/>
    <col min="3335" max="3335" width="14.25" style="3163" customWidth="1"/>
    <col min="3336" max="3584" width="9" style="3163"/>
    <col min="3585" max="3585" width="6.875" style="3163" customWidth="1"/>
    <col min="3586" max="3586" width="12.125" style="3163" customWidth="1"/>
    <col min="3587" max="3587" width="10.875" style="3163" customWidth="1"/>
    <col min="3588" max="3588" width="14.75" style="3163" customWidth="1"/>
    <col min="3589" max="3589" width="14.875" style="3163" customWidth="1"/>
    <col min="3590" max="3590" width="12.5" style="3163" customWidth="1"/>
    <col min="3591" max="3591" width="14.25" style="3163" customWidth="1"/>
    <col min="3592" max="3840" width="9" style="3163"/>
    <col min="3841" max="3841" width="6.875" style="3163" customWidth="1"/>
    <col min="3842" max="3842" width="12.125" style="3163" customWidth="1"/>
    <col min="3843" max="3843" width="10.875" style="3163" customWidth="1"/>
    <col min="3844" max="3844" width="14.75" style="3163" customWidth="1"/>
    <col min="3845" max="3845" width="14.875" style="3163" customWidth="1"/>
    <col min="3846" max="3846" width="12.5" style="3163" customWidth="1"/>
    <col min="3847" max="3847" width="14.25" style="3163" customWidth="1"/>
    <col min="3848" max="4096" width="9" style="3163"/>
    <col min="4097" max="4097" width="6.875" style="3163" customWidth="1"/>
    <col min="4098" max="4098" width="12.125" style="3163" customWidth="1"/>
    <col min="4099" max="4099" width="10.875" style="3163" customWidth="1"/>
    <col min="4100" max="4100" width="14.75" style="3163" customWidth="1"/>
    <col min="4101" max="4101" width="14.875" style="3163" customWidth="1"/>
    <col min="4102" max="4102" width="12.5" style="3163" customWidth="1"/>
    <col min="4103" max="4103" width="14.25" style="3163" customWidth="1"/>
    <col min="4104" max="4352" width="9" style="3163"/>
    <col min="4353" max="4353" width="6.875" style="3163" customWidth="1"/>
    <col min="4354" max="4354" width="12.125" style="3163" customWidth="1"/>
    <col min="4355" max="4355" width="10.875" style="3163" customWidth="1"/>
    <col min="4356" max="4356" width="14.75" style="3163" customWidth="1"/>
    <col min="4357" max="4357" width="14.875" style="3163" customWidth="1"/>
    <col min="4358" max="4358" width="12.5" style="3163" customWidth="1"/>
    <col min="4359" max="4359" width="14.25" style="3163" customWidth="1"/>
    <col min="4360" max="4608" width="9" style="3163"/>
    <col min="4609" max="4609" width="6.875" style="3163" customWidth="1"/>
    <col min="4610" max="4610" width="12.125" style="3163" customWidth="1"/>
    <col min="4611" max="4611" width="10.875" style="3163" customWidth="1"/>
    <col min="4612" max="4612" width="14.75" style="3163" customWidth="1"/>
    <col min="4613" max="4613" width="14.875" style="3163" customWidth="1"/>
    <col min="4614" max="4614" width="12.5" style="3163" customWidth="1"/>
    <col min="4615" max="4615" width="14.25" style="3163" customWidth="1"/>
    <col min="4616" max="4864" width="9" style="3163"/>
    <col min="4865" max="4865" width="6.875" style="3163" customWidth="1"/>
    <col min="4866" max="4866" width="12.125" style="3163" customWidth="1"/>
    <col min="4867" max="4867" width="10.875" style="3163" customWidth="1"/>
    <col min="4868" max="4868" width="14.75" style="3163" customWidth="1"/>
    <col min="4869" max="4869" width="14.875" style="3163" customWidth="1"/>
    <col min="4870" max="4870" width="12.5" style="3163" customWidth="1"/>
    <col min="4871" max="4871" width="14.25" style="3163" customWidth="1"/>
    <col min="4872" max="5120" width="9" style="3163"/>
    <col min="5121" max="5121" width="6.875" style="3163" customWidth="1"/>
    <col min="5122" max="5122" width="12.125" style="3163" customWidth="1"/>
    <col min="5123" max="5123" width="10.875" style="3163" customWidth="1"/>
    <col min="5124" max="5124" width="14.75" style="3163" customWidth="1"/>
    <col min="5125" max="5125" width="14.875" style="3163" customWidth="1"/>
    <col min="5126" max="5126" width="12.5" style="3163" customWidth="1"/>
    <col min="5127" max="5127" width="14.25" style="3163" customWidth="1"/>
    <col min="5128" max="5376" width="9" style="3163"/>
    <col min="5377" max="5377" width="6.875" style="3163" customWidth="1"/>
    <col min="5378" max="5378" width="12.125" style="3163" customWidth="1"/>
    <col min="5379" max="5379" width="10.875" style="3163" customWidth="1"/>
    <col min="5380" max="5380" width="14.75" style="3163" customWidth="1"/>
    <col min="5381" max="5381" width="14.875" style="3163" customWidth="1"/>
    <col min="5382" max="5382" width="12.5" style="3163" customWidth="1"/>
    <col min="5383" max="5383" width="14.25" style="3163" customWidth="1"/>
    <col min="5384" max="5632" width="9" style="3163"/>
    <col min="5633" max="5633" width="6.875" style="3163" customWidth="1"/>
    <col min="5634" max="5634" width="12.125" style="3163" customWidth="1"/>
    <col min="5635" max="5635" width="10.875" style="3163" customWidth="1"/>
    <col min="5636" max="5636" width="14.75" style="3163" customWidth="1"/>
    <col min="5637" max="5637" width="14.875" style="3163" customWidth="1"/>
    <col min="5638" max="5638" width="12.5" style="3163" customWidth="1"/>
    <col min="5639" max="5639" width="14.25" style="3163" customWidth="1"/>
    <col min="5640" max="5888" width="9" style="3163"/>
    <col min="5889" max="5889" width="6.875" style="3163" customWidth="1"/>
    <col min="5890" max="5890" width="12.125" style="3163" customWidth="1"/>
    <col min="5891" max="5891" width="10.875" style="3163" customWidth="1"/>
    <col min="5892" max="5892" width="14.75" style="3163" customWidth="1"/>
    <col min="5893" max="5893" width="14.875" style="3163" customWidth="1"/>
    <col min="5894" max="5894" width="12.5" style="3163" customWidth="1"/>
    <col min="5895" max="5895" width="14.25" style="3163" customWidth="1"/>
    <col min="5896" max="6144" width="9" style="3163"/>
    <col min="6145" max="6145" width="6.875" style="3163" customWidth="1"/>
    <col min="6146" max="6146" width="12.125" style="3163" customWidth="1"/>
    <col min="6147" max="6147" width="10.875" style="3163" customWidth="1"/>
    <col min="6148" max="6148" width="14.75" style="3163" customWidth="1"/>
    <col min="6149" max="6149" width="14.875" style="3163" customWidth="1"/>
    <col min="6150" max="6150" width="12.5" style="3163" customWidth="1"/>
    <col min="6151" max="6151" width="14.25" style="3163" customWidth="1"/>
    <col min="6152" max="6400" width="9" style="3163"/>
    <col min="6401" max="6401" width="6.875" style="3163" customWidth="1"/>
    <col min="6402" max="6402" width="12.125" style="3163" customWidth="1"/>
    <col min="6403" max="6403" width="10.875" style="3163" customWidth="1"/>
    <col min="6404" max="6404" width="14.75" style="3163" customWidth="1"/>
    <col min="6405" max="6405" width="14.875" style="3163" customWidth="1"/>
    <col min="6406" max="6406" width="12.5" style="3163" customWidth="1"/>
    <col min="6407" max="6407" width="14.25" style="3163" customWidth="1"/>
    <col min="6408" max="6656" width="9" style="3163"/>
    <col min="6657" max="6657" width="6.875" style="3163" customWidth="1"/>
    <col min="6658" max="6658" width="12.125" style="3163" customWidth="1"/>
    <col min="6659" max="6659" width="10.875" style="3163" customWidth="1"/>
    <col min="6660" max="6660" width="14.75" style="3163" customWidth="1"/>
    <col min="6661" max="6661" width="14.875" style="3163" customWidth="1"/>
    <col min="6662" max="6662" width="12.5" style="3163" customWidth="1"/>
    <col min="6663" max="6663" width="14.25" style="3163" customWidth="1"/>
    <col min="6664" max="6912" width="9" style="3163"/>
    <col min="6913" max="6913" width="6.875" style="3163" customWidth="1"/>
    <col min="6914" max="6914" width="12.125" style="3163" customWidth="1"/>
    <col min="6915" max="6915" width="10.875" style="3163" customWidth="1"/>
    <col min="6916" max="6916" width="14.75" style="3163" customWidth="1"/>
    <col min="6917" max="6917" width="14.875" style="3163" customWidth="1"/>
    <col min="6918" max="6918" width="12.5" style="3163" customWidth="1"/>
    <col min="6919" max="6919" width="14.25" style="3163" customWidth="1"/>
    <col min="6920" max="7168" width="9" style="3163"/>
    <col min="7169" max="7169" width="6.875" style="3163" customWidth="1"/>
    <col min="7170" max="7170" width="12.125" style="3163" customWidth="1"/>
    <col min="7171" max="7171" width="10.875" style="3163" customWidth="1"/>
    <col min="7172" max="7172" width="14.75" style="3163" customWidth="1"/>
    <col min="7173" max="7173" width="14.875" style="3163" customWidth="1"/>
    <col min="7174" max="7174" width="12.5" style="3163" customWidth="1"/>
    <col min="7175" max="7175" width="14.25" style="3163" customWidth="1"/>
    <col min="7176" max="7424" width="9" style="3163"/>
    <col min="7425" max="7425" width="6.875" style="3163" customWidth="1"/>
    <col min="7426" max="7426" width="12.125" style="3163" customWidth="1"/>
    <col min="7427" max="7427" width="10.875" style="3163" customWidth="1"/>
    <col min="7428" max="7428" width="14.75" style="3163" customWidth="1"/>
    <col min="7429" max="7429" width="14.875" style="3163" customWidth="1"/>
    <col min="7430" max="7430" width="12.5" style="3163" customWidth="1"/>
    <col min="7431" max="7431" width="14.25" style="3163" customWidth="1"/>
    <col min="7432" max="7680" width="9" style="3163"/>
    <col min="7681" max="7681" width="6.875" style="3163" customWidth="1"/>
    <col min="7682" max="7682" width="12.125" style="3163" customWidth="1"/>
    <col min="7683" max="7683" width="10.875" style="3163" customWidth="1"/>
    <col min="7684" max="7684" width="14.75" style="3163" customWidth="1"/>
    <col min="7685" max="7685" width="14.875" style="3163" customWidth="1"/>
    <col min="7686" max="7686" width="12.5" style="3163" customWidth="1"/>
    <col min="7687" max="7687" width="14.25" style="3163" customWidth="1"/>
    <col min="7688" max="7936" width="9" style="3163"/>
    <col min="7937" max="7937" width="6.875" style="3163" customWidth="1"/>
    <col min="7938" max="7938" width="12.125" style="3163" customWidth="1"/>
    <col min="7939" max="7939" width="10.875" style="3163" customWidth="1"/>
    <col min="7940" max="7940" width="14.75" style="3163" customWidth="1"/>
    <col min="7941" max="7941" width="14.875" style="3163" customWidth="1"/>
    <col min="7942" max="7942" width="12.5" style="3163" customWidth="1"/>
    <col min="7943" max="7943" width="14.25" style="3163" customWidth="1"/>
    <col min="7944" max="8192" width="9" style="3163"/>
    <col min="8193" max="8193" width="6.875" style="3163" customWidth="1"/>
    <col min="8194" max="8194" width="12.125" style="3163" customWidth="1"/>
    <col min="8195" max="8195" width="10.875" style="3163" customWidth="1"/>
    <col min="8196" max="8196" width="14.75" style="3163" customWidth="1"/>
    <col min="8197" max="8197" width="14.875" style="3163" customWidth="1"/>
    <col min="8198" max="8198" width="12.5" style="3163" customWidth="1"/>
    <col min="8199" max="8199" width="14.25" style="3163" customWidth="1"/>
    <col min="8200" max="8448" width="9" style="3163"/>
    <col min="8449" max="8449" width="6.875" style="3163" customWidth="1"/>
    <col min="8450" max="8450" width="12.125" style="3163" customWidth="1"/>
    <col min="8451" max="8451" width="10.875" style="3163" customWidth="1"/>
    <col min="8452" max="8452" width="14.75" style="3163" customWidth="1"/>
    <col min="8453" max="8453" width="14.875" style="3163" customWidth="1"/>
    <col min="8454" max="8454" width="12.5" style="3163" customWidth="1"/>
    <col min="8455" max="8455" width="14.25" style="3163" customWidth="1"/>
    <col min="8456" max="8704" width="9" style="3163"/>
    <col min="8705" max="8705" width="6.875" style="3163" customWidth="1"/>
    <col min="8706" max="8706" width="12.125" style="3163" customWidth="1"/>
    <col min="8707" max="8707" width="10.875" style="3163" customWidth="1"/>
    <col min="8708" max="8708" width="14.75" style="3163" customWidth="1"/>
    <col min="8709" max="8709" width="14.875" style="3163" customWidth="1"/>
    <col min="8710" max="8710" width="12.5" style="3163" customWidth="1"/>
    <col min="8711" max="8711" width="14.25" style="3163" customWidth="1"/>
    <col min="8712" max="8960" width="9" style="3163"/>
    <col min="8961" max="8961" width="6.875" style="3163" customWidth="1"/>
    <col min="8962" max="8962" width="12.125" style="3163" customWidth="1"/>
    <col min="8963" max="8963" width="10.875" style="3163" customWidth="1"/>
    <col min="8964" max="8964" width="14.75" style="3163" customWidth="1"/>
    <col min="8965" max="8965" width="14.875" style="3163" customWidth="1"/>
    <col min="8966" max="8966" width="12.5" style="3163" customWidth="1"/>
    <col min="8967" max="8967" width="14.25" style="3163" customWidth="1"/>
    <col min="8968" max="9216" width="9" style="3163"/>
    <col min="9217" max="9217" width="6.875" style="3163" customWidth="1"/>
    <col min="9218" max="9218" width="12.125" style="3163" customWidth="1"/>
    <col min="9219" max="9219" width="10.875" style="3163" customWidth="1"/>
    <col min="9220" max="9220" width="14.75" style="3163" customWidth="1"/>
    <col min="9221" max="9221" width="14.875" style="3163" customWidth="1"/>
    <col min="9222" max="9222" width="12.5" style="3163" customWidth="1"/>
    <col min="9223" max="9223" width="14.25" style="3163" customWidth="1"/>
    <col min="9224" max="9472" width="9" style="3163"/>
    <col min="9473" max="9473" width="6.875" style="3163" customWidth="1"/>
    <col min="9474" max="9474" width="12.125" style="3163" customWidth="1"/>
    <col min="9475" max="9475" width="10.875" style="3163" customWidth="1"/>
    <col min="9476" max="9476" width="14.75" style="3163" customWidth="1"/>
    <col min="9477" max="9477" width="14.875" style="3163" customWidth="1"/>
    <col min="9478" max="9478" width="12.5" style="3163" customWidth="1"/>
    <col min="9479" max="9479" width="14.25" style="3163" customWidth="1"/>
    <col min="9480" max="9728" width="9" style="3163"/>
    <col min="9729" max="9729" width="6.875" style="3163" customWidth="1"/>
    <col min="9730" max="9730" width="12.125" style="3163" customWidth="1"/>
    <col min="9731" max="9731" width="10.875" style="3163" customWidth="1"/>
    <col min="9732" max="9732" width="14.75" style="3163" customWidth="1"/>
    <col min="9733" max="9733" width="14.875" style="3163" customWidth="1"/>
    <col min="9734" max="9734" width="12.5" style="3163" customWidth="1"/>
    <col min="9735" max="9735" width="14.25" style="3163" customWidth="1"/>
    <col min="9736" max="9984" width="9" style="3163"/>
    <col min="9985" max="9985" width="6.875" style="3163" customWidth="1"/>
    <col min="9986" max="9986" width="12.125" style="3163" customWidth="1"/>
    <col min="9987" max="9987" width="10.875" style="3163" customWidth="1"/>
    <col min="9988" max="9988" width="14.75" style="3163" customWidth="1"/>
    <col min="9989" max="9989" width="14.875" style="3163" customWidth="1"/>
    <col min="9990" max="9990" width="12.5" style="3163" customWidth="1"/>
    <col min="9991" max="9991" width="14.25" style="3163" customWidth="1"/>
    <col min="9992" max="10240" width="9" style="3163"/>
    <col min="10241" max="10241" width="6.875" style="3163" customWidth="1"/>
    <col min="10242" max="10242" width="12.125" style="3163" customWidth="1"/>
    <col min="10243" max="10243" width="10.875" style="3163" customWidth="1"/>
    <col min="10244" max="10244" width="14.75" style="3163" customWidth="1"/>
    <col min="10245" max="10245" width="14.875" style="3163" customWidth="1"/>
    <col min="10246" max="10246" width="12.5" style="3163" customWidth="1"/>
    <col min="10247" max="10247" width="14.25" style="3163" customWidth="1"/>
    <col min="10248" max="10496" width="9" style="3163"/>
    <col min="10497" max="10497" width="6.875" style="3163" customWidth="1"/>
    <col min="10498" max="10498" width="12.125" style="3163" customWidth="1"/>
    <col min="10499" max="10499" width="10.875" style="3163" customWidth="1"/>
    <col min="10500" max="10500" width="14.75" style="3163" customWidth="1"/>
    <col min="10501" max="10501" width="14.875" style="3163" customWidth="1"/>
    <col min="10502" max="10502" width="12.5" style="3163" customWidth="1"/>
    <col min="10503" max="10503" width="14.25" style="3163" customWidth="1"/>
    <col min="10504" max="10752" width="9" style="3163"/>
    <col min="10753" max="10753" width="6.875" style="3163" customWidth="1"/>
    <col min="10754" max="10754" width="12.125" style="3163" customWidth="1"/>
    <col min="10755" max="10755" width="10.875" style="3163" customWidth="1"/>
    <col min="10756" max="10756" width="14.75" style="3163" customWidth="1"/>
    <col min="10757" max="10757" width="14.875" style="3163" customWidth="1"/>
    <col min="10758" max="10758" width="12.5" style="3163" customWidth="1"/>
    <col min="10759" max="10759" width="14.25" style="3163" customWidth="1"/>
    <col min="10760" max="11008" width="9" style="3163"/>
    <col min="11009" max="11009" width="6.875" style="3163" customWidth="1"/>
    <col min="11010" max="11010" width="12.125" style="3163" customWidth="1"/>
    <col min="11011" max="11011" width="10.875" style="3163" customWidth="1"/>
    <col min="11012" max="11012" width="14.75" style="3163" customWidth="1"/>
    <col min="11013" max="11013" width="14.875" style="3163" customWidth="1"/>
    <col min="11014" max="11014" width="12.5" style="3163" customWidth="1"/>
    <col min="11015" max="11015" width="14.25" style="3163" customWidth="1"/>
    <col min="11016" max="11264" width="9" style="3163"/>
    <col min="11265" max="11265" width="6.875" style="3163" customWidth="1"/>
    <col min="11266" max="11266" width="12.125" style="3163" customWidth="1"/>
    <col min="11267" max="11267" width="10.875" style="3163" customWidth="1"/>
    <col min="11268" max="11268" width="14.75" style="3163" customWidth="1"/>
    <col min="11269" max="11269" width="14.875" style="3163" customWidth="1"/>
    <col min="11270" max="11270" width="12.5" style="3163" customWidth="1"/>
    <col min="11271" max="11271" width="14.25" style="3163" customWidth="1"/>
    <col min="11272" max="11520" width="9" style="3163"/>
    <col min="11521" max="11521" width="6.875" style="3163" customWidth="1"/>
    <col min="11522" max="11522" width="12.125" style="3163" customWidth="1"/>
    <col min="11523" max="11523" width="10.875" style="3163" customWidth="1"/>
    <col min="11524" max="11524" width="14.75" style="3163" customWidth="1"/>
    <col min="11525" max="11525" width="14.875" style="3163" customWidth="1"/>
    <col min="11526" max="11526" width="12.5" style="3163" customWidth="1"/>
    <col min="11527" max="11527" width="14.25" style="3163" customWidth="1"/>
    <col min="11528" max="11776" width="9" style="3163"/>
    <col min="11777" max="11777" width="6.875" style="3163" customWidth="1"/>
    <col min="11778" max="11778" width="12.125" style="3163" customWidth="1"/>
    <col min="11779" max="11779" width="10.875" style="3163" customWidth="1"/>
    <col min="11780" max="11780" width="14.75" style="3163" customWidth="1"/>
    <col min="11781" max="11781" width="14.875" style="3163" customWidth="1"/>
    <col min="11782" max="11782" width="12.5" style="3163" customWidth="1"/>
    <col min="11783" max="11783" width="14.25" style="3163" customWidth="1"/>
    <col min="11784" max="12032" width="9" style="3163"/>
    <col min="12033" max="12033" width="6.875" style="3163" customWidth="1"/>
    <col min="12034" max="12034" width="12.125" style="3163" customWidth="1"/>
    <col min="12035" max="12035" width="10.875" style="3163" customWidth="1"/>
    <col min="12036" max="12036" width="14.75" style="3163" customWidth="1"/>
    <col min="12037" max="12037" width="14.875" style="3163" customWidth="1"/>
    <col min="12038" max="12038" width="12.5" style="3163" customWidth="1"/>
    <col min="12039" max="12039" width="14.25" style="3163" customWidth="1"/>
    <col min="12040" max="12288" width="9" style="3163"/>
    <col min="12289" max="12289" width="6.875" style="3163" customWidth="1"/>
    <col min="12290" max="12290" width="12.125" style="3163" customWidth="1"/>
    <col min="12291" max="12291" width="10.875" style="3163" customWidth="1"/>
    <col min="12292" max="12292" width="14.75" style="3163" customWidth="1"/>
    <col min="12293" max="12293" width="14.875" style="3163" customWidth="1"/>
    <col min="12294" max="12294" width="12.5" style="3163" customWidth="1"/>
    <col min="12295" max="12295" width="14.25" style="3163" customWidth="1"/>
    <col min="12296" max="12544" width="9" style="3163"/>
    <col min="12545" max="12545" width="6.875" style="3163" customWidth="1"/>
    <col min="12546" max="12546" width="12.125" style="3163" customWidth="1"/>
    <col min="12547" max="12547" width="10.875" style="3163" customWidth="1"/>
    <col min="12548" max="12548" width="14.75" style="3163" customWidth="1"/>
    <col min="12549" max="12549" width="14.875" style="3163" customWidth="1"/>
    <col min="12550" max="12550" width="12.5" style="3163" customWidth="1"/>
    <col min="12551" max="12551" width="14.25" style="3163" customWidth="1"/>
    <col min="12552" max="12800" width="9" style="3163"/>
    <col min="12801" max="12801" width="6.875" style="3163" customWidth="1"/>
    <col min="12802" max="12802" width="12.125" style="3163" customWidth="1"/>
    <col min="12803" max="12803" width="10.875" style="3163" customWidth="1"/>
    <col min="12804" max="12804" width="14.75" style="3163" customWidth="1"/>
    <col min="12805" max="12805" width="14.875" style="3163" customWidth="1"/>
    <col min="12806" max="12806" width="12.5" style="3163" customWidth="1"/>
    <col min="12807" max="12807" width="14.25" style="3163" customWidth="1"/>
    <col min="12808" max="13056" width="9" style="3163"/>
    <col min="13057" max="13057" width="6.875" style="3163" customWidth="1"/>
    <col min="13058" max="13058" width="12.125" style="3163" customWidth="1"/>
    <col min="13059" max="13059" width="10.875" style="3163" customWidth="1"/>
    <col min="13060" max="13060" width="14.75" style="3163" customWidth="1"/>
    <col min="13061" max="13061" width="14.875" style="3163" customWidth="1"/>
    <col min="13062" max="13062" width="12.5" style="3163" customWidth="1"/>
    <col min="13063" max="13063" width="14.25" style="3163" customWidth="1"/>
    <col min="13064" max="13312" width="9" style="3163"/>
    <col min="13313" max="13313" width="6.875" style="3163" customWidth="1"/>
    <col min="13314" max="13314" width="12.125" style="3163" customWidth="1"/>
    <col min="13315" max="13315" width="10.875" style="3163" customWidth="1"/>
    <col min="13316" max="13316" width="14.75" style="3163" customWidth="1"/>
    <col min="13317" max="13317" width="14.875" style="3163" customWidth="1"/>
    <col min="13318" max="13318" width="12.5" style="3163" customWidth="1"/>
    <col min="13319" max="13319" width="14.25" style="3163" customWidth="1"/>
    <col min="13320" max="13568" width="9" style="3163"/>
    <col min="13569" max="13569" width="6.875" style="3163" customWidth="1"/>
    <col min="13570" max="13570" width="12.125" style="3163" customWidth="1"/>
    <col min="13571" max="13571" width="10.875" style="3163" customWidth="1"/>
    <col min="13572" max="13572" width="14.75" style="3163" customWidth="1"/>
    <col min="13573" max="13573" width="14.875" style="3163" customWidth="1"/>
    <col min="13574" max="13574" width="12.5" style="3163" customWidth="1"/>
    <col min="13575" max="13575" width="14.25" style="3163" customWidth="1"/>
    <col min="13576" max="13824" width="9" style="3163"/>
    <col min="13825" max="13825" width="6.875" style="3163" customWidth="1"/>
    <col min="13826" max="13826" width="12.125" style="3163" customWidth="1"/>
    <col min="13827" max="13827" width="10.875" style="3163" customWidth="1"/>
    <col min="13828" max="13828" width="14.75" style="3163" customWidth="1"/>
    <col min="13829" max="13829" width="14.875" style="3163" customWidth="1"/>
    <col min="13830" max="13830" width="12.5" style="3163" customWidth="1"/>
    <col min="13831" max="13831" width="14.25" style="3163" customWidth="1"/>
    <col min="13832" max="14080" width="9" style="3163"/>
    <col min="14081" max="14081" width="6.875" style="3163" customWidth="1"/>
    <col min="14082" max="14082" width="12.125" style="3163" customWidth="1"/>
    <col min="14083" max="14083" width="10.875" style="3163" customWidth="1"/>
    <col min="14084" max="14084" width="14.75" style="3163" customWidth="1"/>
    <col min="14085" max="14085" width="14.875" style="3163" customWidth="1"/>
    <col min="14086" max="14086" width="12.5" style="3163" customWidth="1"/>
    <col min="14087" max="14087" width="14.25" style="3163" customWidth="1"/>
    <col min="14088" max="14336" width="9" style="3163"/>
    <col min="14337" max="14337" width="6.875" style="3163" customWidth="1"/>
    <col min="14338" max="14338" width="12.125" style="3163" customWidth="1"/>
    <col min="14339" max="14339" width="10.875" style="3163" customWidth="1"/>
    <col min="14340" max="14340" width="14.75" style="3163" customWidth="1"/>
    <col min="14341" max="14341" width="14.875" style="3163" customWidth="1"/>
    <col min="14342" max="14342" width="12.5" style="3163" customWidth="1"/>
    <col min="14343" max="14343" width="14.25" style="3163" customWidth="1"/>
    <col min="14344" max="14592" width="9" style="3163"/>
    <col min="14593" max="14593" width="6.875" style="3163" customWidth="1"/>
    <col min="14594" max="14594" width="12.125" style="3163" customWidth="1"/>
    <col min="14595" max="14595" width="10.875" style="3163" customWidth="1"/>
    <col min="14596" max="14596" width="14.75" style="3163" customWidth="1"/>
    <col min="14597" max="14597" width="14.875" style="3163" customWidth="1"/>
    <col min="14598" max="14598" width="12.5" style="3163" customWidth="1"/>
    <col min="14599" max="14599" width="14.25" style="3163" customWidth="1"/>
    <col min="14600" max="14848" width="9" style="3163"/>
    <col min="14849" max="14849" width="6.875" style="3163" customWidth="1"/>
    <col min="14850" max="14850" width="12.125" style="3163" customWidth="1"/>
    <col min="14851" max="14851" width="10.875" style="3163" customWidth="1"/>
    <col min="14852" max="14852" width="14.75" style="3163" customWidth="1"/>
    <col min="14853" max="14853" width="14.875" style="3163" customWidth="1"/>
    <col min="14854" max="14854" width="12.5" style="3163" customWidth="1"/>
    <col min="14855" max="14855" width="14.25" style="3163" customWidth="1"/>
    <col min="14856" max="15104" width="9" style="3163"/>
    <col min="15105" max="15105" width="6.875" style="3163" customWidth="1"/>
    <col min="15106" max="15106" width="12.125" style="3163" customWidth="1"/>
    <col min="15107" max="15107" width="10.875" style="3163" customWidth="1"/>
    <col min="15108" max="15108" width="14.75" style="3163" customWidth="1"/>
    <col min="15109" max="15109" width="14.875" style="3163" customWidth="1"/>
    <col min="15110" max="15110" width="12.5" style="3163" customWidth="1"/>
    <col min="15111" max="15111" width="14.25" style="3163" customWidth="1"/>
    <col min="15112" max="15360" width="9" style="3163"/>
    <col min="15361" max="15361" width="6.875" style="3163" customWidth="1"/>
    <col min="15362" max="15362" width="12.125" style="3163" customWidth="1"/>
    <col min="15363" max="15363" width="10.875" style="3163" customWidth="1"/>
    <col min="15364" max="15364" width="14.75" style="3163" customWidth="1"/>
    <col min="15365" max="15365" width="14.875" style="3163" customWidth="1"/>
    <col min="15366" max="15366" width="12.5" style="3163" customWidth="1"/>
    <col min="15367" max="15367" width="14.25" style="3163" customWidth="1"/>
    <col min="15368" max="15616" width="9" style="3163"/>
    <col min="15617" max="15617" width="6.875" style="3163" customWidth="1"/>
    <col min="15618" max="15618" width="12.125" style="3163" customWidth="1"/>
    <col min="15619" max="15619" width="10.875" style="3163" customWidth="1"/>
    <col min="15620" max="15620" width="14.75" style="3163" customWidth="1"/>
    <col min="15621" max="15621" width="14.875" style="3163" customWidth="1"/>
    <col min="15622" max="15622" width="12.5" style="3163" customWidth="1"/>
    <col min="15623" max="15623" width="14.25" style="3163" customWidth="1"/>
    <col min="15624" max="15872" width="9" style="3163"/>
    <col min="15873" max="15873" width="6.875" style="3163" customWidth="1"/>
    <col min="15874" max="15874" width="12.125" style="3163" customWidth="1"/>
    <col min="15875" max="15875" width="10.875" style="3163" customWidth="1"/>
    <col min="15876" max="15876" width="14.75" style="3163" customWidth="1"/>
    <col min="15877" max="15877" width="14.875" style="3163" customWidth="1"/>
    <col min="15878" max="15878" width="12.5" style="3163" customWidth="1"/>
    <col min="15879" max="15879" width="14.25" style="3163" customWidth="1"/>
    <col min="15880" max="16128" width="9" style="3163"/>
    <col min="16129" max="16129" width="6.875" style="3163" customWidth="1"/>
    <col min="16130" max="16130" width="12.125" style="3163" customWidth="1"/>
    <col min="16131" max="16131" width="10.875" style="3163" customWidth="1"/>
    <col min="16132" max="16132" width="14.75" style="3163" customWidth="1"/>
    <col min="16133" max="16133" width="14.875" style="3163" customWidth="1"/>
    <col min="16134" max="16134" width="12.5" style="3163" customWidth="1"/>
    <col min="16135" max="16135" width="14.25" style="3163" customWidth="1"/>
    <col min="16136" max="16384" width="9" style="3163"/>
  </cols>
  <sheetData>
    <row r="1" spans="1:11" ht="28.5" customHeight="1">
      <c r="A1" s="3566" t="s">
        <v>3417</v>
      </c>
      <c r="B1" s="3566"/>
      <c r="C1" s="3566"/>
      <c r="D1" s="3566"/>
      <c r="E1" s="3566"/>
      <c r="F1" s="3566"/>
      <c r="G1" s="3566"/>
    </row>
    <row r="2" spans="1:11" ht="15" customHeight="1">
      <c r="A2" s="3164"/>
      <c r="B2" s="3164"/>
      <c r="C2" s="3164"/>
      <c r="D2" s="3164"/>
      <c r="E2" s="3164"/>
      <c r="F2" s="3164"/>
    </row>
    <row r="3" spans="1:11" ht="15" customHeight="1">
      <c r="A3" s="3567" t="s">
        <v>3418</v>
      </c>
      <c r="B3" s="3567"/>
      <c r="C3" s="3559" t="s">
        <v>3419</v>
      </c>
      <c r="D3" s="3559"/>
      <c r="E3" s="3166"/>
      <c r="F3" s="3165" t="s">
        <v>3420</v>
      </c>
      <c r="G3" s="3166" t="s">
        <v>3421</v>
      </c>
    </row>
    <row r="4" spans="1:11" ht="15" customHeight="1">
      <c r="A4" s="3563" t="s">
        <v>3422</v>
      </c>
      <c r="B4" s="3565"/>
      <c r="C4" s="3562" t="s">
        <v>3423</v>
      </c>
      <c r="D4" s="3560"/>
      <c r="E4" s="3560"/>
      <c r="F4" s="3560"/>
      <c r="G4" s="3561"/>
      <c r="K4" s="3163">
        <v>13069.46</v>
      </c>
    </row>
    <row r="5" spans="1:11" ht="15" customHeight="1">
      <c r="A5" s="3563" t="s">
        <v>3424</v>
      </c>
      <c r="B5" s="3565"/>
      <c r="C5" s="3562" t="s">
        <v>3425</v>
      </c>
      <c r="D5" s="3560"/>
      <c r="E5" s="3560"/>
      <c r="F5" s="3560"/>
      <c r="G5" s="3561"/>
    </row>
    <row r="6" spans="1:11" ht="15" customHeight="1">
      <c r="A6" s="3557" t="s">
        <v>3426</v>
      </c>
      <c r="B6" s="3538" t="s">
        <v>3427</v>
      </c>
      <c r="C6" s="3540"/>
      <c r="D6" s="3559" t="s">
        <v>3428</v>
      </c>
      <c r="E6" s="3559"/>
      <c r="F6" s="3559"/>
      <c r="G6" s="3559"/>
    </row>
    <row r="7" spans="1:11" ht="15" customHeight="1">
      <c r="A7" s="3557"/>
      <c r="B7" s="3562" t="s">
        <v>3429</v>
      </c>
      <c r="C7" s="3561"/>
      <c r="D7" s="3166">
        <v>101343.16</v>
      </c>
      <c r="E7" s="3166" t="s">
        <v>3430</v>
      </c>
      <c r="F7" s="3559" t="s">
        <v>3431</v>
      </c>
      <c r="G7" s="3559"/>
    </row>
    <row r="8" spans="1:11" ht="15" customHeight="1">
      <c r="A8" s="3557"/>
      <c r="B8" s="3562" t="s">
        <v>3432</v>
      </c>
      <c r="C8" s="3561"/>
      <c r="D8" s="3166">
        <v>29072.37</v>
      </c>
      <c r="E8" s="3166" t="s">
        <v>3433</v>
      </c>
      <c r="F8" s="3559" t="s">
        <v>3434</v>
      </c>
      <c r="G8" s="3559"/>
    </row>
    <row r="9" spans="1:11" ht="15" customHeight="1">
      <c r="A9" s="3557"/>
      <c r="B9" s="3562" t="s">
        <v>3435</v>
      </c>
      <c r="C9" s="3561"/>
      <c r="D9" s="3168" t="s">
        <v>3332</v>
      </c>
      <c r="E9" s="3559"/>
      <c r="F9" s="3559"/>
      <c r="G9" s="3559"/>
    </row>
    <row r="10" spans="1:11" ht="15" customHeight="1">
      <c r="A10" s="3557" t="s">
        <v>3436</v>
      </c>
      <c r="B10" s="3559" t="s">
        <v>3437</v>
      </c>
      <c r="C10" s="3559"/>
      <c r="D10" s="3166">
        <v>27067.119999999999</v>
      </c>
      <c r="E10" s="3167" t="s">
        <v>3438</v>
      </c>
      <c r="F10" s="3560" t="s">
        <v>3439</v>
      </c>
      <c r="G10" s="3561"/>
    </row>
    <row r="11" spans="1:11" ht="15" customHeight="1">
      <c r="A11" s="3557"/>
      <c r="B11" s="3559" t="s">
        <v>3440</v>
      </c>
      <c r="C11" s="3559"/>
      <c r="D11" s="3562" t="s">
        <v>3441</v>
      </c>
      <c r="E11" s="3560"/>
      <c r="F11" s="3560"/>
      <c r="G11" s="3561"/>
    </row>
    <row r="12" spans="1:11" ht="15" customHeight="1">
      <c r="A12" s="3557"/>
      <c r="B12" s="3559" t="s">
        <v>3442</v>
      </c>
      <c r="C12" s="3559"/>
      <c r="D12" s="3562" t="s">
        <v>3443</v>
      </c>
      <c r="E12" s="3560"/>
      <c r="F12" s="3560"/>
      <c r="G12" s="3561"/>
    </row>
    <row r="13" spans="1:11" ht="15" customHeight="1">
      <c r="A13" s="3557"/>
      <c r="B13" s="3563" t="s">
        <v>3444</v>
      </c>
      <c r="C13" s="3564"/>
      <c r="D13" s="3564"/>
      <c r="E13" s="3564"/>
      <c r="F13" s="3564"/>
      <c r="G13" s="3565"/>
    </row>
    <row r="14" spans="1:11" ht="15" customHeight="1">
      <c r="A14" s="3557"/>
      <c r="B14" s="3169" t="s">
        <v>3445</v>
      </c>
      <c r="C14" s="3169" t="s">
        <v>3446</v>
      </c>
      <c r="D14" s="3170" t="s">
        <v>3447</v>
      </c>
      <c r="E14" s="3171" t="s">
        <v>3448</v>
      </c>
      <c r="F14" s="3171" t="s">
        <v>3449</v>
      </c>
      <c r="G14" s="3171" t="s">
        <v>3450</v>
      </c>
    </row>
    <row r="15" spans="1:11" ht="15" customHeight="1">
      <c r="A15" s="3557"/>
      <c r="B15" s="3166">
        <v>1</v>
      </c>
      <c r="C15" s="3166" t="s">
        <v>3451</v>
      </c>
      <c r="D15" s="3172">
        <v>62.59</v>
      </c>
      <c r="E15" s="3166" t="s">
        <v>3452</v>
      </c>
      <c r="F15" s="3166" t="s">
        <v>3453</v>
      </c>
      <c r="G15" s="3166">
        <v>1</v>
      </c>
    </row>
    <row r="16" spans="1:11" ht="15" customHeight="1">
      <c r="A16" s="3557"/>
      <c r="B16" s="3166">
        <v>2</v>
      </c>
      <c r="C16" s="3166" t="s">
        <v>3454</v>
      </c>
      <c r="D16" s="3172">
        <v>62.59</v>
      </c>
      <c r="E16" s="3166" t="s">
        <v>3452</v>
      </c>
      <c r="F16" s="3166" t="s">
        <v>3453</v>
      </c>
      <c r="G16" s="3166">
        <v>1</v>
      </c>
    </row>
    <row r="17" spans="1:7" ht="15" customHeight="1">
      <c r="A17" s="3557"/>
      <c r="B17" s="3166">
        <v>3</v>
      </c>
      <c r="C17" s="3166" t="s">
        <v>3455</v>
      </c>
      <c r="D17" s="3172">
        <v>62.59</v>
      </c>
      <c r="E17" s="3166" t="s">
        <v>3452</v>
      </c>
      <c r="F17" s="3166" t="s">
        <v>3453</v>
      </c>
      <c r="G17" s="3166">
        <v>1</v>
      </c>
    </row>
    <row r="18" spans="1:7" ht="15" customHeight="1">
      <c r="A18" s="3557"/>
      <c r="B18" s="3166">
        <v>4</v>
      </c>
      <c r="C18" s="3166" t="s">
        <v>3456</v>
      </c>
      <c r="D18" s="3172">
        <v>62.59</v>
      </c>
      <c r="E18" s="3166" t="s">
        <v>3452</v>
      </c>
      <c r="F18" s="3166" t="s">
        <v>3453</v>
      </c>
      <c r="G18" s="3166">
        <v>1</v>
      </c>
    </row>
    <row r="19" spans="1:7" ht="15" customHeight="1">
      <c r="A19" s="3557"/>
      <c r="B19" s="3166">
        <v>5</v>
      </c>
      <c r="C19" s="3166" t="s">
        <v>3457</v>
      </c>
      <c r="D19" s="3172">
        <v>62.59</v>
      </c>
      <c r="E19" s="3166" t="s">
        <v>3452</v>
      </c>
      <c r="F19" s="3166" t="s">
        <v>3453</v>
      </c>
      <c r="G19" s="3166">
        <v>1</v>
      </c>
    </row>
    <row r="20" spans="1:7" ht="15" customHeight="1">
      <c r="A20" s="3557"/>
      <c r="B20" s="3166">
        <v>6</v>
      </c>
      <c r="C20" s="3166" t="s">
        <v>3458</v>
      </c>
      <c r="D20" s="3172">
        <v>62.59</v>
      </c>
      <c r="E20" s="3166" t="s">
        <v>3452</v>
      </c>
      <c r="F20" s="3166" t="s">
        <v>3453</v>
      </c>
      <c r="G20" s="3166">
        <v>1</v>
      </c>
    </row>
    <row r="21" spans="1:7" ht="15" customHeight="1">
      <c r="A21" s="3557"/>
      <c r="B21" s="3166">
        <v>7</v>
      </c>
      <c r="C21" s="3171" t="s">
        <v>3459</v>
      </c>
      <c r="D21" s="3173">
        <v>68</v>
      </c>
      <c r="E21" s="3171" t="s">
        <v>3452</v>
      </c>
      <c r="F21" s="3171" t="s">
        <v>3453</v>
      </c>
      <c r="G21" s="3171">
        <v>1</v>
      </c>
    </row>
    <row r="22" spans="1:7" ht="15" customHeight="1">
      <c r="A22" s="3557"/>
      <c r="B22" s="3166">
        <v>8</v>
      </c>
      <c r="C22" s="3171" t="s">
        <v>3460</v>
      </c>
      <c r="D22" s="3173">
        <v>77.38</v>
      </c>
      <c r="E22" s="3171" t="s">
        <v>3452</v>
      </c>
      <c r="F22" s="3171" t="s">
        <v>3453</v>
      </c>
      <c r="G22" s="3171">
        <v>1</v>
      </c>
    </row>
    <row r="23" spans="1:7" ht="15" customHeight="1">
      <c r="A23" s="3557"/>
      <c r="B23" s="3166">
        <v>9</v>
      </c>
      <c r="C23" s="3171" t="s">
        <v>3461</v>
      </c>
      <c r="D23" s="3173">
        <v>71.22</v>
      </c>
      <c r="E23" s="3171" t="s">
        <v>3452</v>
      </c>
      <c r="F23" s="3171" t="s">
        <v>3453</v>
      </c>
      <c r="G23" s="3171">
        <v>1</v>
      </c>
    </row>
    <row r="24" spans="1:7" ht="15" customHeight="1">
      <c r="A24" s="3557"/>
      <c r="B24" s="3166">
        <v>10</v>
      </c>
      <c r="C24" s="3171" t="s">
        <v>3462</v>
      </c>
      <c r="D24" s="3173">
        <v>71.22</v>
      </c>
      <c r="E24" s="3171" t="s">
        <v>3452</v>
      </c>
      <c r="F24" s="3171" t="s">
        <v>3453</v>
      </c>
      <c r="G24" s="3171">
        <v>1</v>
      </c>
    </row>
    <row r="25" spans="1:7" ht="15" customHeight="1">
      <c r="A25" s="3557"/>
      <c r="B25" s="3166">
        <v>11</v>
      </c>
      <c r="C25" s="3171" t="s">
        <v>3463</v>
      </c>
      <c r="D25" s="3173">
        <v>71.22</v>
      </c>
      <c r="E25" s="3171" t="s">
        <v>3452</v>
      </c>
      <c r="F25" s="3171" t="s">
        <v>3453</v>
      </c>
      <c r="G25" s="3171">
        <v>1</v>
      </c>
    </row>
    <row r="26" spans="1:7" ht="15" customHeight="1">
      <c r="A26" s="3557"/>
      <c r="B26" s="3166">
        <v>12</v>
      </c>
      <c r="C26" s="3171" t="s">
        <v>3464</v>
      </c>
      <c r="D26" s="3173">
        <v>71.22</v>
      </c>
      <c r="E26" s="3174" t="s">
        <v>3465</v>
      </c>
      <c r="F26" s="3171" t="s">
        <v>3453</v>
      </c>
      <c r="G26" s="3171">
        <v>1</v>
      </c>
    </row>
    <row r="27" spans="1:7" ht="15" customHeight="1">
      <c r="A27" s="3557"/>
      <c r="B27" s="3166">
        <v>13</v>
      </c>
      <c r="C27" s="3171" t="s">
        <v>3466</v>
      </c>
      <c r="D27" s="3173">
        <v>71.22</v>
      </c>
      <c r="E27" s="3174" t="s">
        <v>3465</v>
      </c>
      <c r="F27" s="3171" t="s">
        <v>3453</v>
      </c>
      <c r="G27" s="3171">
        <v>1</v>
      </c>
    </row>
    <row r="28" spans="1:7" ht="15" customHeight="1">
      <c r="A28" s="3557"/>
      <c r="B28" s="3166">
        <v>14</v>
      </c>
      <c r="C28" s="3171" t="s">
        <v>3467</v>
      </c>
      <c r="D28" s="3173">
        <v>71.22</v>
      </c>
      <c r="E28" s="3174" t="s">
        <v>3465</v>
      </c>
      <c r="F28" s="3171" t="s">
        <v>3453</v>
      </c>
      <c r="G28" s="3171">
        <v>1</v>
      </c>
    </row>
    <row r="29" spans="1:7" ht="15" customHeight="1">
      <c r="A29" s="3557"/>
      <c r="B29" s="3166">
        <v>15</v>
      </c>
      <c r="C29" s="3171" t="s">
        <v>3468</v>
      </c>
      <c r="D29" s="3173">
        <v>77.38</v>
      </c>
      <c r="E29" s="3174" t="s">
        <v>3465</v>
      </c>
      <c r="F29" s="3171" t="s">
        <v>3453</v>
      </c>
      <c r="G29" s="3171">
        <v>1</v>
      </c>
    </row>
    <row r="30" spans="1:7" ht="15" customHeight="1">
      <c r="A30" s="3557"/>
      <c r="B30" s="3166">
        <v>16</v>
      </c>
      <c r="C30" s="3171" t="s">
        <v>3469</v>
      </c>
      <c r="D30" s="3173">
        <v>78.83</v>
      </c>
      <c r="E30" s="3174" t="s">
        <v>3465</v>
      </c>
      <c r="F30" s="3171" t="s">
        <v>3453</v>
      </c>
      <c r="G30" s="3171">
        <v>1</v>
      </c>
    </row>
    <row r="31" spans="1:7" ht="15" customHeight="1">
      <c r="A31" s="3557"/>
      <c r="B31" s="3166">
        <v>17</v>
      </c>
      <c r="C31" s="3171" t="s">
        <v>3470</v>
      </c>
      <c r="D31" s="3173">
        <v>74.25</v>
      </c>
      <c r="E31" s="3174" t="s">
        <v>3465</v>
      </c>
      <c r="F31" s="3171" t="s">
        <v>3453</v>
      </c>
      <c r="G31" s="3171">
        <v>1</v>
      </c>
    </row>
    <row r="32" spans="1:7" ht="15" customHeight="1">
      <c r="A32" s="3557"/>
      <c r="B32" s="3166">
        <v>18</v>
      </c>
      <c r="C32" s="3171" t="s">
        <v>3471</v>
      </c>
      <c r="D32" s="3173">
        <v>74.25</v>
      </c>
      <c r="E32" s="3174" t="s">
        <v>3465</v>
      </c>
      <c r="F32" s="3171" t="s">
        <v>3453</v>
      </c>
      <c r="G32" s="3171">
        <v>1</v>
      </c>
    </row>
    <row r="33" spans="1:7" ht="15" customHeight="1">
      <c r="A33" s="3557"/>
      <c r="B33" s="3166">
        <v>19</v>
      </c>
      <c r="C33" s="3175" t="s">
        <v>3472</v>
      </c>
      <c r="D33" s="3176">
        <v>74.25</v>
      </c>
      <c r="E33" s="3177" t="s">
        <v>3465</v>
      </c>
      <c r="F33" s="3175" t="s">
        <v>3453</v>
      </c>
      <c r="G33" s="3175">
        <v>1</v>
      </c>
    </row>
    <row r="34" spans="1:7" ht="15" customHeight="1">
      <c r="A34" s="3557"/>
      <c r="B34" s="3166">
        <v>20</v>
      </c>
      <c r="C34" s="3175" t="s">
        <v>3473</v>
      </c>
      <c r="D34" s="3176">
        <v>74.25</v>
      </c>
      <c r="E34" s="3177" t="s">
        <v>3465</v>
      </c>
      <c r="F34" s="3175" t="s">
        <v>3453</v>
      </c>
      <c r="G34" s="3175">
        <v>1</v>
      </c>
    </row>
    <row r="35" spans="1:7" s="3178" customFormat="1" ht="15" customHeight="1">
      <c r="A35" s="3558"/>
      <c r="B35" s="3166">
        <v>21</v>
      </c>
      <c r="C35" s="3175" t="s">
        <v>3474</v>
      </c>
      <c r="D35" s="3176">
        <v>78.83</v>
      </c>
      <c r="E35" s="3177" t="s">
        <v>3465</v>
      </c>
      <c r="F35" s="3175" t="s">
        <v>3453</v>
      </c>
      <c r="G35" s="3175">
        <v>1</v>
      </c>
    </row>
    <row r="36" spans="1:7" ht="15" customHeight="1">
      <c r="A36" s="3557"/>
      <c r="B36" s="3166">
        <v>22</v>
      </c>
      <c r="C36" s="3175" t="s">
        <v>3475</v>
      </c>
      <c r="D36" s="3176">
        <v>74.25</v>
      </c>
      <c r="E36" s="3177" t="s">
        <v>3465</v>
      </c>
      <c r="F36" s="3175" t="s">
        <v>3453</v>
      </c>
      <c r="G36" s="3175">
        <v>1</v>
      </c>
    </row>
    <row r="37" spans="1:7" ht="15" customHeight="1">
      <c r="A37" s="3557"/>
      <c r="B37" s="3166">
        <v>23</v>
      </c>
      <c r="C37" s="3175" t="s">
        <v>3476</v>
      </c>
      <c r="D37" s="3176">
        <v>74.25</v>
      </c>
      <c r="E37" s="3177" t="s">
        <v>3465</v>
      </c>
      <c r="F37" s="3175" t="s">
        <v>3453</v>
      </c>
      <c r="G37" s="3175">
        <v>1</v>
      </c>
    </row>
    <row r="38" spans="1:7" ht="15" customHeight="1">
      <c r="A38" s="3557"/>
      <c r="B38" s="3166">
        <v>24</v>
      </c>
      <c r="C38" s="3175" t="s">
        <v>3477</v>
      </c>
      <c r="D38" s="3176">
        <v>74.25</v>
      </c>
      <c r="E38" s="3177" t="s">
        <v>3465</v>
      </c>
      <c r="F38" s="3175" t="s">
        <v>3453</v>
      </c>
      <c r="G38" s="3175">
        <v>1</v>
      </c>
    </row>
    <row r="39" spans="1:7" ht="15" customHeight="1">
      <c r="A39" s="3557"/>
      <c r="B39" s="3166">
        <v>25</v>
      </c>
      <c r="C39" s="3171" t="s">
        <v>3478</v>
      </c>
      <c r="D39" s="3173">
        <v>74.25</v>
      </c>
      <c r="E39" s="3174" t="s">
        <v>3465</v>
      </c>
      <c r="F39" s="3171" t="s">
        <v>3453</v>
      </c>
      <c r="G39" s="3171">
        <v>1</v>
      </c>
    </row>
    <row r="40" spans="1:7" ht="15" customHeight="1">
      <c r="A40" s="3557"/>
      <c r="B40" s="3166">
        <v>26</v>
      </c>
      <c r="C40" s="3171" t="s">
        <v>3479</v>
      </c>
      <c r="D40" s="3173">
        <v>45.06</v>
      </c>
      <c r="E40" s="3174" t="s">
        <v>3465</v>
      </c>
      <c r="F40" s="3171" t="s">
        <v>3453</v>
      </c>
      <c r="G40" s="3171">
        <v>1</v>
      </c>
    </row>
    <row r="41" spans="1:7" ht="15" customHeight="1">
      <c r="A41" s="3557"/>
      <c r="B41" s="3166">
        <v>27</v>
      </c>
      <c r="C41" s="3171" t="s">
        <v>3480</v>
      </c>
      <c r="D41" s="3173">
        <v>41.01</v>
      </c>
      <c r="E41" s="3174" t="s">
        <v>3465</v>
      </c>
      <c r="F41" s="3171" t="s">
        <v>3453</v>
      </c>
      <c r="G41" s="3171">
        <v>1</v>
      </c>
    </row>
    <row r="42" spans="1:7" ht="15" customHeight="1">
      <c r="A42" s="3557"/>
      <c r="B42" s="3166">
        <v>28</v>
      </c>
      <c r="C42" s="3171" t="s">
        <v>3481</v>
      </c>
      <c r="D42" s="3173">
        <v>41.01</v>
      </c>
      <c r="E42" s="3174" t="s">
        <v>3465</v>
      </c>
      <c r="F42" s="3171" t="s">
        <v>3453</v>
      </c>
      <c r="G42" s="3171">
        <v>1</v>
      </c>
    </row>
    <row r="43" spans="1:7" ht="15" customHeight="1">
      <c r="A43" s="3557"/>
      <c r="B43" s="3166">
        <v>29</v>
      </c>
      <c r="C43" s="3171" t="s">
        <v>3482</v>
      </c>
      <c r="D43" s="3173">
        <v>41.01</v>
      </c>
      <c r="E43" s="3174" t="s">
        <v>3465</v>
      </c>
      <c r="F43" s="3171" t="s">
        <v>3453</v>
      </c>
      <c r="G43" s="3171">
        <v>1</v>
      </c>
    </row>
    <row r="44" spans="1:7" ht="15" customHeight="1">
      <c r="A44" s="3557"/>
      <c r="B44" s="3166">
        <v>30</v>
      </c>
      <c r="C44" s="3171" t="s">
        <v>3483</v>
      </c>
      <c r="D44" s="3173">
        <v>70.39</v>
      </c>
      <c r="E44" s="3174" t="s">
        <v>3465</v>
      </c>
      <c r="F44" s="3171" t="s">
        <v>3453</v>
      </c>
      <c r="G44" s="3171">
        <v>1</v>
      </c>
    </row>
    <row r="45" spans="1:7" ht="15" customHeight="1">
      <c r="A45" s="3557"/>
      <c r="B45" s="3166">
        <v>31</v>
      </c>
      <c r="C45" s="3171" t="s">
        <v>3484</v>
      </c>
      <c r="D45" s="3173">
        <v>41.01</v>
      </c>
      <c r="E45" s="3174" t="s">
        <v>3465</v>
      </c>
      <c r="F45" s="3171" t="s">
        <v>3453</v>
      </c>
      <c r="G45" s="3171">
        <v>1</v>
      </c>
    </row>
    <row r="46" spans="1:7" ht="15" customHeight="1">
      <c r="A46" s="3557"/>
      <c r="B46" s="3166">
        <v>32</v>
      </c>
      <c r="C46" s="3171" t="s">
        <v>3485</v>
      </c>
      <c r="D46" s="3173">
        <v>41.01</v>
      </c>
      <c r="E46" s="3174" t="s">
        <v>3465</v>
      </c>
      <c r="F46" s="3171" t="s">
        <v>3453</v>
      </c>
      <c r="G46" s="3171">
        <v>1</v>
      </c>
    </row>
    <row r="47" spans="1:7" ht="15" customHeight="1">
      <c r="A47" s="3557"/>
      <c r="B47" s="3166">
        <v>33</v>
      </c>
      <c r="C47" s="3171" t="s">
        <v>3486</v>
      </c>
      <c r="D47" s="3173">
        <v>41.01</v>
      </c>
      <c r="E47" s="3174" t="s">
        <v>3465</v>
      </c>
      <c r="F47" s="3171" t="s">
        <v>3453</v>
      </c>
      <c r="G47" s="3171">
        <v>1</v>
      </c>
    </row>
    <row r="48" spans="1:7" ht="15" customHeight="1">
      <c r="A48" s="3557"/>
      <c r="B48" s="3166">
        <v>34</v>
      </c>
      <c r="C48" s="3171" t="s">
        <v>3487</v>
      </c>
      <c r="D48" s="3173">
        <v>41.01</v>
      </c>
      <c r="E48" s="3174" t="s">
        <v>3465</v>
      </c>
      <c r="F48" s="3171" t="s">
        <v>3453</v>
      </c>
      <c r="G48" s="3171">
        <v>1</v>
      </c>
    </row>
    <row r="49" spans="1:7" ht="15" customHeight="1">
      <c r="A49" s="3557"/>
      <c r="B49" s="3166">
        <v>35</v>
      </c>
      <c r="C49" s="3171" t="s">
        <v>3488</v>
      </c>
      <c r="D49" s="3173">
        <v>45.06</v>
      </c>
      <c r="E49" s="3174" t="s">
        <v>3465</v>
      </c>
      <c r="F49" s="3171" t="s">
        <v>3453</v>
      </c>
      <c r="G49" s="3171">
        <v>1</v>
      </c>
    </row>
    <row r="50" spans="1:7" ht="15" customHeight="1">
      <c r="A50" s="3557"/>
      <c r="B50" s="3166">
        <v>36</v>
      </c>
      <c r="C50" s="3171" t="s">
        <v>3489</v>
      </c>
      <c r="D50" s="3173">
        <v>74.67</v>
      </c>
      <c r="E50" s="3174" t="s">
        <v>3465</v>
      </c>
      <c r="F50" s="3171" t="s">
        <v>3453</v>
      </c>
      <c r="G50" s="3171">
        <v>1</v>
      </c>
    </row>
    <row r="51" spans="1:7" ht="15" customHeight="1">
      <c r="A51" s="3557"/>
      <c r="B51" s="3166">
        <v>37</v>
      </c>
      <c r="C51" s="3171" t="s">
        <v>3490</v>
      </c>
      <c r="D51" s="3173">
        <v>79.75</v>
      </c>
      <c r="E51" s="3174" t="s">
        <v>3465</v>
      </c>
      <c r="F51" s="3171" t="s">
        <v>3453</v>
      </c>
      <c r="G51" s="3171">
        <v>1</v>
      </c>
    </row>
    <row r="52" spans="1:7" ht="15" customHeight="1">
      <c r="A52" s="3557"/>
      <c r="B52" s="3166">
        <v>38</v>
      </c>
      <c r="C52" s="3171" t="s">
        <v>3491</v>
      </c>
      <c r="D52" s="3173">
        <v>84.76</v>
      </c>
      <c r="E52" s="3174" t="s">
        <v>3465</v>
      </c>
      <c r="F52" s="3171" t="s">
        <v>3453</v>
      </c>
      <c r="G52" s="3171">
        <v>1</v>
      </c>
    </row>
    <row r="53" spans="1:7" ht="15" customHeight="1">
      <c r="A53" s="3557"/>
      <c r="B53" s="3166">
        <v>39</v>
      </c>
      <c r="C53" s="3171" t="s">
        <v>3492</v>
      </c>
      <c r="D53" s="3173">
        <v>73.819999999999993</v>
      </c>
      <c r="E53" s="3174" t="s">
        <v>3465</v>
      </c>
      <c r="F53" s="3171" t="s">
        <v>3453</v>
      </c>
      <c r="G53" s="3171">
        <v>1</v>
      </c>
    </row>
    <row r="54" spans="1:7" ht="15" customHeight="1">
      <c r="A54" s="3557"/>
      <c r="B54" s="3166">
        <v>40</v>
      </c>
      <c r="C54" s="3171" t="s">
        <v>3493</v>
      </c>
      <c r="D54" s="3173">
        <v>73.819999999999993</v>
      </c>
      <c r="E54" s="3174" t="s">
        <v>3465</v>
      </c>
      <c r="F54" s="3171" t="s">
        <v>3453</v>
      </c>
      <c r="G54" s="3171">
        <v>1</v>
      </c>
    </row>
    <row r="55" spans="1:7" ht="15" customHeight="1">
      <c r="A55" s="3557"/>
      <c r="B55" s="3166">
        <v>41</v>
      </c>
      <c r="C55" s="3171" t="s">
        <v>3494</v>
      </c>
      <c r="D55" s="3173">
        <v>73.819999999999993</v>
      </c>
      <c r="E55" s="3174" t="s">
        <v>3465</v>
      </c>
      <c r="F55" s="3171" t="s">
        <v>3453</v>
      </c>
      <c r="G55" s="3171">
        <v>1</v>
      </c>
    </row>
    <row r="56" spans="1:7" ht="15" customHeight="1">
      <c r="A56" s="3557"/>
      <c r="B56" s="3166">
        <v>42</v>
      </c>
      <c r="C56" s="3171" t="s">
        <v>3495</v>
      </c>
      <c r="D56" s="3173">
        <v>73.819999999999993</v>
      </c>
      <c r="E56" s="3174" t="s">
        <v>3465</v>
      </c>
      <c r="F56" s="3171" t="s">
        <v>3453</v>
      </c>
      <c r="G56" s="3171">
        <v>1</v>
      </c>
    </row>
    <row r="57" spans="1:7" ht="15" customHeight="1">
      <c r="A57" s="3557"/>
      <c r="B57" s="3166">
        <v>43</v>
      </c>
      <c r="C57" s="3171" t="s">
        <v>3496</v>
      </c>
      <c r="D57" s="3173">
        <v>84.76</v>
      </c>
      <c r="E57" s="3174" t="s">
        <v>3465</v>
      </c>
      <c r="F57" s="3171" t="s">
        <v>3453</v>
      </c>
      <c r="G57" s="3171">
        <v>1</v>
      </c>
    </row>
    <row r="58" spans="1:7" ht="15" customHeight="1">
      <c r="A58" s="3557"/>
      <c r="B58" s="3166">
        <v>44</v>
      </c>
      <c r="C58" s="3171" t="s">
        <v>3497</v>
      </c>
      <c r="D58" s="3173">
        <v>80.2</v>
      </c>
      <c r="E58" s="3174" t="s">
        <v>3465</v>
      </c>
      <c r="F58" s="3171" t="s">
        <v>3453</v>
      </c>
      <c r="G58" s="3171">
        <v>1</v>
      </c>
    </row>
    <row r="59" spans="1:7" ht="15" customHeight="1">
      <c r="A59" s="3557"/>
      <c r="B59" s="3166">
        <v>45</v>
      </c>
      <c r="C59" s="3171" t="s">
        <v>3498</v>
      </c>
      <c r="D59" s="3173">
        <v>78.680000000000007</v>
      </c>
      <c r="E59" s="3174" t="s">
        <v>3465</v>
      </c>
      <c r="F59" s="3171" t="s">
        <v>3453</v>
      </c>
      <c r="G59" s="3171">
        <v>1</v>
      </c>
    </row>
    <row r="60" spans="1:7" ht="15" customHeight="1">
      <c r="A60" s="3557"/>
      <c r="B60" s="3166">
        <v>46</v>
      </c>
      <c r="C60" s="3171" t="s">
        <v>3499</v>
      </c>
      <c r="D60" s="3173">
        <v>70.819999999999993</v>
      </c>
      <c r="E60" s="3174" t="s">
        <v>3465</v>
      </c>
      <c r="F60" s="3171" t="s">
        <v>3453</v>
      </c>
      <c r="G60" s="3171">
        <v>1</v>
      </c>
    </row>
    <row r="61" spans="1:7" ht="15" customHeight="1">
      <c r="A61" s="3557"/>
      <c r="B61" s="3166">
        <v>47</v>
      </c>
      <c r="C61" s="3171" t="s">
        <v>3500</v>
      </c>
      <c r="D61" s="3173">
        <v>70.819999999999993</v>
      </c>
      <c r="E61" s="3174" t="s">
        <v>3465</v>
      </c>
      <c r="F61" s="3171" t="s">
        <v>3453</v>
      </c>
      <c r="G61" s="3171">
        <v>1</v>
      </c>
    </row>
    <row r="62" spans="1:7" ht="15" customHeight="1">
      <c r="A62" s="3557"/>
      <c r="B62" s="3166">
        <v>48</v>
      </c>
      <c r="C62" s="3171" t="s">
        <v>3501</v>
      </c>
      <c r="D62" s="3173">
        <v>74.849999999999994</v>
      </c>
      <c r="E62" s="3174" t="s">
        <v>3465</v>
      </c>
      <c r="F62" s="3171" t="s">
        <v>3453</v>
      </c>
      <c r="G62" s="3171">
        <v>1</v>
      </c>
    </row>
    <row r="63" spans="1:7" ht="15" customHeight="1">
      <c r="A63" s="3557"/>
      <c r="B63" s="3166">
        <v>49</v>
      </c>
      <c r="C63" s="3171" t="s">
        <v>3502</v>
      </c>
      <c r="D63" s="3173">
        <v>65.19</v>
      </c>
      <c r="E63" s="3174" t="s">
        <v>3465</v>
      </c>
      <c r="F63" s="3171" t="s">
        <v>3453</v>
      </c>
      <c r="G63" s="3171">
        <v>1</v>
      </c>
    </row>
    <row r="64" spans="1:7" ht="15" customHeight="1">
      <c r="A64" s="3557"/>
      <c r="B64" s="3166">
        <v>50</v>
      </c>
      <c r="C64" s="3171" t="s">
        <v>3503</v>
      </c>
      <c r="D64" s="3173">
        <v>65.19</v>
      </c>
      <c r="E64" s="3174" t="s">
        <v>3465</v>
      </c>
      <c r="F64" s="3171" t="s">
        <v>3453</v>
      </c>
      <c r="G64" s="3171">
        <v>1</v>
      </c>
    </row>
    <row r="65" spans="1:7" ht="15" customHeight="1">
      <c r="A65" s="3557"/>
      <c r="B65" s="3166">
        <v>51</v>
      </c>
      <c r="C65" s="3171" t="s">
        <v>3504</v>
      </c>
      <c r="D65" s="3173">
        <v>65.19</v>
      </c>
      <c r="E65" s="3174" t="s">
        <v>3465</v>
      </c>
      <c r="F65" s="3171" t="s">
        <v>3453</v>
      </c>
      <c r="G65" s="3171">
        <v>1</v>
      </c>
    </row>
    <row r="66" spans="1:7" ht="15" customHeight="1">
      <c r="A66" s="3557"/>
      <c r="B66" s="3166">
        <v>52</v>
      </c>
      <c r="C66" s="3171" t="s">
        <v>3505</v>
      </c>
      <c r="D66" s="3173">
        <v>65.19</v>
      </c>
      <c r="E66" s="3174" t="s">
        <v>3465</v>
      </c>
      <c r="F66" s="3171" t="s">
        <v>3453</v>
      </c>
      <c r="G66" s="3171">
        <v>1</v>
      </c>
    </row>
    <row r="67" spans="1:7" ht="15" customHeight="1">
      <c r="A67" s="3557"/>
      <c r="B67" s="3166">
        <v>53</v>
      </c>
      <c r="C67" s="3171" t="s">
        <v>3506</v>
      </c>
      <c r="D67" s="3173">
        <v>74.849999999999994</v>
      </c>
      <c r="E67" s="3174" t="s">
        <v>3465</v>
      </c>
      <c r="F67" s="3171" t="s">
        <v>3453</v>
      </c>
      <c r="G67" s="3171">
        <v>1</v>
      </c>
    </row>
    <row r="68" spans="1:7" ht="15" customHeight="1">
      <c r="A68" s="3557"/>
      <c r="B68" s="3166">
        <v>54</v>
      </c>
      <c r="C68" s="3171" t="s">
        <v>3507</v>
      </c>
      <c r="D68" s="3173">
        <v>52.38</v>
      </c>
      <c r="E68" s="3174" t="s">
        <v>3465</v>
      </c>
      <c r="F68" s="3171" t="s">
        <v>3453</v>
      </c>
      <c r="G68" s="3171">
        <v>1</v>
      </c>
    </row>
    <row r="69" spans="1:7" ht="15" customHeight="1">
      <c r="A69" s="3557"/>
      <c r="B69" s="3166">
        <v>55</v>
      </c>
      <c r="C69" s="3175" t="s">
        <v>3508</v>
      </c>
      <c r="D69" s="3173">
        <v>54.4</v>
      </c>
      <c r="E69" s="3171" t="s">
        <v>3465</v>
      </c>
      <c r="F69" s="3171" t="s">
        <v>3453</v>
      </c>
      <c r="G69" s="3171">
        <v>1</v>
      </c>
    </row>
    <row r="70" spans="1:7" ht="15" customHeight="1">
      <c r="A70" s="3557"/>
      <c r="B70" s="3166">
        <v>56</v>
      </c>
      <c r="C70" s="3175" t="s">
        <v>3509</v>
      </c>
      <c r="D70" s="3173">
        <v>54.4</v>
      </c>
      <c r="E70" s="3171" t="s">
        <v>3465</v>
      </c>
      <c r="F70" s="3171" t="s">
        <v>3453</v>
      </c>
      <c r="G70" s="3171">
        <v>1</v>
      </c>
    </row>
    <row r="71" spans="1:7" ht="15" customHeight="1">
      <c r="A71" s="3557"/>
      <c r="B71" s="3166">
        <v>57</v>
      </c>
      <c r="C71" s="3175" t="s">
        <v>3510</v>
      </c>
      <c r="D71" s="3173">
        <v>54.4</v>
      </c>
      <c r="E71" s="3171" t="s">
        <v>3465</v>
      </c>
      <c r="F71" s="3171" t="s">
        <v>3453</v>
      </c>
      <c r="G71" s="3171">
        <v>1</v>
      </c>
    </row>
    <row r="72" spans="1:7" ht="15" customHeight="1">
      <c r="A72" s="3557"/>
      <c r="B72" s="3166">
        <v>58</v>
      </c>
      <c r="C72" s="3175" t="s">
        <v>3511</v>
      </c>
      <c r="D72" s="3173">
        <v>54.4</v>
      </c>
      <c r="E72" s="3171" t="s">
        <v>3465</v>
      </c>
      <c r="F72" s="3171" t="s">
        <v>3453</v>
      </c>
      <c r="G72" s="3171">
        <v>1</v>
      </c>
    </row>
    <row r="73" spans="1:7" ht="15" customHeight="1">
      <c r="A73" s="3557"/>
      <c r="B73" s="3166">
        <v>59</v>
      </c>
      <c r="C73" s="3171" t="s">
        <v>3512</v>
      </c>
      <c r="D73" s="3173">
        <v>54.4</v>
      </c>
      <c r="E73" s="3171" t="s">
        <v>3452</v>
      </c>
      <c r="F73" s="3171" t="s">
        <v>3453</v>
      </c>
      <c r="G73" s="3171">
        <v>1</v>
      </c>
    </row>
    <row r="74" spans="1:7" ht="15" customHeight="1">
      <c r="A74" s="3557"/>
      <c r="B74" s="3166">
        <v>60</v>
      </c>
      <c r="C74" s="3171" t="s">
        <v>3513</v>
      </c>
      <c r="D74" s="3173">
        <v>57.75</v>
      </c>
      <c r="E74" s="3171" t="s">
        <v>3465</v>
      </c>
      <c r="F74" s="3171" t="s">
        <v>3453</v>
      </c>
      <c r="G74" s="3171">
        <v>1</v>
      </c>
    </row>
    <row r="75" spans="1:7" ht="15" customHeight="1">
      <c r="A75" s="3557"/>
      <c r="B75" s="3166">
        <v>61</v>
      </c>
      <c r="C75" s="3171" t="s">
        <v>3514</v>
      </c>
      <c r="D75" s="3173">
        <v>58.2</v>
      </c>
      <c r="E75" s="3171" t="s">
        <v>3465</v>
      </c>
      <c r="F75" s="3171" t="s">
        <v>3453</v>
      </c>
      <c r="G75" s="3171">
        <v>1</v>
      </c>
    </row>
    <row r="76" spans="1:7" ht="15" customHeight="1">
      <c r="A76" s="3557"/>
      <c r="B76" s="3166">
        <v>62</v>
      </c>
      <c r="C76" s="3171" t="s">
        <v>3515</v>
      </c>
      <c r="D76" s="3173">
        <v>54.83</v>
      </c>
      <c r="E76" s="3171" t="s">
        <v>3465</v>
      </c>
      <c r="F76" s="3171" t="s">
        <v>3453</v>
      </c>
      <c r="G76" s="3171">
        <v>1</v>
      </c>
    </row>
    <row r="77" spans="1:7" ht="15" customHeight="1">
      <c r="A77" s="3557"/>
      <c r="B77" s="3166">
        <v>63</v>
      </c>
      <c r="C77" s="3171" t="s">
        <v>3516</v>
      </c>
      <c r="D77" s="3173">
        <v>54.83</v>
      </c>
      <c r="E77" s="3171" t="s">
        <v>3465</v>
      </c>
      <c r="F77" s="3171" t="s">
        <v>3453</v>
      </c>
      <c r="G77" s="3171">
        <v>1</v>
      </c>
    </row>
    <row r="78" spans="1:7" ht="15" customHeight="1">
      <c r="A78" s="3557"/>
      <c r="B78" s="3166">
        <v>64</v>
      </c>
      <c r="C78" s="3171" t="s">
        <v>3517</v>
      </c>
      <c r="D78" s="3173">
        <v>54.83</v>
      </c>
      <c r="E78" s="3171" t="s">
        <v>3465</v>
      </c>
      <c r="F78" s="3171" t="s">
        <v>3453</v>
      </c>
      <c r="G78" s="3171">
        <v>1</v>
      </c>
    </row>
    <row r="79" spans="1:7" ht="15" customHeight="1">
      <c r="A79" s="3557"/>
      <c r="B79" s="3166">
        <v>65</v>
      </c>
      <c r="C79" s="3171" t="s">
        <v>3518</v>
      </c>
      <c r="D79" s="3173">
        <v>54.83</v>
      </c>
      <c r="E79" s="3171" t="s">
        <v>3465</v>
      </c>
      <c r="F79" s="3171" t="s">
        <v>3453</v>
      </c>
      <c r="G79" s="3171">
        <v>1</v>
      </c>
    </row>
    <row r="80" spans="1:7" ht="15" customHeight="1">
      <c r="A80" s="3557"/>
      <c r="B80" s="3166">
        <v>66</v>
      </c>
      <c r="C80" s="3171" t="s">
        <v>3519</v>
      </c>
      <c r="D80" s="3173">
        <v>54.83</v>
      </c>
      <c r="E80" s="3171" t="s">
        <v>3465</v>
      </c>
      <c r="F80" s="3171" t="s">
        <v>3453</v>
      </c>
      <c r="G80" s="3171">
        <v>1</v>
      </c>
    </row>
    <row r="81" spans="1:7" ht="15" customHeight="1">
      <c r="A81" s="3557"/>
      <c r="B81" s="3166">
        <v>67</v>
      </c>
      <c r="C81" s="3171" t="s">
        <v>3520</v>
      </c>
      <c r="D81" s="3173">
        <v>52.78</v>
      </c>
      <c r="E81" s="3171" t="s">
        <v>3465</v>
      </c>
      <c r="F81" s="3171" t="s">
        <v>3453</v>
      </c>
      <c r="G81" s="3171">
        <v>1</v>
      </c>
    </row>
    <row r="82" spans="1:7" ht="15" customHeight="1">
      <c r="A82" s="3557"/>
      <c r="B82" s="3166">
        <v>68</v>
      </c>
      <c r="C82" s="3171" t="s">
        <v>3521</v>
      </c>
      <c r="D82" s="3173">
        <v>78.83</v>
      </c>
      <c r="E82" s="3171" t="s">
        <v>3465</v>
      </c>
      <c r="F82" s="3171" t="s">
        <v>3453</v>
      </c>
      <c r="G82" s="3171">
        <v>1</v>
      </c>
    </row>
    <row r="83" spans="1:7" ht="15" customHeight="1">
      <c r="A83" s="3557"/>
      <c r="B83" s="3166">
        <v>69</v>
      </c>
      <c r="C83" s="3171" t="s">
        <v>3522</v>
      </c>
      <c r="D83" s="3173">
        <v>74.25</v>
      </c>
      <c r="E83" s="3171" t="s">
        <v>3465</v>
      </c>
      <c r="F83" s="3171" t="s">
        <v>3453</v>
      </c>
      <c r="G83" s="3171">
        <v>1</v>
      </c>
    </row>
    <row r="84" spans="1:7" ht="15" customHeight="1">
      <c r="A84" s="3557"/>
      <c r="B84" s="3166">
        <v>70</v>
      </c>
      <c r="C84" s="3171" t="s">
        <v>3523</v>
      </c>
      <c r="D84" s="3173">
        <v>74.25</v>
      </c>
      <c r="E84" s="3171" t="s">
        <v>3465</v>
      </c>
      <c r="F84" s="3171" t="s">
        <v>3453</v>
      </c>
      <c r="G84" s="3171">
        <v>1</v>
      </c>
    </row>
    <row r="85" spans="1:7" ht="15" customHeight="1">
      <c r="A85" s="3557"/>
      <c r="B85" s="3166">
        <v>71</v>
      </c>
      <c r="C85" s="3171" t="s">
        <v>3524</v>
      </c>
      <c r="D85" s="3173">
        <v>74.25</v>
      </c>
      <c r="E85" s="3171" t="s">
        <v>3465</v>
      </c>
      <c r="F85" s="3171" t="s">
        <v>3453</v>
      </c>
      <c r="G85" s="3171">
        <v>1</v>
      </c>
    </row>
    <row r="86" spans="1:7" ht="15" customHeight="1">
      <c r="A86" s="3557"/>
      <c r="B86" s="3166">
        <v>72</v>
      </c>
      <c r="C86" s="3171" t="s">
        <v>3525</v>
      </c>
      <c r="D86" s="3173">
        <v>74.25</v>
      </c>
      <c r="E86" s="3171" t="s">
        <v>3465</v>
      </c>
      <c r="F86" s="3171" t="s">
        <v>3453</v>
      </c>
      <c r="G86" s="3171">
        <v>1</v>
      </c>
    </row>
    <row r="87" spans="1:7" ht="15" customHeight="1">
      <c r="A87" s="3557"/>
      <c r="B87" s="3166">
        <v>73</v>
      </c>
      <c r="C87" s="3171" t="s">
        <v>3526</v>
      </c>
      <c r="D87" s="3173">
        <v>71.5</v>
      </c>
      <c r="E87" s="3171" t="s">
        <v>3465</v>
      </c>
      <c r="F87" s="3171" t="s">
        <v>3453</v>
      </c>
      <c r="G87" s="3171">
        <v>1</v>
      </c>
    </row>
    <row r="88" spans="1:7" ht="15" customHeight="1">
      <c r="A88" s="3557"/>
      <c r="B88" s="3166">
        <v>74</v>
      </c>
      <c r="C88" s="3171">
        <v>201</v>
      </c>
      <c r="D88" s="3173">
        <v>188.83</v>
      </c>
      <c r="E88" s="3171" t="s">
        <v>3465</v>
      </c>
      <c r="F88" s="3171" t="s">
        <v>3453</v>
      </c>
      <c r="G88" s="3171">
        <v>2</v>
      </c>
    </row>
    <row r="89" spans="1:7" ht="15" customHeight="1">
      <c r="A89" s="3557"/>
      <c r="B89" s="3166">
        <v>75</v>
      </c>
      <c r="C89" s="3171">
        <v>202</v>
      </c>
      <c r="D89" s="3173">
        <v>93.97</v>
      </c>
      <c r="E89" s="3171" t="s">
        <v>3465</v>
      </c>
      <c r="F89" s="3171" t="s">
        <v>3453</v>
      </c>
      <c r="G89" s="3171">
        <v>2</v>
      </c>
    </row>
    <row r="90" spans="1:7" ht="15" customHeight="1">
      <c r="A90" s="3557"/>
      <c r="B90" s="3166">
        <v>76</v>
      </c>
      <c r="C90" s="3171">
        <v>203</v>
      </c>
      <c r="D90" s="3173">
        <v>91.66</v>
      </c>
      <c r="E90" s="3171" t="s">
        <v>3465</v>
      </c>
      <c r="F90" s="3171" t="s">
        <v>3453</v>
      </c>
      <c r="G90" s="3171">
        <v>2</v>
      </c>
    </row>
    <row r="91" spans="1:7" ht="15" customHeight="1">
      <c r="A91" s="3557"/>
      <c r="B91" s="3166">
        <v>77</v>
      </c>
      <c r="C91" s="3171">
        <v>205</v>
      </c>
      <c r="D91" s="3173">
        <v>186.48</v>
      </c>
      <c r="E91" s="3171" t="s">
        <v>3465</v>
      </c>
      <c r="F91" s="3171" t="s">
        <v>3453</v>
      </c>
      <c r="G91" s="3171">
        <v>2</v>
      </c>
    </row>
    <row r="92" spans="1:7" ht="15" customHeight="1">
      <c r="A92" s="3557"/>
      <c r="B92" s="3166">
        <v>78</v>
      </c>
      <c r="C92" s="3171">
        <v>206</v>
      </c>
      <c r="D92" s="3173">
        <v>93.97</v>
      </c>
      <c r="E92" s="3171" t="s">
        <v>3465</v>
      </c>
      <c r="F92" s="3171" t="s">
        <v>3453</v>
      </c>
      <c r="G92" s="3171">
        <v>2</v>
      </c>
    </row>
    <row r="93" spans="1:7" ht="15" customHeight="1">
      <c r="A93" s="3557"/>
      <c r="B93" s="3166">
        <v>79</v>
      </c>
      <c r="C93" s="3171">
        <v>207</v>
      </c>
      <c r="D93" s="3173">
        <v>91.66</v>
      </c>
      <c r="E93" s="3171" t="s">
        <v>3465</v>
      </c>
      <c r="F93" s="3171" t="s">
        <v>3453</v>
      </c>
      <c r="G93" s="3171">
        <v>2</v>
      </c>
    </row>
    <row r="94" spans="1:7" ht="15" customHeight="1">
      <c r="A94" s="3557"/>
      <c r="B94" s="3166">
        <v>80</v>
      </c>
      <c r="C94" s="3171">
        <v>208</v>
      </c>
      <c r="D94" s="3173">
        <v>93.97</v>
      </c>
      <c r="E94" s="3171" t="s">
        <v>3465</v>
      </c>
      <c r="F94" s="3171" t="s">
        <v>3453</v>
      </c>
      <c r="G94" s="3171">
        <v>2</v>
      </c>
    </row>
    <row r="95" spans="1:7" ht="15" customHeight="1">
      <c r="A95" s="3557"/>
      <c r="B95" s="3166">
        <v>81</v>
      </c>
      <c r="C95" s="3171">
        <v>209</v>
      </c>
      <c r="D95" s="3173">
        <v>91.66</v>
      </c>
      <c r="E95" s="3171" t="s">
        <v>3465</v>
      </c>
      <c r="F95" s="3171" t="s">
        <v>3453</v>
      </c>
      <c r="G95" s="3171">
        <v>2</v>
      </c>
    </row>
    <row r="96" spans="1:7" ht="15" customHeight="1">
      <c r="A96" s="3557"/>
      <c r="B96" s="3166">
        <v>82</v>
      </c>
      <c r="C96" s="3171">
        <v>210</v>
      </c>
      <c r="D96" s="3173">
        <v>77.45</v>
      </c>
      <c r="E96" s="3171" t="s">
        <v>3465</v>
      </c>
      <c r="F96" s="3171" t="s">
        <v>3453</v>
      </c>
      <c r="G96" s="3171">
        <v>2</v>
      </c>
    </row>
    <row r="97" spans="1:7" ht="15" customHeight="1">
      <c r="A97" s="3557"/>
      <c r="B97" s="3166">
        <v>83</v>
      </c>
      <c r="C97" s="3171">
        <v>211</v>
      </c>
      <c r="D97" s="3173">
        <v>80.22</v>
      </c>
      <c r="E97" s="3171" t="s">
        <v>3465</v>
      </c>
      <c r="F97" s="3171" t="s">
        <v>3453</v>
      </c>
      <c r="G97" s="3171">
        <v>2</v>
      </c>
    </row>
    <row r="98" spans="1:7" ht="15" customHeight="1">
      <c r="A98" s="3557"/>
      <c r="B98" s="3166">
        <v>84</v>
      </c>
      <c r="C98" s="3171">
        <v>212</v>
      </c>
      <c r="D98" s="3173">
        <v>94.65</v>
      </c>
      <c r="E98" s="3171" t="s">
        <v>3465</v>
      </c>
      <c r="F98" s="3171" t="s">
        <v>3453</v>
      </c>
      <c r="G98" s="3171">
        <v>2</v>
      </c>
    </row>
    <row r="99" spans="1:7" ht="15" customHeight="1">
      <c r="A99" s="3557"/>
      <c r="B99" s="3166">
        <v>85</v>
      </c>
      <c r="C99" s="3171">
        <v>215</v>
      </c>
      <c r="D99" s="3173">
        <v>122.47</v>
      </c>
      <c r="E99" s="3171" t="s">
        <v>3465</v>
      </c>
      <c r="F99" s="3171" t="s">
        <v>3453</v>
      </c>
      <c r="G99" s="3171">
        <v>2</v>
      </c>
    </row>
    <row r="100" spans="1:7" ht="15" customHeight="1">
      <c r="A100" s="3557"/>
      <c r="B100" s="3166">
        <v>86</v>
      </c>
      <c r="C100" s="3171">
        <v>216</v>
      </c>
      <c r="D100" s="3173">
        <v>115.69</v>
      </c>
      <c r="E100" s="3171" t="s">
        <v>3465</v>
      </c>
      <c r="F100" s="3171" t="s">
        <v>3453</v>
      </c>
      <c r="G100" s="3171">
        <v>2</v>
      </c>
    </row>
    <row r="101" spans="1:7" ht="15" customHeight="1">
      <c r="A101" s="3557"/>
      <c r="B101" s="3166">
        <v>87</v>
      </c>
      <c r="C101" s="3171">
        <v>217</v>
      </c>
      <c r="D101" s="3173">
        <v>115.69</v>
      </c>
      <c r="E101" s="3171" t="s">
        <v>3465</v>
      </c>
      <c r="F101" s="3171" t="s">
        <v>3453</v>
      </c>
      <c r="G101" s="3171">
        <v>2</v>
      </c>
    </row>
    <row r="102" spans="1:7" ht="15" customHeight="1">
      <c r="A102" s="3557"/>
      <c r="B102" s="3166">
        <v>88</v>
      </c>
      <c r="C102" s="3171">
        <v>218</v>
      </c>
      <c r="D102" s="3176">
        <v>232.91</v>
      </c>
      <c r="E102" s="3171" t="s">
        <v>3465</v>
      </c>
      <c r="F102" s="3171" t="s">
        <v>3453</v>
      </c>
      <c r="G102" s="3171">
        <v>2</v>
      </c>
    </row>
    <row r="103" spans="1:7" ht="15" customHeight="1">
      <c r="A103" s="3557"/>
      <c r="B103" s="3166">
        <v>89</v>
      </c>
      <c r="C103" s="3171">
        <v>219</v>
      </c>
      <c r="D103" s="3173">
        <v>115.69</v>
      </c>
      <c r="E103" s="3171" t="s">
        <v>3465</v>
      </c>
      <c r="F103" s="3171" t="s">
        <v>3453</v>
      </c>
      <c r="G103" s="3171">
        <v>2</v>
      </c>
    </row>
    <row r="104" spans="1:7" ht="15" customHeight="1">
      <c r="A104" s="3557"/>
      <c r="B104" s="3166">
        <v>90</v>
      </c>
      <c r="C104" s="3171">
        <v>220</v>
      </c>
      <c r="D104" s="3173">
        <v>165.27</v>
      </c>
      <c r="E104" s="3171" t="s">
        <v>3465</v>
      </c>
      <c r="F104" s="3171" t="s">
        <v>3453</v>
      </c>
      <c r="G104" s="3171">
        <v>2</v>
      </c>
    </row>
    <row r="105" spans="1:7" ht="15" customHeight="1">
      <c r="A105" s="3557"/>
      <c r="B105" s="3166">
        <v>91</v>
      </c>
      <c r="C105" s="3171">
        <v>221</v>
      </c>
      <c r="D105" s="3173">
        <v>88.25</v>
      </c>
      <c r="E105" s="3171" t="s">
        <v>3465</v>
      </c>
      <c r="F105" s="3171" t="s">
        <v>3453</v>
      </c>
      <c r="G105" s="3171">
        <v>2</v>
      </c>
    </row>
    <row r="106" spans="1:7" ht="15" customHeight="1">
      <c r="A106" s="3557"/>
      <c r="B106" s="3166">
        <v>92</v>
      </c>
      <c r="C106" s="3171">
        <v>222</v>
      </c>
      <c r="D106" s="3173">
        <v>87.42</v>
      </c>
      <c r="E106" s="3171" t="s">
        <v>3465</v>
      </c>
      <c r="F106" s="3171" t="s">
        <v>3453</v>
      </c>
      <c r="G106" s="3171">
        <v>2</v>
      </c>
    </row>
    <row r="107" spans="1:7" ht="15" customHeight="1">
      <c r="A107" s="3557"/>
      <c r="B107" s="3166">
        <v>93</v>
      </c>
      <c r="C107" s="3171">
        <v>223</v>
      </c>
      <c r="D107" s="3173">
        <v>86.59</v>
      </c>
      <c r="E107" s="3171" t="s">
        <v>3465</v>
      </c>
      <c r="F107" s="3171" t="s">
        <v>3453</v>
      </c>
      <c r="G107" s="3171">
        <v>2</v>
      </c>
    </row>
    <row r="108" spans="1:7" ht="15" customHeight="1">
      <c r="A108" s="3557"/>
      <c r="B108" s="3166">
        <v>94</v>
      </c>
      <c r="C108" s="3171">
        <v>225</v>
      </c>
      <c r="D108" s="3173">
        <v>85.74</v>
      </c>
      <c r="E108" s="3171" t="s">
        <v>3465</v>
      </c>
      <c r="F108" s="3171" t="s">
        <v>3453</v>
      </c>
      <c r="G108" s="3171">
        <v>2</v>
      </c>
    </row>
    <row r="109" spans="1:7" ht="15" customHeight="1">
      <c r="A109" s="3557"/>
      <c r="B109" s="3166">
        <v>95</v>
      </c>
      <c r="C109" s="3171">
        <v>226</v>
      </c>
      <c r="D109" s="3173">
        <v>84.91</v>
      </c>
      <c r="E109" s="3171" t="s">
        <v>3465</v>
      </c>
      <c r="F109" s="3171" t="s">
        <v>3453</v>
      </c>
      <c r="G109" s="3171">
        <v>2</v>
      </c>
    </row>
    <row r="110" spans="1:7" ht="15" customHeight="1">
      <c r="A110" s="3557"/>
      <c r="B110" s="3166">
        <v>96</v>
      </c>
      <c r="C110" s="3171">
        <v>227</v>
      </c>
      <c r="D110" s="3173">
        <v>84.08</v>
      </c>
      <c r="E110" s="3171" t="s">
        <v>3465</v>
      </c>
      <c r="F110" s="3171" t="s">
        <v>3453</v>
      </c>
      <c r="G110" s="3171">
        <v>2</v>
      </c>
    </row>
    <row r="111" spans="1:7" ht="15" customHeight="1">
      <c r="A111" s="3557"/>
      <c r="B111" s="3166">
        <v>97</v>
      </c>
      <c r="C111" s="3171">
        <v>228</v>
      </c>
      <c r="D111" s="3173">
        <v>83.24</v>
      </c>
      <c r="E111" s="3171" t="s">
        <v>3465</v>
      </c>
      <c r="F111" s="3171" t="s">
        <v>3453</v>
      </c>
      <c r="G111" s="3171">
        <v>2</v>
      </c>
    </row>
    <row r="112" spans="1:7" ht="15" customHeight="1">
      <c r="A112" s="3557"/>
      <c r="B112" s="3166">
        <v>98</v>
      </c>
      <c r="C112" s="3171">
        <v>229</v>
      </c>
      <c r="D112" s="3173">
        <v>82.39</v>
      </c>
      <c r="E112" s="3171" t="s">
        <v>3465</v>
      </c>
      <c r="F112" s="3171" t="s">
        <v>3453</v>
      </c>
      <c r="G112" s="3171">
        <v>2</v>
      </c>
    </row>
    <row r="113" spans="1:7" ht="15" customHeight="1">
      <c r="A113" s="3557"/>
      <c r="B113" s="3166">
        <v>99</v>
      </c>
      <c r="C113" s="3171">
        <v>230</v>
      </c>
      <c r="D113" s="3173">
        <v>79.56</v>
      </c>
      <c r="E113" s="3171" t="s">
        <v>3465</v>
      </c>
      <c r="F113" s="3171" t="s">
        <v>3453</v>
      </c>
      <c r="G113" s="3171">
        <v>2</v>
      </c>
    </row>
    <row r="114" spans="1:7" ht="15" customHeight="1">
      <c r="A114" s="3557"/>
      <c r="B114" s="3166">
        <v>100</v>
      </c>
      <c r="C114" s="3171">
        <v>231</v>
      </c>
      <c r="D114" s="3173">
        <v>163.82</v>
      </c>
      <c r="E114" s="3171" t="s">
        <v>3465</v>
      </c>
      <c r="F114" s="3171" t="s">
        <v>3453</v>
      </c>
      <c r="G114" s="3171">
        <v>2</v>
      </c>
    </row>
    <row r="115" spans="1:7" ht="15" customHeight="1">
      <c r="A115" s="3557"/>
      <c r="B115" s="3166">
        <v>101</v>
      </c>
      <c r="C115" s="3171" t="s">
        <v>3527</v>
      </c>
      <c r="D115" s="3173">
        <v>57.56</v>
      </c>
      <c r="E115" s="3171" t="s">
        <v>3465</v>
      </c>
      <c r="F115" s="3171" t="s">
        <v>3453</v>
      </c>
      <c r="G115" s="3171">
        <v>2</v>
      </c>
    </row>
    <row r="116" spans="1:7" ht="15" customHeight="1">
      <c r="A116" s="3557"/>
      <c r="B116" s="3166">
        <v>102</v>
      </c>
      <c r="C116" s="3171" t="s">
        <v>3528</v>
      </c>
      <c r="D116" s="3173">
        <v>62.16</v>
      </c>
      <c r="E116" s="3171" t="s">
        <v>3465</v>
      </c>
      <c r="F116" s="3171" t="s">
        <v>3453</v>
      </c>
      <c r="G116" s="3171">
        <v>2</v>
      </c>
    </row>
    <row r="117" spans="1:7" ht="15" customHeight="1">
      <c r="A117" s="3557"/>
      <c r="B117" s="3166">
        <v>103</v>
      </c>
      <c r="C117" s="3171" t="s">
        <v>3529</v>
      </c>
      <c r="D117" s="3173">
        <v>55.28</v>
      </c>
      <c r="E117" s="3171" t="s">
        <v>3465</v>
      </c>
      <c r="F117" s="3171" t="s">
        <v>3453</v>
      </c>
      <c r="G117" s="3171">
        <v>2</v>
      </c>
    </row>
    <row r="118" spans="1:7" ht="15" customHeight="1">
      <c r="A118" s="3557"/>
      <c r="B118" s="3166">
        <v>104</v>
      </c>
      <c r="C118" s="3171" t="s">
        <v>3530</v>
      </c>
      <c r="D118" s="3173">
        <v>68.47</v>
      </c>
      <c r="E118" s="3171" t="s">
        <v>3465</v>
      </c>
      <c r="F118" s="3171" t="s">
        <v>3453</v>
      </c>
      <c r="G118" s="3171">
        <v>2</v>
      </c>
    </row>
    <row r="119" spans="1:7" ht="15" customHeight="1">
      <c r="A119" s="3557"/>
      <c r="B119" s="3166">
        <v>105</v>
      </c>
      <c r="C119" s="3171" t="s">
        <v>3531</v>
      </c>
      <c r="D119" s="3173">
        <v>63.01</v>
      </c>
      <c r="E119" s="3171" t="s">
        <v>3465</v>
      </c>
      <c r="F119" s="3171" t="s">
        <v>3453</v>
      </c>
      <c r="G119" s="3171">
        <v>2</v>
      </c>
    </row>
    <row r="120" spans="1:7" ht="15" customHeight="1">
      <c r="A120" s="3557"/>
      <c r="B120" s="3166">
        <v>106</v>
      </c>
      <c r="C120" s="3171" t="s">
        <v>3532</v>
      </c>
      <c r="D120" s="3173">
        <v>63.01</v>
      </c>
      <c r="E120" s="3171" t="s">
        <v>3465</v>
      </c>
      <c r="F120" s="3171" t="s">
        <v>3453</v>
      </c>
      <c r="G120" s="3171">
        <v>2</v>
      </c>
    </row>
    <row r="121" spans="1:7" ht="15" customHeight="1">
      <c r="A121" s="3557"/>
      <c r="B121" s="3166">
        <v>107</v>
      </c>
      <c r="C121" s="3171" t="s">
        <v>3533</v>
      </c>
      <c r="D121" s="3173">
        <v>63.01</v>
      </c>
      <c r="E121" s="3171" t="s">
        <v>3465</v>
      </c>
      <c r="F121" s="3171" t="s">
        <v>3453</v>
      </c>
      <c r="G121" s="3171">
        <v>2</v>
      </c>
    </row>
    <row r="122" spans="1:7" ht="15" customHeight="1">
      <c r="A122" s="3557"/>
      <c r="B122" s="3166">
        <v>108</v>
      </c>
      <c r="C122" s="3171" t="s">
        <v>3534</v>
      </c>
      <c r="D122" s="3173">
        <v>63.01</v>
      </c>
      <c r="E122" s="3171" t="s">
        <v>3465</v>
      </c>
      <c r="F122" s="3171" t="s">
        <v>3453</v>
      </c>
      <c r="G122" s="3171">
        <v>2</v>
      </c>
    </row>
    <row r="123" spans="1:7" ht="15" customHeight="1">
      <c r="A123" s="3557"/>
      <c r="B123" s="3166">
        <v>109</v>
      </c>
      <c r="C123" s="3171" t="s">
        <v>3535</v>
      </c>
      <c r="D123" s="3173">
        <v>63.01</v>
      </c>
      <c r="E123" s="3171" t="s">
        <v>3465</v>
      </c>
      <c r="F123" s="3171" t="s">
        <v>3453</v>
      </c>
      <c r="G123" s="3171">
        <v>2</v>
      </c>
    </row>
    <row r="124" spans="1:7" ht="15" customHeight="1">
      <c r="A124" s="3557"/>
      <c r="B124" s="3166">
        <v>110</v>
      </c>
      <c r="C124" s="3171" t="s">
        <v>3536</v>
      </c>
      <c r="D124" s="3173">
        <v>63.01</v>
      </c>
      <c r="E124" s="3171" t="s">
        <v>3465</v>
      </c>
      <c r="F124" s="3171" t="s">
        <v>3453</v>
      </c>
      <c r="G124" s="3171">
        <v>2</v>
      </c>
    </row>
    <row r="125" spans="1:7" ht="15" customHeight="1">
      <c r="A125" s="3557"/>
      <c r="B125" s="3166">
        <v>111</v>
      </c>
      <c r="C125" s="3171" t="s">
        <v>3537</v>
      </c>
      <c r="D125" s="3173">
        <v>68.47</v>
      </c>
      <c r="E125" s="3171" t="s">
        <v>3465</v>
      </c>
      <c r="F125" s="3171" t="s">
        <v>3453</v>
      </c>
      <c r="G125" s="3171">
        <v>2</v>
      </c>
    </row>
    <row r="126" spans="1:7" ht="15" customHeight="1">
      <c r="A126" s="3557"/>
      <c r="B126" s="3166">
        <v>112</v>
      </c>
      <c r="C126" s="3171" t="s">
        <v>3538</v>
      </c>
      <c r="D126" s="3173">
        <v>45.02</v>
      </c>
      <c r="E126" s="3171" t="s">
        <v>3465</v>
      </c>
      <c r="F126" s="3171" t="s">
        <v>3453</v>
      </c>
      <c r="G126" s="3171">
        <v>2</v>
      </c>
    </row>
    <row r="127" spans="1:7" ht="15" customHeight="1">
      <c r="A127" s="3557"/>
      <c r="B127" s="3166">
        <v>113</v>
      </c>
      <c r="C127" s="3171" t="s">
        <v>3539</v>
      </c>
      <c r="D127" s="3173">
        <v>41.44</v>
      </c>
      <c r="E127" s="3171" t="s">
        <v>3465</v>
      </c>
      <c r="F127" s="3171" t="s">
        <v>3453</v>
      </c>
      <c r="G127" s="3171">
        <v>2</v>
      </c>
    </row>
    <row r="128" spans="1:7" ht="15" customHeight="1">
      <c r="A128" s="3557"/>
      <c r="B128" s="3166">
        <v>114</v>
      </c>
      <c r="C128" s="3171" t="s">
        <v>3540</v>
      </c>
      <c r="D128" s="3173">
        <v>41.44</v>
      </c>
      <c r="E128" s="3171" t="s">
        <v>3465</v>
      </c>
      <c r="F128" s="3171" t="s">
        <v>3453</v>
      </c>
      <c r="G128" s="3171">
        <v>2</v>
      </c>
    </row>
    <row r="129" spans="1:7" ht="15" customHeight="1">
      <c r="A129" s="3557"/>
      <c r="B129" s="3166">
        <v>115</v>
      </c>
      <c r="C129" s="3171" t="s">
        <v>3541</v>
      </c>
      <c r="D129" s="3173">
        <v>40.82</v>
      </c>
      <c r="E129" s="3171" t="s">
        <v>3465</v>
      </c>
      <c r="F129" s="3171" t="s">
        <v>3453</v>
      </c>
      <c r="G129" s="3171">
        <v>2</v>
      </c>
    </row>
    <row r="130" spans="1:7" ht="15" customHeight="1">
      <c r="A130" s="3557"/>
      <c r="B130" s="3166">
        <v>116</v>
      </c>
      <c r="C130" s="3171" t="s">
        <v>3542</v>
      </c>
      <c r="D130" s="3173">
        <v>42.06</v>
      </c>
      <c r="E130" s="3171" t="s">
        <v>3465</v>
      </c>
      <c r="F130" s="3171" t="s">
        <v>3453</v>
      </c>
      <c r="G130" s="3171">
        <v>2</v>
      </c>
    </row>
    <row r="131" spans="1:7" ht="15" customHeight="1">
      <c r="A131" s="3557"/>
      <c r="B131" s="3166">
        <v>117</v>
      </c>
      <c r="C131" s="3171" t="s">
        <v>3543</v>
      </c>
      <c r="D131" s="3173">
        <v>41.44</v>
      </c>
      <c r="E131" s="3171" t="s">
        <v>3465</v>
      </c>
      <c r="F131" s="3171" t="s">
        <v>3453</v>
      </c>
      <c r="G131" s="3171">
        <v>2</v>
      </c>
    </row>
    <row r="132" spans="1:7" ht="15" customHeight="1">
      <c r="A132" s="3557"/>
      <c r="B132" s="3166">
        <v>118</v>
      </c>
      <c r="C132" s="3171" t="s">
        <v>3544</v>
      </c>
      <c r="D132" s="3173">
        <v>41.44</v>
      </c>
      <c r="E132" s="3171" t="s">
        <v>3465</v>
      </c>
      <c r="F132" s="3171" t="s">
        <v>3453</v>
      </c>
      <c r="G132" s="3171">
        <v>2</v>
      </c>
    </row>
    <row r="133" spans="1:7" ht="15" customHeight="1">
      <c r="A133" s="3557"/>
      <c r="B133" s="3166">
        <v>119</v>
      </c>
      <c r="C133" s="3171" t="s">
        <v>3545</v>
      </c>
      <c r="D133" s="3173">
        <v>45.02</v>
      </c>
      <c r="E133" s="3171" t="s">
        <v>3465</v>
      </c>
      <c r="F133" s="3171" t="s">
        <v>3453</v>
      </c>
      <c r="G133" s="3171">
        <v>2</v>
      </c>
    </row>
    <row r="134" spans="1:7" ht="15" customHeight="1">
      <c r="A134" s="3557"/>
      <c r="B134" s="3166">
        <v>120</v>
      </c>
      <c r="C134" s="3171" t="s">
        <v>3546</v>
      </c>
      <c r="D134" s="3173">
        <v>44.55</v>
      </c>
      <c r="E134" s="3171" t="s">
        <v>3465</v>
      </c>
      <c r="F134" s="3171" t="s">
        <v>3453</v>
      </c>
      <c r="G134" s="3171">
        <v>2</v>
      </c>
    </row>
    <row r="135" spans="1:7" ht="15" customHeight="1">
      <c r="A135" s="3557"/>
      <c r="B135" s="3166">
        <v>121</v>
      </c>
      <c r="C135" s="3171" t="s">
        <v>3547</v>
      </c>
      <c r="D135" s="3173">
        <v>41.01</v>
      </c>
      <c r="E135" s="3171" t="s">
        <v>3465</v>
      </c>
      <c r="F135" s="3171" t="s">
        <v>3453</v>
      </c>
      <c r="G135" s="3171">
        <v>2</v>
      </c>
    </row>
    <row r="136" spans="1:7" ht="15" customHeight="1">
      <c r="A136" s="3557"/>
      <c r="B136" s="3166">
        <v>122</v>
      </c>
      <c r="C136" s="3171" t="s">
        <v>3548</v>
      </c>
      <c r="D136" s="3173">
        <v>41.01</v>
      </c>
      <c r="E136" s="3171" t="s">
        <v>3465</v>
      </c>
      <c r="F136" s="3171" t="s">
        <v>3453</v>
      </c>
      <c r="G136" s="3171">
        <v>2</v>
      </c>
    </row>
    <row r="137" spans="1:7" ht="15" customHeight="1">
      <c r="A137" s="3557"/>
      <c r="B137" s="3166">
        <v>123</v>
      </c>
      <c r="C137" s="3171" t="s">
        <v>3549</v>
      </c>
      <c r="D137" s="3173">
        <v>41.01</v>
      </c>
      <c r="E137" s="3171" t="s">
        <v>3465</v>
      </c>
      <c r="F137" s="3171" t="s">
        <v>3453</v>
      </c>
      <c r="G137" s="3171">
        <v>2</v>
      </c>
    </row>
    <row r="138" spans="1:7" ht="15" customHeight="1">
      <c r="A138" s="3557"/>
      <c r="B138" s="3166">
        <v>124</v>
      </c>
      <c r="C138" s="3171" t="s">
        <v>3550</v>
      </c>
      <c r="D138" s="3173">
        <v>41.01</v>
      </c>
      <c r="E138" s="3171" t="s">
        <v>3465</v>
      </c>
      <c r="F138" s="3171" t="s">
        <v>3453</v>
      </c>
      <c r="G138" s="3171">
        <v>2</v>
      </c>
    </row>
    <row r="139" spans="1:7" ht="15" customHeight="1">
      <c r="A139" s="3557"/>
      <c r="B139" s="3166">
        <v>125</v>
      </c>
      <c r="C139" s="3171" t="s">
        <v>3551</v>
      </c>
      <c r="D139" s="3173">
        <v>41.01</v>
      </c>
      <c r="E139" s="3171" t="s">
        <v>3465</v>
      </c>
      <c r="F139" s="3171" t="s">
        <v>3453</v>
      </c>
      <c r="G139" s="3171">
        <v>2</v>
      </c>
    </row>
    <row r="140" spans="1:7" ht="15" customHeight="1">
      <c r="A140" s="3557"/>
      <c r="B140" s="3166">
        <v>126</v>
      </c>
      <c r="C140" s="3171" t="s">
        <v>3552</v>
      </c>
      <c r="D140" s="3173">
        <v>41.01</v>
      </c>
      <c r="E140" s="3171" t="s">
        <v>3465</v>
      </c>
      <c r="F140" s="3171" t="s">
        <v>3453</v>
      </c>
      <c r="G140" s="3171">
        <v>2</v>
      </c>
    </row>
    <row r="141" spans="1:7" ht="15" customHeight="1">
      <c r="A141" s="3557"/>
      <c r="B141" s="3166">
        <v>127</v>
      </c>
      <c r="C141" s="3171" t="s">
        <v>3553</v>
      </c>
      <c r="D141" s="3173">
        <v>44.55</v>
      </c>
      <c r="E141" s="3171" t="s">
        <v>3465</v>
      </c>
      <c r="F141" s="3171" t="s">
        <v>3453</v>
      </c>
      <c r="G141" s="3171">
        <v>2</v>
      </c>
    </row>
    <row r="142" spans="1:7" ht="15" customHeight="1">
      <c r="A142" s="3557"/>
      <c r="B142" s="3166">
        <v>128</v>
      </c>
      <c r="C142" s="3171" t="s">
        <v>3554</v>
      </c>
      <c r="D142" s="3173">
        <v>44.55</v>
      </c>
      <c r="E142" s="3171" t="s">
        <v>3465</v>
      </c>
      <c r="F142" s="3171" t="s">
        <v>3453</v>
      </c>
      <c r="G142" s="3171">
        <v>2</v>
      </c>
    </row>
    <row r="143" spans="1:7" ht="15" customHeight="1">
      <c r="A143" s="3557"/>
      <c r="B143" s="3166">
        <v>129</v>
      </c>
      <c r="C143" s="3171" t="s">
        <v>3555</v>
      </c>
      <c r="D143" s="3173">
        <v>41.01</v>
      </c>
      <c r="E143" s="3171" t="s">
        <v>3465</v>
      </c>
      <c r="F143" s="3171" t="s">
        <v>3453</v>
      </c>
      <c r="G143" s="3171">
        <v>2</v>
      </c>
    </row>
    <row r="144" spans="1:7" ht="15" customHeight="1">
      <c r="A144" s="3557"/>
      <c r="B144" s="3166">
        <v>130</v>
      </c>
      <c r="C144" s="3171" t="s">
        <v>3556</v>
      </c>
      <c r="D144" s="3173">
        <v>41.01</v>
      </c>
      <c r="E144" s="3171" t="s">
        <v>3465</v>
      </c>
      <c r="F144" s="3171" t="s">
        <v>3453</v>
      </c>
      <c r="G144" s="3171">
        <v>2</v>
      </c>
    </row>
    <row r="145" spans="1:7" ht="15" customHeight="1">
      <c r="A145" s="3557"/>
      <c r="B145" s="3166">
        <v>131</v>
      </c>
      <c r="C145" s="3171" t="s">
        <v>3557</v>
      </c>
      <c r="D145" s="3173">
        <v>41.01</v>
      </c>
      <c r="E145" s="3171" t="s">
        <v>3465</v>
      </c>
      <c r="F145" s="3171" t="s">
        <v>3453</v>
      </c>
      <c r="G145" s="3171">
        <v>2</v>
      </c>
    </row>
    <row r="146" spans="1:7" ht="15" customHeight="1">
      <c r="A146" s="3557"/>
      <c r="B146" s="3166">
        <v>132</v>
      </c>
      <c r="C146" s="3171" t="s">
        <v>3558</v>
      </c>
      <c r="D146" s="3173">
        <v>41.01</v>
      </c>
      <c r="E146" s="3171" t="s">
        <v>3465</v>
      </c>
      <c r="F146" s="3171" t="s">
        <v>3453</v>
      </c>
      <c r="G146" s="3171">
        <v>2</v>
      </c>
    </row>
    <row r="147" spans="1:7" ht="15" customHeight="1">
      <c r="A147" s="3557"/>
      <c r="B147" s="3166">
        <v>133</v>
      </c>
      <c r="C147" s="3171" t="s">
        <v>3559</v>
      </c>
      <c r="D147" s="3173">
        <v>41.01</v>
      </c>
      <c r="E147" s="3171" t="s">
        <v>3465</v>
      </c>
      <c r="F147" s="3171" t="s">
        <v>3453</v>
      </c>
      <c r="G147" s="3171">
        <v>2</v>
      </c>
    </row>
    <row r="148" spans="1:7" ht="15" customHeight="1">
      <c r="A148" s="3557"/>
      <c r="B148" s="3166">
        <v>134</v>
      </c>
      <c r="C148" s="3171" t="s">
        <v>3560</v>
      </c>
      <c r="D148" s="3173">
        <v>41.01</v>
      </c>
      <c r="E148" s="3171" t="s">
        <v>3465</v>
      </c>
      <c r="F148" s="3171" t="s">
        <v>3453</v>
      </c>
      <c r="G148" s="3171">
        <v>2</v>
      </c>
    </row>
    <row r="149" spans="1:7" ht="15" customHeight="1">
      <c r="A149" s="3557"/>
      <c r="B149" s="3166">
        <v>135</v>
      </c>
      <c r="C149" s="3171" t="s">
        <v>3561</v>
      </c>
      <c r="D149" s="3173">
        <v>37.520000000000003</v>
      </c>
      <c r="E149" s="3171" t="s">
        <v>3465</v>
      </c>
      <c r="F149" s="3171" t="s">
        <v>3453</v>
      </c>
      <c r="G149" s="3171">
        <v>2</v>
      </c>
    </row>
    <row r="150" spans="1:7" ht="15" customHeight="1">
      <c r="A150" s="3557"/>
      <c r="B150" s="3166">
        <v>136</v>
      </c>
      <c r="C150" s="3171" t="s">
        <v>3562</v>
      </c>
      <c r="D150" s="3173">
        <v>44.04</v>
      </c>
      <c r="E150" s="3171" t="s">
        <v>3465</v>
      </c>
      <c r="F150" s="3171" t="s">
        <v>3453</v>
      </c>
      <c r="G150" s="3171">
        <v>2</v>
      </c>
    </row>
    <row r="151" spans="1:7" ht="15" customHeight="1">
      <c r="A151" s="3557"/>
      <c r="B151" s="3166">
        <v>137</v>
      </c>
      <c r="C151" s="3171" t="s">
        <v>3563</v>
      </c>
      <c r="D151" s="3173">
        <v>44.04</v>
      </c>
      <c r="E151" s="3171" t="s">
        <v>3465</v>
      </c>
      <c r="F151" s="3171" t="s">
        <v>3453</v>
      </c>
      <c r="G151" s="3171">
        <v>2</v>
      </c>
    </row>
    <row r="152" spans="1:7" ht="15" customHeight="1">
      <c r="A152" s="3557"/>
      <c r="B152" s="3166">
        <v>138</v>
      </c>
      <c r="C152" s="3171" t="s">
        <v>3564</v>
      </c>
      <c r="D152" s="3173">
        <v>44.04</v>
      </c>
      <c r="E152" s="3171" t="s">
        <v>3465</v>
      </c>
      <c r="F152" s="3171" t="s">
        <v>3453</v>
      </c>
      <c r="G152" s="3171">
        <v>2</v>
      </c>
    </row>
    <row r="153" spans="1:7" ht="15" customHeight="1">
      <c r="A153" s="3557"/>
      <c r="B153" s="3166">
        <v>139</v>
      </c>
      <c r="C153" s="3171" t="s">
        <v>3565</v>
      </c>
      <c r="D153" s="3173">
        <v>44.04</v>
      </c>
      <c r="E153" s="3171" t="s">
        <v>3465</v>
      </c>
      <c r="F153" s="3171" t="s">
        <v>3453</v>
      </c>
      <c r="G153" s="3171">
        <v>2</v>
      </c>
    </row>
    <row r="154" spans="1:7" ht="15" customHeight="1">
      <c r="A154" s="3557"/>
      <c r="B154" s="3166">
        <v>140</v>
      </c>
      <c r="C154" s="3171" t="s">
        <v>3566</v>
      </c>
      <c r="D154" s="3173">
        <v>44.04</v>
      </c>
      <c r="E154" s="3171" t="s">
        <v>3465</v>
      </c>
      <c r="F154" s="3171" t="s">
        <v>3453</v>
      </c>
      <c r="G154" s="3171">
        <v>2</v>
      </c>
    </row>
    <row r="155" spans="1:7" ht="15" customHeight="1">
      <c r="A155" s="3557"/>
      <c r="B155" s="3166">
        <v>141</v>
      </c>
      <c r="C155" s="3171" t="s">
        <v>3567</v>
      </c>
      <c r="D155" s="3173">
        <v>44.04</v>
      </c>
      <c r="E155" s="3171" t="s">
        <v>3465</v>
      </c>
      <c r="F155" s="3171" t="s">
        <v>3453</v>
      </c>
      <c r="G155" s="3171">
        <v>2</v>
      </c>
    </row>
    <row r="156" spans="1:7" ht="15" customHeight="1">
      <c r="A156" s="3557"/>
      <c r="B156" s="3166">
        <v>142</v>
      </c>
      <c r="C156" s="3171" t="s">
        <v>3568</v>
      </c>
      <c r="D156" s="3173">
        <v>29.35</v>
      </c>
      <c r="E156" s="3171" t="s">
        <v>3465</v>
      </c>
      <c r="F156" s="3171" t="s">
        <v>3453</v>
      </c>
      <c r="G156" s="3171">
        <v>2</v>
      </c>
    </row>
    <row r="157" spans="1:7" ht="15" customHeight="1">
      <c r="A157" s="3557"/>
      <c r="B157" s="3166">
        <v>143</v>
      </c>
      <c r="C157" s="3171" t="s">
        <v>3569</v>
      </c>
      <c r="D157" s="3173">
        <v>29.35</v>
      </c>
      <c r="E157" s="3171" t="s">
        <v>3465</v>
      </c>
      <c r="F157" s="3171" t="s">
        <v>3453</v>
      </c>
      <c r="G157" s="3171">
        <v>2</v>
      </c>
    </row>
    <row r="158" spans="1:7" ht="15" customHeight="1">
      <c r="A158" s="3557"/>
      <c r="B158" s="3166">
        <v>144</v>
      </c>
      <c r="C158" s="3171" t="s">
        <v>3570</v>
      </c>
      <c r="D158" s="3173">
        <v>29.65</v>
      </c>
      <c r="E158" s="3171" t="s">
        <v>3465</v>
      </c>
      <c r="F158" s="3171" t="s">
        <v>3453</v>
      </c>
      <c r="G158" s="3171">
        <v>2</v>
      </c>
    </row>
    <row r="159" spans="1:7" ht="15" customHeight="1">
      <c r="A159" s="3557"/>
      <c r="B159" s="3166">
        <v>145</v>
      </c>
      <c r="C159" s="3171" t="s">
        <v>3571</v>
      </c>
      <c r="D159" s="3173">
        <v>29.06</v>
      </c>
      <c r="E159" s="3171" t="s">
        <v>3465</v>
      </c>
      <c r="F159" s="3171" t="s">
        <v>3453</v>
      </c>
      <c r="G159" s="3171">
        <v>2</v>
      </c>
    </row>
    <row r="160" spans="1:7" ht="15" customHeight="1">
      <c r="A160" s="3557"/>
      <c r="B160" s="3166">
        <v>146</v>
      </c>
      <c r="C160" s="3171" t="s">
        <v>3572</v>
      </c>
      <c r="D160" s="3173">
        <v>29.35</v>
      </c>
      <c r="E160" s="3171" t="s">
        <v>3465</v>
      </c>
      <c r="F160" s="3171" t="s">
        <v>3453</v>
      </c>
      <c r="G160" s="3171">
        <v>2</v>
      </c>
    </row>
    <row r="161" spans="1:7" ht="15" customHeight="1">
      <c r="A161" s="3557"/>
      <c r="B161" s="3166">
        <v>147</v>
      </c>
      <c r="C161" s="3171" t="s">
        <v>3573</v>
      </c>
      <c r="D161" s="3173">
        <v>29.35</v>
      </c>
      <c r="E161" s="3171" t="s">
        <v>3465</v>
      </c>
      <c r="F161" s="3171" t="s">
        <v>3453</v>
      </c>
      <c r="G161" s="3171">
        <v>2</v>
      </c>
    </row>
    <row r="162" spans="1:7" ht="15" customHeight="1">
      <c r="A162" s="3557"/>
      <c r="B162" s="3166">
        <v>148</v>
      </c>
      <c r="C162" s="3171" t="s">
        <v>3574</v>
      </c>
      <c r="D162" s="3173">
        <v>43.17</v>
      </c>
      <c r="E162" s="3171" t="s">
        <v>3465</v>
      </c>
      <c r="F162" s="3171" t="s">
        <v>3453</v>
      </c>
      <c r="G162" s="3171">
        <v>2</v>
      </c>
    </row>
    <row r="163" spans="1:7" ht="15" customHeight="1">
      <c r="A163" s="3557"/>
      <c r="B163" s="3166">
        <v>149</v>
      </c>
      <c r="C163" s="3171" t="s">
        <v>3575</v>
      </c>
      <c r="D163" s="3173">
        <v>43.17</v>
      </c>
      <c r="E163" s="3171" t="s">
        <v>3465</v>
      </c>
      <c r="F163" s="3171" t="s">
        <v>3453</v>
      </c>
      <c r="G163" s="3171">
        <v>2</v>
      </c>
    </row>
    <row r="164" spans="1:7" ht="15" customHeight="1">
      <c r="A164" s="3557"/>
      <c r="B164" s="3166">
        <v>150</v>
      </c>
      <c r="C164" s="3171" t="s">
        <v>3576</v>
      </c>
      <c r="D164" s="3173">
        <v>43.17</v>
      </c>
      <c r="E164" s="3171" t="s">
        <v>3465</v>
      </c>
      <c r="F164" s="3171" t="s">
        <v>3453</v>
      </c>
      <c r="G164" s="3171">
        <v>2</v>
      </c>
    </row>
    <row r="165" spans="1:7" ht="15" customHeight="1">
      <c r="A165" s="3557"/>
      <c r="B165" s="3166">
        <v>151</v>
      </c>
      <c r="C165" s="3171" t="s">
        <v>3577</v>
      </c>
      <c r="D165" s="3173">
        <v>43.17</v>
      </c>
      <c r="E165" s="3171" t="s">
        <v>3465</v>
      </c>
      <c r="F165" s="3171" t="s">
        <v>3453</v>
      </c>
      <c r="G165" s="3171">
        <v>2</v>
      </c>
    </row>
    <row r="166" spans="1:7" ht="15" customHeight="1">
      <c r="A166" s="3557"/>
      <c r="B166" s="3166">
        <v>152</v>
      </c>
      <c r="C166" s="3171" t="s">
        <v>3578</v>
      </c>
      <c r="D166" s="3173">
        <v>43.17</v>
      </c>
      <c r="E166" s="3171" t="s">
        <v>3465</v>
      </c>
      <c r="F166" s="3171" t="s">
        <v>3453</v>
      </c>
      <c r="G166" s="3171">
        <v>2</v>
      </c>
    </row>
    <row r="167" spans="1:7" ht="15" customHeight="1">
      <c r="A167" s="3557"/>
      <c r="B167" s="3166">
        <v>153</v>
      </c>
      <c r="C167" s="3171" t="s">
        <v>3579</v>
      </c>
      <c r="D167" s="3173">
        <v>43.17</v>
      </c>
      <c r="E167" s="3171" t="s">
        <v>3465</v>
      </c>
      <c r="F167" s="3171" t="s">
        <v>3453</v>
      </c>
      <c r="G167" s="3171">
        <v>2</v>
      </c>
    </row>
    <row r="168" spans="1:7" ht="15" customHeight="1">
      <c r="A168" s="3557"/>
      <c r="B168" s="3166">
        <v>154</v>
      </c>
      <c r="C168" s="3171" t="s">
        <v>3580</v>
      </c>
      <c r="D168" s="3173">
        <v>43.17</v>
      </c>
      <c r="E168" s="3171" t="s">
        <v>3465</v>
      </c>
      <c r="F168" s="3171" t="s">
        <v>3453</v>
      </c>
      <c r="G168" s="3171">
        <v>2</v>
      </c>
    </row>
    <row r="169" spans="1:7" ht="15" customHeight="1">
      <c r="A169" s="3557"/>
      <c r="B169" s="3166">
        <v>155</v>
      </c>
      <c r="C169" s="3171" t="s">
        <v>3581</v>
      </c>
      <c r="D169" s="3173">
        <v>43.17</v>
      </c>
      <c r="E169" s="3171" t="s">
        <v>3465</v>
      </c>
      <c r="F169" s="3171" t="s">
        <v>3453</v>
      </c>
      <c r="G169" s="3171">
        <v>2</v>
      </c>
    </row>
    <row r="170" spans="1:7" ht="15" customHeight="1">
      <c r="A170" s="3557"/>
      <c r="B170" s="3166">
        <v>156</v>
      </c>
      <c r="C170" s="3171" t="s">
        <v>3582</v>
      </c>
      <c r="D170" s="3173">
        <v>72.099999999999994</v>
      </c>
      <c r="E170" s="3171" t="s">
        <v>3465</v>
      </c>
      <c r="F170" s="3171" t="s">
        <v>3453</v>
      </c>
      <c r="G170" s="3171">
        <v>2</v>
      </c>
    </row>
    <row r="171" spans="1:7" ht="15" customHeight="1">
      <c r="A171" s="3557"/>
      <c r="B171" s="3166">
        <v>157</v>
      </c>
      <c r="C171" s="3171" t="s">
        <v>3583</v>
      </c>
      <c r="D171" s="3173">
        <v>72.099999999999994</v>
      </c>
      <c r="E171" s="3171" t="s">
        <v>3465</v>
      </c>
      <c r="F171" s="3171" t="s">
        <v>3453</v>
      </c>
      <c r="G171" s="3171">
        <v>2</v>
      </c>
    </row>
    <row r="172" spans="1:7" ht="15" customHeight="1">
      <c r="A172" s="3557"/>
      <c r="B172" s="3166">
        <v>158</v>
      </c>
      <c r="C172" s="3171" t="s">
        <v>3584</v>
      </c>
      <c r="D172" s="3173">
        <v>72.099999999999994</v>
      </c>
      <c r="E172" s="3171" t="s">
        <v>3465</v>
      </c>
      <c r="F172" s="3171" t="s">
        <v>3453</v>
      </c>
      <c r="G172" s="3171">
        <v>2</v>
      </c>
    </row>
    <row r="173" spans="1:7" ht="15" customHeight="1">
      <c r="A173" s="3557"/>
      <c r="B173" s="3166">
        <v>159</v>
      </c>
      <c r="C173" s="3171" t="s">
        <v>3585</v>
      </c>
      <c r="D173" s="3173">
        <v>76.53</v>
      </c>
      <c r="E173" s="3171" t="s">
        <v>3465</v>
      </c>
      <c r="F173" s="3171" t="s">
        <v>3453</v>
      </c>
      <c r="G173" s="3171">
        <v>2</v>
      </c>
    </row>
    <row r="174" spans="1:7" ht="15" customHeight="1">
      <c r="A174" s="3557"/>
      <c r="B174" s="3166">
        <v>160</v>
      </c>
      <c r="C174" s="3171" t="s">
        <v>3586</v>
      </c>
      <c r="D174" s="3173">
        <v>44.04</v>
      </c>
      <c r="E174" s="3171" t="s">
        <v>3465</v>
      </c>
      <c r="F174" s="3171" t="s">
        <v>3453</v>
      </c>
      <c r="G174" s="3171">
        <v>2</v>
      </c>
    </row>
    <row r="175" spans="1:7" ht="15" customHeight="1">
      <c r="A175" s="3557"/>
      <c r="B175" s="3166">
        <v>161</v>
      </c>
      <c r="C175" s="3171" t="s">
        <v>3587</v>
      </c>
      <c r="D175" s="3173">
        <v>44.04</v>
      </c>
      <c r="E175" s="3171" t="s">
        <v>3465</v>
      </c>
      <c r="F175" s="3171" t="s">
        <v>3453</v>
      </c>
      <c r="G175" s="3171">
        <v>2</v>
      </c>
    </row>
    <row r="176" spans="1:7" ht="15" customHeight="1">
      <c r="A176" s="3557"/>
      <c r="B176" s="3166">
        <v>162</v>
      </c>
      <c r="C176" s="3171" t="s">
        <v>3588</v>
      </c>
      <c r="D176" s="3173">
        <v>44.04</v>
      </c>
      <c r="E176" s="3171" t="s">
        <v>3452</v>
      </c>
      <c r="F176" s="3171" t="s">
        <v>3453</v>
      </c>
      <c r="G176" s="3171">
        <v>2</v>
      </c>
    </row>
    <row r="177" spans="1:7" ht="15" customHeight="1">
      <c r="A177" s="3557"/>
      <c r="B177" s="3166">
        <v>163</v>
      </c>
      <c r="C177" s="3171" t="s">
        <v>3589</v>
      </c>
      <c r="D177" s="3173">
        <v>44.04</v>
      </c>
      <c r="E177" s="3171" t="s">
        <v>3452</v>
      </c>
      <c r="F177" s="3171" t="s">
        <v>3453</v>
      </c>
      <c r="G177" s="3171">
        <v>2</v>
      </c>
    </row>
    <row r="178" spans="1:7" ht="15" customHeight="1">
      <c r="A178" s="3557"/>
      <c r="B178" s="3166">
        <v>164</v>
      </c>
      <c r="C178" s="3171" t="s">
        <v>3590</v>
      </c>
      <c r="D178" s="3173">
        <v>44.04</v>
      </c>
      <c r="E178" s="3171" t="s">
        <v>3452</v>
      </c>
      <c r="F178" s="3171" t="s">
        <v>3453</v>
      </c>
      <c r="G178" s="3171">
        <v>2</v>
      </c>
    </row>
    <row r="179" spans="1:7" ht="15" customHeight="1">
      <c r="A179" s="3557"/>
      <c r="B179" s="3166">
        <v>165</v>
      </c>
      <c r="C179" s="3171" t="s">
        <v>3591</v>
      </c>
      <c r="D179" s="3173">
        <v>50.56</v>
      </c>
      <c r="E179" s="3171" t="s">
        <v>3452</v>
      </c>
      <c r="F179" s="3171" t="s">
        <v>3453</v>
      </c>
      <c r="G179" s="3171">
        <v>2</v>
      </c>
    </row>
    <row r="180" spans="1:7" ht="15" customHeight="1">
      <c r="A180" s="3557"/>
      <c r="B180" s="3166">
        <v>166</v>
      </c>
      <c r="C180" s="3171" t="s">
        <v>3592</v>
      </c>
      <c r="D180" s="3173">
        <v>37.28</v>
      </c>
      <c r="E180" s="3171" t="s">
        <v>3452</v>
      </c>
      <c r="F180" s="3171" t="s">
        <v>3453</v>
      </c>
      <c r="G180" s="3171">
        <v>2</v>
      </c>
    </row>
    <row r="181" spans="1:7" ht="15" customHeight="1">
      <c r="A181" s="3557"/>
      <c r="B181" s="3166">
        <v>167</v>
      </c>
      <c r="C181" s="3171" t="s">
        <v>3593</v>
      </c>
      <c r="D181" s="3173">
        <v>37.28</v>
      </c>
      <c r="E181" s="3171" t="s">
        <v>3452</v>
      </c>
      <c r="F181" s="3171" t="s">
        <v>3453</v>
      </c>
      <c r="G181" s="3171">
        <v>2</v>
      </c>
    </row>
    <row r="182" spans="1:7" ht="15" customHeight="1">
      <c r="A182" s="3557"/>
      <c r="B182" s="3166">
        <v>168</v>
      </c>
      <c r="C182" s="3171" t="s">
        <v>3594</v>
      </c>
      <c r="D182" s="3173">
        <v>35.880000000000003</v>
      </c>
      <c r="E182" s="3171" t="s">
        <v>3452</v>
      </c>
      <c r="F182" s="3171" t="s">
        <v>3453</v>
      </c>
      <c r="G182" s="3171">
        <v>2</v>
      </c>
    </row>
    <row r="183" spans="1:7" ht="15" customHeight="1">
      <c r="A183" s="3557"/>
      <c r="B183" s="3166">
        <v>169</v>
      </c>
      <c r="C183" s="3171" t="s">
        <v>3595</v>
      </c>
      <c r="D183" s="3173">
        <v>35.880000000000003</v>
      </c>
      <c r="E183" s="3171" t="s">
        <v>3452</v>
      </c>
      <c r="F183" s="3171" t="s">
        <v>3453</v>
      </c>
      <c r="G183" s="3171">
        <v>2</v>
      </c>
    </row>
    <row r="184" spans="1:7" ht="15" customHeight="1">
      <c r="A184" s="3557"/>
      <c r="B184" s="3166">
        <v>170</v>
      </c>
      <c r="C184" s="3171" t="s">
        <v>3596</v>
      </c>
      <c r="D184" s="3173">
        <v>33.700000000000003</v>
      </c>
      <c r="E184" s="3171" t="s">
        <v>3452</v>
      </c>
      <c r="F184" s="3171" t="s">
        <v>3453</v>
      </c>
      <c r="G184" s="3171">
        <v>2</v>
      </c>
    </row>
    <row r="185" spans="1:7" ht="15" customHeight="1">
      <c r="A185" s="3557"/>
      <c r="B185" s="3166">
        <v>171</v>
      </c>
      <c r="C185" s="3171" t="s">
        <v>3597</v>
      </c>
      <c r="D185" s="3173">
        <v>29.35</v>
      </c>
      <c r="E185" s="3171" t="s">
        <v>3465</v>
      </c>
      <c r="F185" s="3171" t="s">
        <v>3598</v>
      </c>
      <c r="G185" s="3171">
        <v>2</v>
      </c>
    </row>
    <row r="186" spans="1:7" ht="15" customHeight="1">
      <c r="A186" s="3557"/>
      <c r="B186" s="3166">
        <v>172</v>
      </c>
      <c r="C186" s="3171" t="s">
        <v>3599</v>
      </c>
      <c r="D186" s="3173">
        <v>29.35</v>
      </c>
      <c r="E186" s="3171" t="s">
        <v>3465</v>
      </c>
      <c r="F186" s="3171" t="s">
        <v>3598</v>
      </c>
      <c r="G186" s="3171">
        <v>2</v>
      </c>
    </row>
    <row r="187" spans="1:7" ht="15" customHeight="1">
      <c r="A187" s="3557"/>
      <c r="B187" s="3166">
        <v>173</v>
      </c>
      <c r="C187" s="3171" t="s">
        <v>3600</v>
      </c>
      <c r="D187" s="3173">
        <v>29.35</v>
      </c>
      <c r="E187" s="3171" t="s">
        <v>3465</v>
      </c>
      <c r="F187" s="3171" t="s">
        <v>3598</v>
      </c>
      <c r="G187" s="3171">
        <v>2</v>
      </c>
    </row>
    <row r="188" spans="1:7" ht="15" customHeight="1">
      <c r="A188" s="3557"/>
      <c r="B188" s="3166">
        <v>174</v>
      </c>
      <c r="C188" s="3171" t="s">
        <v>3601</v>
      </c>
      <c r="D188" s="3173">
        <v>29.35</v>
      </c>
      <c r="E188" s="3171" t="s">
        <v>3465</v>
      </c>
      <c r="F188" s="3171" t="s">
        <v>3598</v>
      </c>
      <c r="G188" s="3171">
        <v>2</v>
      </c>
    </row>
    <row r="189" spans="1:7" ht="15" customHeight="1">
      <c r="A189" s="3557"/>
      <c r="B189" s="3166">
        <v>175</v>
      </c>
      <c r="C189" s="3171" t="s">
        <v>3602</v>
      </c>
      <c r="D189" s="3173">
        <v>29.35</v>
      </c>
      <c r="E189" s="3171" t="s">
        <v>3465</v>
      </c>
      <c r="F189" s="3171" t="s">
        <v>3598</v>
      </c>
      <c r="G189" s="3171">
        <v>2</v>
      </c>
    </row>
    <row r="190" spans="1:7" ht="15" customHeight="1">
      <c r="A190" s="3557"/>
      <c r="B190" s="3166">
        <v>176</v>
      </c>
      <c r="C190" s="3171" t="s">
        <v>3603</v>
      </c>
      <c r="D190" s="3173">
        <v>48.35</v>
      </c>
      <c r="E190" s="3171" t="s">
        <v>3465</v>
      </c>
      <c r="F190" s="3171" t="s">
        <v>3598</v>
      </c>
      <c r="G190" s="3171">
        <v>2</v>
      </c>
    </row>
    <row r="191" spans="1:7" ht="15" customHeight="1">
      <c r="A191" s="3557"/>
      <c r="B191" s="3166">
        <v>177</v>
      </c>
      <c r="C191" s="3171" t="s">
        <v>3604</v>
      </c>
      <c r="D191" s="3173">
        <v>48.35</v>
      </c>
      <c r="E191" s="3171" t="s">
        <v>3465</v>
      </c>
      <c r="F191" s="3171" t="s">
        <v>3598</v>
      </c>
      <c r="G191" s="3171">
        <v>2</v>
      </c>
    </row>
    <row r="192" spans="1:7" ht="15" customHeight="1">
      <c r="A192" s="3557"/>
      <c r="B192" s="3166">
        <v>178</v>
      </c>
      <c r="C192" s="3171" t="s">
        <v>3605</v>
      </c>
      <c r="D192" s="3173">
        <v>48.35</v>
      </c>
      <c r="E192" s="3171" t="s">
        <v>3465</v>
      </c>
      <c r="F192" s="3171" t="s">
        <v>3598</v>
      </c>
      <c r="G192" s="3171">
        <v>2</v>
      </c>
    </row>
    <row r="193" spans="1:7" ht="15" customHeight="1">
      <c r="A193" s="3557"/>
      <c r="B193" s="3166">
        <v>179</v>
      </c>
      <c r="C193" s="3171" t="s">
        <v>3606</v>
      </c>
      <c r="D193" s="3173">
        <v>48.35</v>
      </c>
      <c r="E193" s="3171" t="s">
        <v>3465</v>
      </c>
      <c r="F193" s="3171" t="s">
        <v>3598</v>
      </c>
      <c r="G193" s="3171">
        <v>2</v>
      </c>
    </row>
    <row r="194" spans="1:7" ht="15" customHeight="1">
      <c r="A194" s="3557"/>
      <c r="B194" s="3166">
        <v>180</v>
      </c>
      <c r="C194" s="3171" t="s">
        <v>3607</v>
      </c>
      <c r="D194" s="3173">
        <v>48.35</v>
      </c>
      <c r="E194" s="3171" t="s">
        <v>3465</v>
      </c>
      <c r="F194" s="3171" t="s">
        <v>3598</v>
      </c>
      <c r="G194" s="3171">
        <v>2</v>
      </c>
    </row>
    <row r="195" spans="1:7" ht="15" customHeight="1">
      <c r="A195" s="3557"/>
      <c r="B195" s="3166">
        <v>181</v>
      </c>
      <c r="C195" s="3171" t="s">
        <v>3608</v>
      </c>
      <c r="D195" s="3173">
        <v>55.51</v>
      </c>
      <c r="E195" s="3171" t="s">
        <v>3465</v>
      </c>
      <c r="F195" s="3171" t="s">
        <v>3598</v>
      </c>
      <c r="G195" s="3171">
        <v>2</v>
      </c>
    </row>
    <row r="196" spans="1:7" ht="15" customHeight="1">
      <c r="A196" s="3557"/>
      <c r="B196" s="3166">
        <v>182</v>
      </c>
      <c r="C196" s="3171" t="s">
        <v>3609</v>
      </c>
      <c r="D196" s="3173">
        <v>40.1</v>
      </c>
      <c r="E196" s="3171" t="s">
        <v>3465</v>
      </c>
      <c r="F196" s="3171" t="s">
        <v>3598</v>
      </c>
      <c r="G196" s="3171">
        <v>2</v>
      </c>
    </row>
    <row r="197" spans="1:7" ht="15" customHeight="1">
      <c r="A197" s="3557"/>
      <c r="B197" s="3166">
        <v>183</v>
      </c>
      <c r="C197" s="3171" t="s">
        <v>3610</v>
      </c>
      <c r="D197" s="3173">
        <v>40.1</v>
      </c>
      <c r="E197" s="3171" t="s">
        <v>3465</v>
      </c>
      <c r="F197" s="3171" t="s">
        <v>3598</v>
      </c>
      <c r="G197" s="3171">
        <v>2</v>
      </c>
    </row>
    <row r="198" spans="1:7" ht="15" customHeight="1">
      <c r="A198" s="3557"/>
      <c r="B198" s="3166">
        <v>184</v>
      </c>
      <c r="C198" s="3171" t="s">
        <v>3611</v>
      </c>
      <c r="D198" s="3173">
        <v>48.07</v>
      </c>
      <c r="E198" s="3171" t="s">
        <v>3465</v>
      </c>
      <c r="F198" s="3171" t="s">
        <v>3598</v>
      </c>
      <c r="G198" s="3171">
        <v>2</v>
      </c>
    </row>
    <row r="199" spans="1:7" ht="15" customHeight="1">
      <c r="A199" s="3557"/>
      <c r="B199" s="3166">
        <v>185</v>
      </c>
      <c r="C199" s="3171" t="s">
        <v>3612</v>
      </c>
      <c r="D199" s="3173">
        <v>48.07</v>
      </c>
      <c r="E199" s="3171" t="s">
        <v>3465</v>
      </c>
      <c r="F199" s="3171" t="s">
        <v>3598</v>
      </c>
      <c r="G199" s="3171">
        <v>2</v>
      </c>
    </row>
    <row r="200" spans="1:7" ht="15" customHeight="1">
      <c r="A200" s="3557"/>
      <c r="B200" s="3166">
        <v>186</v>
      </c>
      <c r="C200" s="3171" t="s">
        <v>3613</v>
      </c>
      <c r="D200" s="3173">
        <v>54.72</v>
      </c>
      <c r="E200" s="3171" t="s">
        <v>3465</v>
      </c>
      <c r="F200" s="3171" t="s">
        <v>3598</v>
      </c>
      <c r="G200" s="3171">
        <v>2</v>
      </c>
    </row>
    <row r="201" spans="1:7" ht="15" customHeight="1">
      <c r="A201" s="3557"/>
      <c r="B201" s="3166">
        <v>187</v>
      </c>
      <c r="C201" s="3171" t="s">
        <v>3614</v>
      </c>
      <c r="D201" s="3173">
        <v>64.23</v>
      </c>
      <c r="E201" s="3171" t="s">
        <v>3465</v>
      </c>
      <c r="F201" s="3171" t="s">
        <v>3598</v>
      </c>
      <c r="G201" s="3171">
        <v>2</v>
      </c>
    </row>
    <row r="202" spans="1:7" ht="15" customHeight="1">
      <c r="A202" s="3557"/>
      <c r="B202" s="3166">
        <v>188</v>
      </c>
      <c r="C202" s="3171" t="s">
        <v>3615</v>
      </c>
      <c r="D202" s="3173">
        <v>64.23</v>
      </c>
      <c r="E202" s="3171" t="s">
        <v>3465</v>
      </c>
      <c r="F202" s="3171" t="s">
        <v>3598</v>
      </c>
      <c r="G202" s="3171">
        <v>2</v>
      </c>
    </row>
    <row r="203" spans="1:7" ht="15" customHeight="1">
      <c r="A203" s="3557"/>
      <c r="B203" s="3166">
        <v>189</v>
      </c>
      <c r="C203" s="3171" t="s">
        <v>3616</v>
      </c>
      <c r="D203" s="3173">
        <v>64.23</v>
      </c>
      <c r="E203" s="3171" t="s">
        <v>3465</v>
      </c>
      <c r="F203" s="3171" t="s">
        <v>3453</v>
      </c>
      <c r="G203" s="3171">
        <v>2</v>
      </c>
    </row>
    <row r="204" spans="1:7" ht="15" customHeight="1">
      <c r="A204" s="3557"/>
      <c r="B204" s="3166">
        <v>190</v>
      </c>
      <c r="C204" s="3171" t="s">
        <v>3617</v>
      </c>
      <c r="D204" s="3173">
        <v>64.23</v>
      </c>
      <c r="E204" s="3171" t="s">
        <v>3465</v>
      </c>
      <c r="F204" s="3171" t="s">
        <v>3453</v>
      </c>
      <c r="G204" s="3171">
        <v>2</v>
      </c>
    </row>
    <row r="205" spans="1:7" ht="15" customHeight="1">
      <c r="A205" s="3557"/>
      <c r="B205" s="3166">
        <v>191</v>
      </c>
      <c r="C205" s="3171" t="s">
        <v>3618</v>
      </c>
      <c r="D205" s="3173">
        <v>64.23</v>
      </c>
      <c r="E205" s="3171" t="s">
        <v>3465</v>
      </c>
      <c r="F205" s="3171" t="s">
        <v>3453</v>
      </c>
      <c r="G205" s="3171">
        <v>2</v>
      </c>
    </row>
    <row r="206" spans="1:7" ht="15" customHeight="1">
      <c r="A206" s="3557"/>
      <c r="B206" s="3166">
        <v>192</v>
      </c>
      <c r="C206" s="3171" t="s">
        <v>3619</v>
      </c>
      <c r="D206" s="3173">
        <v>68.19</v>
      </c>
      <c r="E206" s="3171" t="s">
        <v>3465</v>
      </c>
      <c r="F206" s="3171" t="s">
        <v>3453</v>
      </c>
      <c r="G206" s="3171">
        <v>2</v>
      </c>
    </row>
    <row r="207" spans="1:7" ht="15" customHeight="1">
      <c r="A207" s="3557"/>
      <c r="B207" s="3166">
        <v>193</v>
      </c>
      <c r="C207" s="3171" t="s">
        <v>3620</v>
      </c>
      <c r="D207" s="3173">
        <v>44.55</v>
      </c>
      <c r="E207" s="3171" t="s">
        <v>3465</v>
      </c>
      <c r="F207" s="3171" t="s">
        <v>3453</v>
      </c>
      <c r="G207" s="3171">
        <v>2</v>
      </c>
    </row>
    <row r="208" spans="1:7" ht="15" customHeight="1">
      <c r="A208" s="3557"/>
      <c r="B208" s="3166">
        <v>194</v>
      </c>
      <c r="C208" s="3171" t="s">
        <v>3621</v>
      </c>
      <c r="D208" s="3173">
        <v>41.95</v>
      </c>
      <c r="E208" s="3171" t="s">
        <v>3465</v>
      </c>
      <c r="F208" s="3171" t="s">
        <v>3453</v>
      </c>
      <c r="G208" s="3171">
        <v>2</v>
      </c>
    </row>
    <row r="209" spans="1:7" ht="15" customHeight="1">
      <c r="A209" s="3557"/>
      <c r="B209" s="3166">
        <v>195</v>
      </c>
      <c r="C209" s="3171" t="s">
        <v>3622</v>
      </c>
      <c r="D209" s="3173">
        <v>41.95</v>
      </c>
      <c r="E209" s="3171" t="s">
        <v>3465</v>
      </c>
      <c r="F209" s="3171" t="s">
        <v>3453</v>
      </c>
      <c r="G209" s="3171">
        <v>2</v>
      </c>
    </row>
    <row r="210" spans="1:7" ht="15" customHeight="1">
      <c r="A210" s="3557"/>
      <c r="B210" s="3166">
        <v>196</v>
      </c>
      <c r="C210" s="3171" t="s">
        <v>3623</v>
      </c>
      <c r="D210" s="3173">
        <v>41.95</v>
      </c>
      <c r="E210" s="3171" t="s">
        <v>3465</v>
      </c>
      <c r="F210" s="3171" t="s">
        <v>3453</v>
      </c>
      <c r="G210" s="3171">
        <v>2</v>
      </c>
    </row>
    <row r="211" spans="1:7" ht="15" customHeight="1">
      <c r="A211" s="3557"/>
      <c r="B211" s="3166">
        <v>197</v>
      </c>
      <c r="C211" s="3171" t="s">
        <v>3624</v>
      </c>
      <c r="D211" s="3173">
        <v>41.95</v>
      </c>
      <c r="E211" s="3171" t="s">
        <v>3465</v>
      </c>
      <c r="F211" s="3171" t="s">
        <v>3453</v>
      </c>
      <c r="G211" s="3171">
        <v>2</v>
      </c>
    </row>
    <row r="212" spans="1:7" ht="15" customHeight="1">
      <c r="A212" s="3557"/>
      <c r="B212" s="3166">
        <v>198</v>
      </c>
      <c r="C212" s="3171" t="s">
        <v>3625</v>
      </c>
      <c r="D212" s="3173">
        <v>41.95</v>
      </c>
      <c r="E212" s="3171" t="s">
        <v>3465</v>
      </c>
      <c r="F212" s="3171" t="s">
        <v>3453</v>
      </c>
      <c r="G212" s="3171">
        <v>2</v>
      </c>
    </row>
    <row r="213" spans="1:7" ht="15" customHeight="1">
      <c r="A213" s="3557"/>
      <c r="B213" s="3166">
        <v>199</v>
      </c>
      <c r="C213" s="3171" t="s">
        <v>3626</v>
      </c>
      <c r="D213" s="3173">
        <v>35.75</v>
      </c>
      <c r="E213" s="3171" t="s">
        <v>3465</v>
      </c>
      <c r="F213" s="3171" t="s">
        <v>3453</v>
      </c>
      <c r="G213" s="3171">
        <v>2</v>
      </c>
    </row>
    <row r="214" spans="1:7" ht="15" customHeight="1">
      <c r="A214" s="3557"/>
      <c r="B214" s="3166">
        <v>200</v>
      </c>
      <c r="C214" s="3171" t="s">
        <v>3627</v>
      </c>
      <c r="D214" s="3173">
        <v>27.58</v>
      </c>
      <c r="E214" s="3171" t="s">
        <v>3465</v>
      </c>
      <c r="F214" s="3171" t="s">
        <v>3453</v>
      </c>
      <c r="G214" s="3171">
        <v>2</v>
      </c>
    </row>
    <row r="215" spans="1:7" ht="15" customHeight="1">
      <c r="A215" s="3557"/>
      <c r="B215" s="3166">
        <v>201</v>
      </c>
      <c r="C215" s="3171" t="s">
        <v>3628</v>
      </c>
      <c r="D215" s="3173">
        <v>32.380000000000003</v>
      </c>
      <c r="E215" s="3171" t="s">
        <v>3465</v>
      </c>
      <c r="F215" s="3171" t="s">
        <v>3453</v>
      </c>
      <c r="G215" s="3171">
        <v>2</v>
      </c>
    </row>
    <row r="216" spans="1:7" ht="15" customHeight="1">
      <c r="A216" s="3557"/>
      <c r="B216" s="3166">
        <v>202</v>
      </c>
      <c r="C216" s="3171" t="s">
        <v>3629</v>
      </c>
      <c r="D216" s="3173">
        <v>32.380000000000003</v>
      </c>
      <c r="E216" s="3171" t="s">
        <v>3465</v>
      </c>
      <c r="F216" s="3171" t="s">
        <v>3453</v>
      </c>
      <c r="G216" s="3171">
        <v>2</v>
      </c>
    </row>
    <row r="217" spans="1:7" ht="15" customHeight="1">
      <c r="A217" s="3557"/>
      <c r="B217" s="3166">
        <v>203</v>
      </c>
      <c r="C217" s="3171" t="s">
        <v>3630</v>
      </c>
      <c r="D217" s="3173">
        <v>32.380000000000003</v>
      </c>
      <c r="E217" s="3171" t="s">
        <v>3465</v>
      </c>
      <c r="F217" s="3171" t="s">
        <v>3453</v>
      </c>
      <c r="G217" s="3171">
        <v>2</v>
      </c>
    </row>
    <row r="218" spans="1:7" ht="15" customHeight="1">
      <c r="A218" s="3557"/>
      <c r="B218" s="3166">
        <v>204</v>
      </c>
      <c r="C218" s="3171" t="s">
        <v>3631</v>
      </c>
      <c r="D218" s="3173">
        <v>32.380000000000003</v>
      </c>
      <c r="E218" s="3171" t="s">
        <v>3465</v>
      </c>
      <c r="F218" s="3171" t="s">
        <v>3453</v>
      </c>
      <c r="G218" s="3171">
        <v>2</v>
      </c>
    </row>
    <row r="219" spans="1:7" ht="15" customHeight="1">
      <c r="A219" s="3557"/>
      <c r="B219" s="3166">
        <v>205</v>
      </c>
      <c r="C219" s="3171" t="s">
        <v>3632</v>
      </c>
      <c r="D219" s="3173">
        <v>32.380000000000003</v>
      </c>
      <c r="E219" s="3171" t="s">
        <v>3465</v>
      </c>
      <c r="F219" s="3171" t="s">
        <v>3453</v>
      </c>
      <c r="G219" s="3171">
        <v>2</v>
      </c>
    </row>
    <row r="220" spans="1:7" ht="15" customHeight="1">
      <c r="A220" s="3557"/>
      <c r="B220" s="3166">
        <v>206</v>
      </c>
      <c r="C220" s="3171" t="s">
        <v>3633</v>
      </c>
      <c r="D220" s="3173">
        <v>34.36</v>
      </c>
      <c r="E220" s="3171" t="s">
        <v>3465</v>
      </c>
      <c r="F220" s="3171" t="s">
        <v>3453</v>
      </c>
      <c r="G220" s="3171">
        <v>2</v>
      </c>
    </row>
    <row r="221" spans="1:7" ht="15" customHeight="1">
      <c r="A221" s="3557"/>
      <c r="B221" s="3166">
        <v>207</v>
      </c>
      <c r="C221" s="3171" t="s">
        <v>3634</v>
      </c>
      <c r="D221" s="3173">
        <v>33.92</v>
      </c>
      <c r="E221" s="3171" t="s">
        <v>3465</v>
      </c>
      <c r="F221" s="3171" t="s">
        <v>3453</v>
      </c>
      <c r="G221" s="3171">
        <v>2</v>
      </c>
    </row>
    <row r="222" spans="1:7" ht="15" customHeight="1">
      <c r="A222" s="3557"/>
      <c r="B222" s="3166">
        <v>208</v>
      </c>
      <c r="C222" s="3171" t="s">
        <v>3635</v>
      </c>
      <c r="D222" s="3173">
        <v>31.93</v>
      </c>
      <c r="E222" s="3171" t="s">
        <v>3465</v>
      </c>
      <c r="F222" s="3171" t="s">
        <v>3453</v>
      </c>
      <c r="G222" s="3171">
        <v>2</v>
      </c>
    </row>
    <row r="223" spans="1:7" ht="15" customHeight="1">
      <c r="A223" s="3557"/>
      <c r="B223" s="3166">
        <v>209</v>
      </c>
      <c r="C223" s="3171" t="s">
        <v>3636</v>
      </c>
      <c r="D223" s="3173">
        <v>31.93</v>
      </c>
      <c r="E223" s="3171" t="s">
        <v>3465</v>
      </c>
      <c r="F223" s="3171" t="s">
        <v>3453</v>
      </c>
      <c r="G223" s="3171">
        <v>2</v>
      </c>
    </row>
    <row r="224" spans="1:7" ht="15" customHeight="1">
      <c r="A224" s="3557"/>
      <c r="B224" s="3166">
        <v>210</v>
      </c>
      <c r="C224" s="3171" t="s">
        <v>3637</v>
      </c>
      <c r="D224" s="3173">
        <v>31.93</v>
      </c>
      <c r="E224" s="3171" t="s">
        <v>3465</v>
      </c>
      <c r="F224" s="3171" t="s">
        <v>3453</v>
      </c>
      <c r="G224" s="3171">
        <v>2</v>
      </c>
    </row>
    <row r="225" spans="1:7" ht="15" customHeight="1">
      <c r="A225" s="3557"/>
      <c r="B225" s="3166">
        <v>211</v>
      </c>
      <c r="C225" s="3171" t="s">
        <v>3638</v>
      </c>
      <c r="D225" s="3173">
        <v>31.93</v>
      </c>
      <c r="E225" s="3171" t="s">
        <v>3465</v>
      </c>
      <c r="F225" s="3171" t="s">
        <v>3453</v>
      </c>
      <c r="G225" s="3171">
        <v>2</v>
      </c>
    </row>
    <row r="226" spans="1:7" ht="15" customHeight="1">
      <c r="A226" s="3557"/>
      <c r="B226" s="3166">
        <v>212</v>
      </c>
      <c r="C226" s="3171" t="s">
        <v>3639</v>
      </c>
      <c r="D226" s="3173">
        <v>31.93</v>
      </c>
      <c r="E226" s="3171" t="s">
        <v>3465</v>
      </c>
      <c r="F226" s="3171" t="s">
        <v>3453</v>
      </c>
      <c r="G226" s="3171">
        <v>2</v>
      </c>
    </row>
    <row r="227" spans="1:7" ht="15" customHeight="1">
      <c r="A227" s="3557"/>
      <c r="B227" s="3166">
        <v>213</v>
      </c>
      <c r="C227" s="3171" t="s">
        <v>3640</v>
      </c>
      <c r="D227" s="3173">
        <v>27.2</v>
      </c>
      <c r="E227" s="3171" t="s">
        <v>3465</v>
      </c>
      <c r="F227" s="3171" t="s">
        <v>3453</v>
      </c>
      <c r="G227" s="3171">
        <v>2</v>
      </c>
    </row>
    <row r="228" spans="1:7" ht="15" customHeight="1">
      <c r="A228" s="3557"/>
      <c r="B228" s="3547" t="s">
        <v>3641</v>
      </c>
      <c r="C228" s="3547"/>
      <c r="D228" s="3173">
        <f>SUM(D15:D227)</f>
        <v>12768.25000000002</v>
      </c>
      <c r="E228" s="3179" t="s">
        <v>3642</v>
      </c>
      <c r="F228" s="3179" t="s">
        <v>3642</v>
      </c>
      <c r="G228" s="3179" t="s">
        <v>3642</v>
      </c>
    </row>
    <row r="229" spans="1:7" ht="15" customHeight="1">
      <c r="A229" s="3557"/>
      <c r="B229" s="3171">
        <v>214</v>
      </c>
      <c r="C229" s="3180">
        <v>1</v>
      </c>
      <c r="D229" s="3173">
        <v>31.83</v>
      </c>
      <c r="E229" s="3171" t="s">
        <v>3643</v>
      </c>
      <c r="F229" s="3171" t="s">
        <v>3453</v>
      </c>
      <c r="G229" s="3171">
        <v>-2</v>
      </c>
    </row>
    <row r="230" spans="1:7" ht="15" customHeight="1">
      <c r="A230" s="3557"/>
      <c r="B230" s="3171">
        <v>215</v>
      </c>
      <c r="C230" s="3181">
        <v>2</v>
      </c>
      <c r="D230" s="3173">
        <v>31.83</v>
      </c>
      <c r="E230" s="3174" t="s">
        <v>3643</v>
      </c>
      <c r="F230" s="3171" t="s">
        <v>3453</v>
      </c>
      <c r="G230" s="3171">
        <v>-2</v>
      </c>
    </row>
    <row r="231" spans="1:7" ht="15" customHeight="1">
      <c r="A231" s="3557"/>
      <c r="B231" s="3171">
        <v>216</v>
      </c>
      <c r="C231" s="3181">
        <v>3</v>
      </c>
      <c r="D231" s="3173">
        <v>31.83</v>
      </c>
      <c r="E231" s="3174" t="s">
        <v>3643</v>
      </c>
      <c r="F231" s="3171" t="s">
        <v>3453</v>
      </c>
      <c r="G231" s="3171">
        <v>-2</v>
      </c>
    </row>
    <row r="232" spans="1:7" ht="15" customHeight="1">
      <c r="A232" s="3557"/>
      <c r="B232" s="3171">
        <v>217</v>
      </c>
      <c r="C232" s="3181">
        <v>5</v>
      </c>
      <c r="D232" s="3173">
        <v>31.83</v>
      </c>
      <c r="E232" s="3174" t="s">
        <v>3643</v>
      </c>
      <c r="F232" s="3171" t="s">
        <v>3453</v>
      </c>
      <c r="G232" s="3171">
        <v>-2</v>
      </c>
    </row>
    <row r="233" spans="1:7" ht="15" customHeight="1">
      <c r="A233" s="3557"/>
      <c r="B233" s="3171">
        <v>218</v>
      </c>
      <c r="C233" s="3181">
        <v>6</v>
      </c>
      <c r="D233" s="3173">
        <v>31.83</v>
      </c>
      <c r="E233" s="3174" t="s">
        <v>3643</v>
      </c>
      <c r="F233" s="3171" t="s">
        <v>3453</v>
      </c>
      <c r="G233" s="3171">
        <v>-2</v>
      </c>
    </row>
    <row r="234" spans="1:7" ht="15" customHeight="1">
      <c r="A234" s="3557"/>
      <c r="B234" s="3171">
        <v>219</v>
      </c>
      <c r="C234" s="3180">
        <v>7</v>
      </c>
      <c r="D234" s="3173">
        <v>31.83</v>
      </c>
      <c r="E234" s="3171" t="s">
        <v>3643</v>
      </c>
      <c r="F234" s="3171" t="s">
        <v>3453</v>
      </c>
      <c r="G234" s="3171">
        <v>-2</v>
      </c>
    </row>
    <row r="235" spans="1:7" ht="15" customHeight="1">
      <c r="A235" s="3557"/>
      <c r="B235" s="3171">
        <v>220</v>
      </c>
      <c r="C235" s="3180">
        <v>8</v>
      </c>
      <c r="D235" s="3173">
        <v>31.83</v>
      </c>
      <c r="E235" s="3171" t="s">
        <v>3643</v>
      </c>
      <c r="F235" s="3171" t="s">
        <v>3453</v>
      </c>
      <c r="G235" s="3171">
        <v>-2</v>
      </c>
    </row>
    <row r="236" spans="1:7" ht="15" customHeight="1">
      <c r="A236" s="3557"/>
      <c r="B236" s="3171">
        <v>221</v>
      </c>
      <c r="C236" s="3180">
        <v>9</v>
      </c>
      <c r="D236" s="3173">
        <v>31.83</v>
      </c>
      <c r="E236" s="3171" t="s">
        <v>3643</v>
      </c>
      <c r="F236" s="3171" t="s">
        <v>3453</v>
      </c>
      <c r="G236" s="3171">
        <v>-2</v>
      </c>
    </row>
    <row r="237" spans="1:7" ht="15" customHeight="1">
      <c r="A237" s="3557"/>
      <c r="B237" s="3171">
        <v>222</v>
      </c>
      <c r="C237" s="3181">
        <v>10</v>
      </c>
      <c r="D237" s="3173">
        <v>31.83</v>
      </c>
      <c r="E237" s="3174" t="s">
        <v>3643</v>
      </c>
      <c r="F237" s="3171" t="s">
        <v>3453</v>
      </c>
      <c r="G237" s="3171">
        <v>-2</v>
      </c>
    </row>
    <row r="238" spans="1:7" ht="15" customHeight="1">
      <c r="A238" s="3557"/>
      <c r="B238" s="3171">
        <v>223</v>
      </c>
      <c r="C238" s="3181">
        <v>11</v>
      </c>
      <c r="D238" s="3173">
        <v>31.83</v>
      </c>
      <c r="E238" s="3174" t="s">
        <v>3643</v>
      </c>
      <c r="F238" s="3171" t="s">
        <v>3453</v>
      </c>
      <c r="G238" s="3171">
        <v>-2</v>
      </c>
    </row>
    <row r="239" spans="1:7" ht="15" customHeight="1">
      <c r="A239" s="3557"/>
      <c r="B239" s="3171">
        <v>224</v>
      </c>
      <c r="C239" s="3181">
        <v>12</v>
      </c>
      <c r="D239" s="3173">
        <v>31.83</v>
      </c>
      <c r="E239" s="3174" t="s">
        <v>3643</v>
      </c>
      <c r="F239" s="3171" t="s">
        <v>3453</v>
      </c>
      <c r="G239" s="3171">
        <v>-2</v>
      </c>
    </row>
    <row r="240" spans="1:7" ht="15" customHeight="1">
      <c r="A240" s="3557"/>
      <c r="B240" s="3171">
        <v>225</v>
      </c>
      <c r="C240" s="3181">
        <v>15</v>
      </c>
      <c r="D240" s="3173">
        <v>31.83</v>
      </c>
      <c r="E240" s="3174" t="s">
        <v>3643</v>
      </c>
      <c r="F240" s="3171" t="s">
        <v>3453</v>
      </c>
      <c r="G240" s="3171">
        <v>-2</v>
      </c>
    </row>
    <row r="241" spans="1:7" ht="15" customHeight="1">
      <c r="A241" s="3557"/>
      <c r="B241" s="3171">
        <v>226</v>
      </c>
      <c r="C241" s="3181">
        <v>16</v>
      </c>
      <c r="D241" s="3173">
        <v>31.83</v>
      </c>
      <c r="E241" s="3174" t="s">
        <v>3643</v>
      </c>
      <c r="F241" s="3171" t="s">
        <v>3453</v>
      </c>
      <c r="G241" s="3171">
        <v>-2</v>
      </c>
    </row>
    <row r="242" spans="1:7" ht="15" customHeight="1">
      <c r="A242" s="3557"/>
      <c r="B242" s="3171">
        <v>227</v>
      </c>
      <c r="C242" s="3181">
        <v>17</v>
      </c>
      <c r="D242" s="3173">
        <v>31.83</v>
      </c>
      <c r="E242" s="3174" t="s">
        <v>3643</v>
      </c>
      <c r="F242" s="3171" t="s">
        <v>3453</v>
      </c>
      <c r="G242" s="3171">
        <v>-2</v>
      </c>
    </row>
    <row r="243" spans="1:7" ht="15" customHeight="1">
      <c r="A243" s="3557"/>
      <c r="B243" s="3171">
        <v>228</v>
      </c>
      <c r="C243" s="3181">
        <v>18</v>
      </c>
      <c r="D243" s="3173">
        <v>31.83</v>
      </c>
      <c r="E243" s="3174" t="s">
        <v>3643</v>
      </c>
      <c r="F243" s="3171" t="s">
        <v>3453</v>
      </c>
      <c r="G243" s="3171">
        <v>-2</v>
      </c>
    </row>
    <row r="244" spans="1:7" ht="15" customHeight="1">
      <c r="A244" s="3557"/>
      <c r="B244" s="3171">
        <v>229</v>
      </c>
      <c r="C244" s="3181">
        <v>31</v>
      </c>
      <c r="D244" s="3173">
        <v>31.83</v>
      </c>
      <c r="E244" s="3174" t="s">
        <v>3643</v>
      </c>
      <c r="F244" s="3171" t="s">
        <v>3453</v>
      </c>
      <c r="G244" s="3171">
        <v>-2</v>
      </c>
    </row>
    <row r="245" spans="1:7" ht="15" customHeight="1">
      <c r="A245" s="3557"/>
      <c r="B245" s="3171">
        <v>230</v>
      </c>
      <c r="C245" s="3181">
        <v>32</v>
      </c>
      <c r="D245" s="3173">
        <v>31.83</v>
      </c>
      <c r="E245" s="3174" t="s">
        <v>3643</v>
      </c>
      <c r="F245" s="3171" t="s">
        <v>3453</v>
      </c>
      <c r="G245" s="3171">
        <v>-2</v>
      </c>
    </row>
    <row r="246" spans="1:7" ht="15" customHeight="1">
      <c r="A246" s="3557"/>
      <c r="B246" s="3171">
        <v>231</v>
      </c>
      <c r="C246" s="3181">
        <v>33</v>
      </c>
      <c r="D246" s="3173">
        <v>31.83</v>
      </c>
      <c r="E246" s="3174" t="s">
        <v>3643</v>
      </c>
      <c r="F246" s="3171" t="s">
        <v>3453</v>
      </c>
      <c r="G246" s="3171">
        <v>-2</v>
      </c>
    </row>
    <row r="247" spans="1:7" ht="15" customHeight="1">
      <c r="A247" s="3557"/>
      <c r="B247" s="3171">
        <v>232</v>
      </c>
      <c r="C247" s="3181">
        <v>35</v>
      </c>
      <c r="D247" s="3173">
        <v>31.83</v>
      </c>
      <c r="E247" s="3174" t="s">
        <v>3643</v>
      </c>
      <c r="F247" s="3171" t="s">
        <v>3453</v>
      </c>
      <c r="G247" s="3171">
        <v>-2</v>
      </c>
    </row>
    <row r="248" spans="1:7" ht="15" customHeight="1">
      <c r="A248" s="3557"/>
      <c r="B248" s="3171">
        <v>233</v>
      </c>
      <c r="C248" s="3180">
        <v>37</v>
      </c>
      <c r="D248" s="3173">
        <v>31.83</v>
      </c>
      <c r="E248" s="3174" t="s">
        <v>3643</v>
      </c>
      <c r="F248" s="3171" t="s">
        <v>3453</v>
      </c>
      <c r="G248" s="3171">
        <v>-2</v>
      </c>
    </row>
    <row r="249" spans="1:7" ht="15" customHeight="1">
      <c r="A249" s="3557"/>
      <c r="B249" s="3171">
        <v>234</v>
      </c>
      <c r="C249" s="3180">
        <v>38</v>
      </c>
      <c r="D249" s="3173">
        <v>31.83</v>
      </c>
      <c r="E249" s="3174" t="s">
        <v>3643</v>
      </c>
      <c r="F249" s="3171" t="s">
        <v>3453</v>
      </c>
      <c r="G249" s="3171">
        <v>-2</v>
      </c>
    </row>
    <row r="250" spans="1:7" ht="15" customHeight="1">
      <c r="A250" s="3557"/>
      <c r="B250" s="3171">
        <v>235</v>
      </c>
      <c r="C250" s="3180">
        <v>39</v>
      </c>
      <c r="D250" s="3173">
        <v>31.83</v>
      </c>
      <c r="E250" s="3174" t="s">
        <v>3643</v>
      </c>
      <c r="F250" s="3171" t="s">
        <v>3453</v>
      </c>
      <c r="G250" s="3171">
        <v>-2</v>
      </c>
    </row>
    <row r="251" spans="1:7" ht="15" customHeight="1">
      <c r="A251" s="3557"/>
      <c r="B251" s="3171">
        <v>236</v>
      </c>
      <c r="C251" s="3180">
        <v>40</v>
      </c>
      <c r="D251" s="3173">
        <v>31.83</v>
      </c>
      <c r="E251" s="3174" t="s">
        <v>3643</v>
      </c>
      <c r="F251" s="3171" t="s">
        <v>3453</v>
      </c>
      <c r="G251" s="3171">
        <v>-2</v>
      </c>
    </row>
    <row r="252" spans="1:7" ht="15" customHeight="1">
      <c r="A252" s="3557"/>
      <c r="B252" s="3171">
        <v>237</v>
      </c>
      <c r="C252" s="3180">
        <v>42</v>
      </c>
      <c r="D252" s="3173">
        <v>37.14</v>
      </c>
      <c r="E252" s="3174" t="s">
        <v>3643</v>
      </c>
      <c r="F252" s="3171" t="s">
        <v>3453</v>
      </c>
      <c r="G252" s="3171">
        <v>-2</v>
      </c>
    </row>
    <row r="253" spans="1:7" ht="15" customHeight="1">
      <c r="A253" s="3557"/>
      <c r="B253" s="3171">
        <v>238</v>
      </c>
      <c r="C253" s="3180">
        <v>46</v>
      </c>
      <c r="D253" s="3173">
        <v>31.83</v>
      </c>
      <c r="E253" s="3174" t="s">
        <v>3643</v>
      </c>
      <c r="F253" s="3171" t="s">
        <v>3453</v>
      </c>
      <c r="G253" s="3171">
        <v>-2</v>
      </c>
    </row>
    <row r="254" spans="1:7" ht="15" customHeight="1">
      <c r="A254" s="3557"/>
      <c r="B254" s="3171">
        <v>239</v>
      </c>
      <c r="C254" s="3180">
        <v>47</v>
      </c>
      <c r="D254" s="3173">
        <v>31.83</v>
      </c>
      <c r="E254" s="3174" t="s">
        <v>3643</v>
      </c>
      <c r="F254" s="3171" t="s">
        <v>3453</v>
      </c>
      <c r="G254" s="3171">
        <v>-2</v>
      </c>
    </row>
    <row r="255" spans="1:7" ht="15" customHeight="1">
      <c r="A255" s="3557"/>
      <c r="B255" s="3171">
        <v>240</v>
      </c>
      <c r="C255" s="3180">
        <v>48</v>
      </c>
      <c r="D255" s="3173">
        <v>31.83</v>
      </c>
      <c r="E255" s="3174" t="s">
        <v>3643</v>
      </c>
      <c r="F255" s="3171" t="s">
        <v>3453</v>
      </c>
      <c r="G255" s="3171">
        <v>-2</v>
      </c>
    </row>
    <row r="256" spans="1:7" ht="15" customHeight="1">
      <c r="A256" s="3557"/>
      <c r="B256" s="3171">
        <v>241</v>
      </c>
      <c r="C256" s="3180">
        <v>49</v>
      </c>
      <c r="D256" s="3173">
        <v>31.83</v>
      </c>
      <c r="E256" s="3174" t="s">
        <v>3643</v>
      </c>
      <c r="F256" s="3171" t="s">
        <v>3453</v>
      </c>
      <c r="G256" s="3171">
        <v>-2</v>
      </c>
    </row>
    <row r="257" spans="1:7" ht="15" customHeight="1">
      <c r="A257" s="3557"/>
      <c r="B257" s="3171">
        <v>242</v>
      </c>
      <c r="C257" s="3180">
        <v>50</v>
      </c>
      <c r="D257" s="3173">
        <v>31.83</v>
      </c>
      <c r="E257" s="3174" t="s">
        <v>3643</v>
      </c>
      <c r="F257" s="3171" t="s">
        <v>3453</v>
      </c>
      <c r="G257" s="3171">
        <v>-2</v>
      </c>
    </row>
    <row r="258" spans="1:7" ht="15" customHeight="1">
      <c r="A258" s="3557"/>
      <c r="B258" s="3171">
        <v>243</v>
      </c>
      <c r="C258" s="3181">
        <v>51</v>
      </c>
      <c r="D258" s="3173">
        <v>31.83</v>
      </c>
      <c r="E258" s="3174" t="s">
        <v>3643</v>
      </c>
      <c r="F258" s="3171" t="s">
        <v>3453</v>
      </c>
      <c r="G258" s="3171">
        <v>-2</v>
      </c>
    </row>
    <row r="259" spans="1:7" ht="15" customHeight="1">
      <c r="A259" s="3557"/>
      <c r="B259" s="3171">
        <v>244</v>
      </c>
      <c r="C259" s="3181">
        <v>52</v>
      </c>
      <c r="D259" s="3173">
        <v>31.83</v>
      </c>
      <c r="E259" s="3174" t="s">
        <v>3643</v>
      </c>
      <c r="F259" s="3171" t="s">
        <v>3453</v>
      </c>
      <c r="G259" s="3171">
        <v>-2</v>
      </c>
    </row>
    <row r="260" spans="1:7" ht="15" customHeight="1">
      <c r="A260" s="3557"/>
      <c r="B260" s="3171">
        <v>245</v>
      </c>
      <c r="C260" s="3181">
        <v>53</v>
      </c>
      <c r="D260" s="3173">
        <v>31.83</v>
      </c>
      <c r="E260" s="3174" t="s">
        <v>3643</v>
      </c>
      <c r="F260" s="3171" t="s">
        <v>3453</v>
      </c>
      <c r="G260" s="3171">
        <v>-2</v>
      </c>
    </row>
    <row r="261" spans="1:7" ht="15" customHeight="1">
      <c r="A261" s="3557"/>
      <c r="B261" s="3171">
        <v>246</v>
      </c>
      <c r="C261" s="3181">
        <v>55</v>
      </c>
      <c r="D261" s="3173">
        <v>31.83</v>
      </c>
      <c r="E261" s="3174" t="s">
        <v>3643</v>
      </c>
      <c r="F261" s="3171" t="s">
        <v>3453</v>
      </c>
      <c r="G261" s="3171">
        <v>-2</v>
      </c>
    </row>
    <row r="262" spans="1:7" ht="15" customHeight="1">
      <c r="A262" s="3557"/>
      <c r="B262" s="3171">
        <v>247</v>
      </c>
      <c r="C262" s="3181">
        <v>56</v>
      </c>
      <c r="D262" s="3173">
        <v>31.83</v>
      </c>
      <c r="E262" s="3174" t="s">
        <v>3643</v>
      </c>
      <c r="F262" s="3171" t="s">
        <v>3453</v>
      </c>
      <c r="G262" s="3171">
        <v>-2</v>
      </c>
    </row>
    <row r="263" spans="1:7" ht="15" customHeight="1">
      <c r="A263" s="3557"/>
      <c r="B263" s="3171">
        <v>248</v>
      </c>
      <c r="C263" s="3181">
        <v>57</v>
      </c>
      <c r="D263" s="3173">
        <v>31.83</v>
      </c>
      <c r="E263" s="3174" t="s">
        <v>3643</v>
      </c>
      <c r="F263" s="3171" t="s">
        <v>3453</v>
      </c>
      <c r="G263" s="3171">
        <v>-2</v>
      </c>
    </row>
    <row r="264" spans="1:7" ht="15" customHeight="1">
      <c r="A264" s="3557"/>
      <c r="B264" s="3171">
        <v>249</v>
      </c>
      <c r="C264" s="3181">
        <v>58</v>
      </c>
      <c r="D264" s="3173">
        <v>31.83</v>
      </c>
      <c r="E264" s="3174" t="s">
        <v>3643</v>
      </c>
      <c r="F264" s="3171" t="s">
        <v>3453</v>
      </c>
      <c r="G264" s="3171">
        <v>-2</v>
      </c>
    </row>
    <row r="265" spans="1:7" ht="15" customHeight="1">
      <c r="A265" s="3557"/>
      <c r="B265" s="3171">
        <v>250</v>
      </c>
      <c r="C265" s="3181">
        <v>59</v>
      </c>
      <c r="D265" s="3173">
        <v>33.83</v>
      </c>
      <c r="E265" s="3174" t="s">
        <v>3643</v>
      </c>
      <c r="F265" s="3171" t="s">
        <v>3453</v>
      </c>
      <c r="G265" s="3171">
        <v>-2</v>
      </c>
    </row>
    <row r="266" spans="1:7" ht="15" customHeight="1">
      <c r="A266" s="3557"/>
      <c r="B266" s="3171">
        <v>251</v>
      </c>
      <c r="C266" s="3181">
        <v>65</v>
      </c>
      <c r="D266" s="3173">
        <v>54.68</v>
      </c>
      <c r="E266" s="3174" t="s">
        <v>3643</v>
      </c>
      <c r="F266" s="3171" t="s">
        <v>3453</v>
      </c>
      <c r="G266" s="3171">
        <v>-2</v>
      </c>
    </row>
    <row r="267" spans="1:7" ht="15" customHeight="1">
      <c r="A267" s="3557"/>
      <c r="B267" s="3171">
        <v>252</v>
      </c>
      <c r="C267" s="3181">
        <v>66</v>
      </c>
      <c r="D267" s="3173">
        <v>31.83</v>
      </c>
      <c r="E267" s="3174" t="s">
        <v>3643</v>
      </c>
      <c r="F267" s="3171" t="s">
        <v>3453</v>
      </c>
      <c r="G267" s="3171">
        <v>-2</v>
      </c>
    </row>
    <row r="268" spans="1:7" ht="15" customHeight="1">
      <c r="A268" s="3557"/>
      <c r="B268" s="3171">
        <v>253</v>
      </c>
      <c r="C268" s="3181">
        <v>67</v>
      </c>
      <c r="D268" s="3173">
        <v>31.83</v>
      </c>
      <c r="E268" s="3174" t="s">
        <v>3643</v>
      </c>
      <c r="F268" s="3171" t="s">
        <v>3453</v>
      </c>
      <c r="G268" s="3171">
        <v>-2</v>
      </c>
    </row>
    <row r="269" spans="1:7" ht="15" customHeight="1">
      <c r="A269" s="3557"/>
      <c r="B269" s="3171">
        <v>254</v>
      </c>
      <c r="C269" s="3181">
        <v>68</v>
      </c>
      <c r="D269" s="3173">
        <v>31.83</v>
      </c>
      <c r="E269" s="3174" t="s">
        <v>3643</v>
      </c>
      <c r="F269" s="3171" t="s">
        <v>3453</v>
      </c>
      <c r="G269" s="3171">
        <v>-2</v>
      </c>
    </row>
    <row r="270" spans="1:7" ht="15" customHeight="1">
      <c r="A270" s="3557"/>
      <c r="B270" s="3171">
        <v>255</v>
      </c>
      <c r="C270" s="3181">
        <v>69</v>
      </c>
      <c r="D270" s="3173">
        <v>31.23</v>
      </c>
      <c r="E270" s="3174" t="s">
        <v>3643</v>
      </c>
      <c r="F270" s="3171" t="s">
        <v>3453</v>
      </c>
      <c r="G270" s="3171">
        <v>-2</v>
      </c>
    </row>
    <row r="271" spans="1:7" ht="15" customHeight="1">
      <c r="A271" s="3557"/>
      <c r="B271" s="3171">
        <v>256</v>
      </c>
      <c r="C271" s="3181">
        <v>70</v>
      </c>
      <c r="D271" s="3173">
        <v>31.23</v>
      </c>
      <c r="E271" s="3174" t="s">
        <v>3643</v>
      </c>
      <c r="F271" s="3171" t="s">
        <v>3453</v>
      </c>
      <c r="G271" s="3171">
        <v>-2</v>
      </c>
    </row>
    <row r="272" spans="1:7" ht="15" customHeight="1">
      <c r="A272" s="3557"/>
      <c r="B272" s="3171">
        <v>257</v>
      </c>
      <c r="C272" s="3181">
        <v>73</v>
      </c>
      <c r="D272" s="3173">
        <v>39.04</v>
      </c>
      <c r="E272" s="3174" t="s">
        <v>3643</v>
      </c>
      <c r="F272" s="3171" t="s">
        <v>3453</v>
      </c>
      <c r="G272" s="3171">
        <v>-2</v>
      </c>
    </row>
    <row r="273" spans="1:7" ht="15" customHeight="1">
      <c r="A273" s="3557"/>
      <c r="B273" s="3171">
        <v>258</v>
      </c>
      <c r="C273" s="3181">
        <v>75</v>
      </c>
      <c r="D273" s="3173">
        <v>39.04</v>
      </c>
      <c r="E273" s="3174" t="s">
        <v>3643</v>
      </c>
      <c r="F273" s="3171" t="s">
        <v>3453</v>
      </c>
      <c r="G273" s="3171">
        <v>-2</v>
      </c>
    </row>
    <row r="274" spans="1:7" ht="15" customHeight="1">
      <c r="A274" s="3557"/>
      <c r="B274" s="3171">
        <v>259</v>
      </c>
      <c r="C274" s="3181">
        <v>77</v>
      </c>
      <c r="D274" s="3173">
        <v>39.04</v>
      </c>
      <c r="E274" s="3174" t="s">
        <v>3643</v>
      </c>
      <c r="F274" s="3171" t="s">
        <v>3453</v>
      </c>
      <c r="G274" s="3171">
        <v>-2</v>
      </c>
    </row>
    <row r="275" spans="1:7" ht="15" customHeight="1">
      <c r="A275" s="3557"/>
      <c r="B275" s="3171">
        <v>260</v>
      </c>
      <c r="C275" s="3181">
        <v>78</v>
      </c>
      <c r="D275" s="3173">
        <v>39.04</v>
      </c>
      <c r="E275" s="3174" t="s">
        <v>3643</v>
      </c>
      <c r="F275" s="3171" t="s">
        <v>3453</v>
      </c>
      <c r="G275" s="3171">
        <v>-2</v>
      </c>
    </row>
    <row r="276" spans="1:7" ht="15" customHeight="1">
      <c r="A276" s="3557"/>
      <c r="B276" s="3171">
        <v>261</v>
      </c>
      <c r="C276" s="3181">
        <v>79</v>
      </c>
      <c r="D276" s="3173">
        <v>39.04</v>
      </c>
      <c r="E276" s="3174" t="s">
        <v>3643</v>
      </c>
      <c r="F276" s="3171" t="s">
        <v>3453</v>
      </c>
      <c r="G276" s="3171">
        <v>-2</v>
      </c>
    </row>
    <row r="277" spans="1:7" ht="15" customHeight="1">
      <c r="A277" s="3557"/>
      <c r="B277" s="3171">
        <v>262</v>
      </c>
      <c r="C277" s="3181">
        <v>80</v>
      </c>
      <c r="D277" s="3173">
        <v>39.04</v>
      </c>
      <c r="E277" s="3174" t="s">
        <v>3643</v>
      </c>
      <c r="F277" s="3171" t="s">
        <v>3453</v>
      </c>
      <c r="G277" s="3171">
        <v>-2</v>
      </c>
    </row>
    <row r="278" spans="1:7" ht="15" customHeight="1">
      <c r="A278" s="3557"/>
      <c r="B278" s="3171">
        <v>263</v>
      </c>
      <c r="C278" s="3181">
        <v>81</v>
      </c>
      <c r="D278" s="3173">
        <v>39.04</v>
      </c>
      <c r="E278" s="3174" t="s">
        <v>3643</v>
      </c>
      <c r="F278" s="3171" t="s">
        <v>3453</v>
      </c>
      <c r="G278" s="3171">
        <v>-2</v>
      </c>
    </row>
    <row r="279" spans="1:7" ht="15" customHeight="1">
      <c r="A279" s="3557"/>
      <c r="B279" s="3171">
        <v>264</v>
      </c>
      <c r="C279" s="3181">
        <v>83</v>
      </c>
      <c r="D279" s="3173">
        <v>39.04</v>
      </c>
      <c r="E279" s="3174" t="s">
        <v>3643</v>
      </c>
      <c r="F279" s="3171" t="s">
        <v>3453</v>
      </c>
      <c r="G279" s="3171">
        <v>-2</v>
      </c>
    </row>
    <row r="280" spans="1:7" ht="15" customHeight="1">
      <c r="A280" s="3557"/>
      <c r="B280" s="3171">
        <v>265</v>
      </c>
      <c r="C280" s="3181">
        <v>85</v>
      </c>
      <c r="D280" s="3173">
        <v>39.04</v>
      </c>
      <c r="E280" s="3174" t="s">
        <v>3643</v>
      </c>
      <c r="F280" s="3171" t="s">
        <v>3453</v>
      </c>
      <c r="G280" s="3171">
        <v>-2</v>
      </c>
    </row>
    <row r="281" spans="1:7" ht="15" customHeight="1">
      <c r="A281" s="3557"/>
      <c r="B281" s="3171">
        <v>266</v>
      </c>
      <c r="C281" s="3180">
        <v>86</v>
      </c>
      <c r="D281" s="3173">
        <v>39.04</v>
      </c>
      <c r="E281" s="3174" t="s">
        <v>3643</v>
      </c>
      <c r="F281" s="3171" t="s">
        <v>3453</v>
      </c>
      <c r="G281" s="3171">
        <v>-2</v>
      </c>
    </row>
    <row r="282" spans="1:7" ht="15" customHeight="1">
      <c r="A282" s="3557"/>
      <c r="B282" s="3171">
        <v>267</v>
      </c>
      <c r="C282" s="3181">
        <v>91</v>
      </c>
      <c r="D282" s="3173">
        <v>31.83</v>
      </c>
      <c r="E282" s="3174" t="s">
        <v>3643</v>
      </c>
      <c r="F282" s="3171" t="s">
        <v>3453</v>
      </c>
      <c r="G282" s="3171">
        <v>-2</v>
      </c>
    </row>
    <row r="283" spans="1:7" ht="15" customHeight="1">
      <c r="A283" s="3557"/>
      <c r="B283" s="3171">
        <v>268</v>
      </c>
      <c r="C283" s="3181">
        <v>92</v>
      </c>
      <c r="D283" s="3173">
        <v>31.83</v>
      </c>
      <c r="E283" s="3174" t="s">
        <v>3643</v>
      </c>
      <c r="F283" s="3171" t="s">
        <v>3453</v>
      </c>
      <c r="G283" s="3171">
        <v>-2</v>
      </c>
    </row>
    <row r="284" spans="1:7" ht="15" customHeight="1">
      <c r="A284" s="3557"/>
      <c r="B284" s="3171">
        <v>269</v>
      </c>
      <c r="C284" s="3181">
        <v>93</v>
      </c>
      <c r="D284" s="3173">
        <v>31.83</v>
      </c>
      <c r="E284" s="3174" t="s">
        <v>3643</v>
      </c>
      <c r="F284" s="3171" t="s">
        <v>3453</v>
      </c>
      <c r="G284" s="3171">
        <v>-2</v>
      </c>
    </row>
    <row r="285" spans="1:7" ht="15" customHeight="1">
      <c r="A285" s="3557"/>
      <c r="B285" s="3171">
        <v>270</v>
      </c>
      <c r="C285" s="3181">
        <v>95</v>
      </c>
      <c r="D285" s="3173">
        <v>31.83</v>
      </c>
      <c r="E285" s="3174" t="s">
        <v>3643</v>
      </c>
      <c r="F285" s="3171" t="s">
        <v>3453</v>
      </c>
      <c r="G285" s="3171">
        <v>-2</v>
      </c>
    </row>
    <row r="286" spans="1:7" ht="15" customHeight="1">
      <c r="A286" s="3557"/>
      <c r="B286" s="3171">
        <v>271</v>
      </c>
      <c r="C286" s="3181">
        <v>96</v>
      </c>
      <c r="D286" s="3173">
        <v>31.83</v>
      </c>
      <c r="E286" s="3174" t="s">
        <v>3643</v>
      </c>
      <c r="F286" s="3171" t="s">
        <v>3453</v>
      </c>
      <c r="G286" s="3171">
        <v>-2</v>
      </c>
    </row>
    <row r="287" spans="1:7" ht="15" customHeight="1">
      <c r="A287" s="3557"/>
      <c r="B287" s="3171">
        <v>272</v>
      </c>
      <c r="C287" s="3181">
        <v>97</v>
      </c>
      <c r="D287" s="3173">
        <v>31.83</v>
      </c>
      <c r="E287" s="3174" t="s">
        <v>3643</v>
      </c>
      <c r="F287" s="3171" t="s">
        <v>3453</v>
      </c>
      <c r="G287" s="3171">
        <v>-2</v>
      </c>
    </row>
    <row r="288" spans="1:7" ht="15" customHeight="1">
      <c r="A288" s="3557"/>
      <c r="B288" s="3171">
        <v>273</v>
      </c>
      <c r="C288" s="3181">
        <v>98</v>
      </c>
      <c r="D288" s="3173">
        <v>31.83</v>
      </c>
      <c r="E288" s="3174" t="s">
        <v>3643</v>
      </c>
      <c r="F288" s="3171" t="s">
        <v>3453</v>
      </c>
      <c r="G288" s="3171">
        <v>-2</v>
      </c>
    </row>
    <row r="289" spans="1:7" ht="15" customHeight="1">
      <c r="A289" s="3557"/>
      <c r="B289" s="3171">
        <v>274</v>
      </c>
      <c r="C289" s="3181">
        <v>99</v>
      </c>
      <c r="D289" s="3173">
        <v>31.83</v>
      </c>
      <c r="E289" s="3174" t="s">
        <v>3643</v>
      </c>
      <c r="F289" s="3171" t="s">
        <v>3453</v>
      </c>
      <c r="G289" s="3171">
        <v>-2</v>
      </c>
    </row>
    <row r="290" spans="1:7" ht="15" customHeight="1">
      <c r="A290" s="3557"/>
      <c r="B290" s="3171">
        <v>275</v>
      </c>
      <c r="C290" s="3180">
        <v>100</v>
      </c>
      <c r="D290" s="3173">
        <v>31.83</v>
      </c>
      <c r="E290" s="3171" t="s">
        <v>3643</v>
      </c>
      <c r="F290" s="3171" t="s">
        <v>3453</v>
      </c>
      <c r="G290" s="3171">
        <v>-2</v>
      </c>
    </row>
    <row r="291" spans="1:7" ht="15" customHeight="1">
      <c r="A291" s="3557"/>
      <c r="B291" s="3171">
        <v>276</v>
      </c>
      <c r="C291" s="3171">
        <v>101</v>
      </c>
      <c r="D291" s="3173">
        <v>31.83</v>
      </c>
      <c r="E291" s="3174" t="s">
        <v>3643</v>
      </c>
      <c r="F291" s="3171" t="s">
        <v>3453</v>
      </c>
      <c r="G291" s="3171">
        <v>-2</v>
      </c>
    </row>
    <row r="292" spans="1:7" ht="15" customHeight="1">
      <c r="A292" s="3557"/>
      <c r="B292" s="3171">
        <v>277</v>
      </c>
      <c r="C292" s="3171">
        <v>102</v>
      </c>
      <c r="D292" s="3173">
        <v>31.83</v>
      </c>
      <c r="E292" s="3174" t="s">
        <v>3643</v>
      </c>
      <c r="F292" s="3171" t="s">
        <v>3453</v>
      </c>
      <c r="G292" s="3171">
        <v>-2</v>
      </c>
    </row>
    <row r="293" spans="1:7" ht="15" customHeight="1">
      <c r="A293" s="3557"/>
      <c r="B293" s="3171">
        <v>278</v>
      </c>
      <c r="C293" s="3171">
        <v>103</v>
      </c>
      <c r="D293" s="3173">
        <v>31.83</v>
      </c>
      <c r="E293" s="3174" t="s">
        <v>3643</v>
      </c>
      <c r="F293" s="3171" t="s">
        <v>3453</v>
      </c>
      <c r="G293" s="3171">
        <v>-2</v>
      </c>
    </row>
    <row r="294" spans="1:7" ht="15" customHeight="1">
      <c r="A294" s="3557"/>
      <c r="B294" s="3171">
        <v>279</v>
      </c>
      <c r="C294" s="3171">
        <v>106</v>
      </c>
      <c r="D294" s="3173">
        <v>31.83</v>
      </c>
      <c r="E294" s="3174" t="s">
        <v>3643</v>
      </c>
      <c r="F294" s="3171" t="s">
        <v>3453</v>
      </c>
      <c r="G294" s="3171">
        <v>-2</v>
      </c>
    </row>
    <row r="295" spans="1:7" ht="15" customHeight="1">
      <c r="A295" s="3557"/>
      <c r="B295" s="3171">
        <v>280</v>
      </c>
      <c r="C295" s="3171">
        <v>107</v>
      </c>
      <c r="D295" s="3173">
        <v>31.83</v>
      </c>
      <c r="E295" s="3174" t="s">
        <v>3643</v>
      </c>
      <c r="F295" s="3171" t="s">
        <v>3453</v>
      </c>
      <c r="G295" s="3171">
        <v>-2</v>
      </c>
    </row>
    <row r="296" spans="1:7" ht="15" customHeight="1">
      <c r="A296" s="3557"/>
      <c r="B296" s="3171">
        <v>281</v>
      </c>
      <c r="C296" s="3171">
        <v>108</v>
      </c>
      <c r="D296" s="3173">
        <v>31.83</v>
      </c>
      <c r="E296" s="3171" t="s">
        <v>3643</v>
      </c>
      <c r="F296" s="3171" t="s">
        <v>3453</v>
      </c>
      <c r="G296" s="3171">
        <v>-2</v>
      </c>
    </row>
    <row r="297" spans="1:7" ht="15" customHeight="1">
      <c r="A297" s="3557"/>
      <c r="B297" s="3171">
        <v>282</v>
      </c>
      <c r="C297" s="3181">
        <v>109</v>
      </c>
      <c r="D297" s="3173">
        <v>31.83</v>
      </c>
      <c r="E297" s="3174" t="s">
        <v>3643</v>
      </c>
      <c r="F297" s="3171" t="s">
        <v>3453</v>
      </c>
      <c r="G297" s="3171">
        <v>-2</v>
      </c>
    </row>
    <row r="298" spans="1:7" ht="15" customHeight="1">
      <c r="A298" s="3557"/>
      <c r="B298" s="3171">
        <v>283</v>
      </c>
      <c r="C298" s="3180">
        <v>110</v>
      </c>
      <c r="D298" s="3173">
        <v>31.83</v>
      </c>
      <c r="E298" s="3171" t="s">
        <v>3643</v>
      </c>
      <c r="F298" s="3171" t="s">
        <v>3453</v>
      </c>
      <c r="G298" s="3171">
        <v>-2</v>
      </c>
    </row>
    <row r="299" spans="1:7" ht="15" customHeight="1">
      <c r="A299" s="3557"/>
      <c r="B299" s="3171">
        <v>284</v>
      </c>
      <c r="C299" s="3180">
        <v>111</v>
      </c>
      <c r="D299" s="3173">
        <v>31.83</v>
      </c>
      <c r="E299" s="3171" t="s">
        <v>3643</v>
      </c>
      <c r="F299" s="3171" t="s">
        <v>3453</v>
      </c>
      <c r="G299" s="3171">
        <v>-2</v>
      </c>
    </row>
    <row r="300" spans="1:7" ht="15" customHeight="1">
      <c r="A300" s="3557"/>
      <c r="B300" s="3171">
        <v>285</v>
      </c>
      <c r="C300" s="3180">
        <v>112</v>
      </c>
      <c r="D300" s="3173">
        <v>31.83</v>
      </c>
      <c r="E300" s="3171" t="s">
        <v>3643</v>
      </c>
      <c r="F300" s="3171" t="s">
        <v>3453</v>
      </c>
      <c r="G300" s="3171">
        <v>-2</v>
      </c>
    </row>
    <row r="301" spans="1:7" ht="15" customHeight="1">
      <c r="A301" s="3557"/>
      <c r="B301" s="3171">
        <v>286</v>
      </c>
      <c r="C301" s="3180">
        <v>115</v>
      </c>
      <c r="D301" s="3173">
        <v>31.83</v>
      </c>
      <c r="E301" s="3171" t="s">
        <v>3643</v>
      </c>
      <c r="F301" s="3171" t="s">
        <v>3453</v>
      </c>
      <c r="G301" s="3171">
        <v>-2</v>
      </c>
    </row>
    <row r="302" spans="1:7" ht="15" customHeight="1">
      <c r="A302" s="3557"/>
      <c r="B302" s="3171">
        <v>287</v>
      </c>
      <c r="C302" s="3180">
        <v>116</v>
      </c>
      <c r="D302" s="3173">
        <v>31.83</v>
      </c>
      <c r="E302" s="3171" t="s">
        <v>3643</v>
      </c>
      <c r="F302" s="3171" t="s">
        <v>3453</v>
      </c>
      <c r="G302" s="3171">
        <v>-2</v>
      </c>
    </row>
    <row r="303" spans="1:7" ht="15" customHeight="1">
      <c r="A303" s="3557"/>
      <c r="B303" s="3171">
        <v>288</v>
      </c>
      <c r="C303" s="3180">
        <v>117</v>
      </c>
      <c r="D303" s="3173">
        <v>31.83</v>
      </c>
      <c r="E303" s="3171" t="s">
        <v>3643</v>
      </c>
      <c r="F303" s="3171" t="s">
        <v>3453</v>
      </c>
      <c r="G303" s="3171">
        <v>-2</v>
      </c>
    </row>
    <row r="304" spans="1:7" ht="15" customHeight="1">
      <c r="A304" s="3557"/>
      <c r="B304" s="3171">
        <v>289</v>
      </c>
      <c r="C304" s="3180">
        <v>118</v>
      </c>
      <c r="D304" s="3173">
        <v>31.83</v>
      </c>
      <c r="E304" s="3171" t="s">
        <v>3643</v>
      </c>
      <c r="F304" s="3171" t="s">
        <v>3453</v>
      </c>
      <c r="G304" s="3171">
        <v>-2</v>
      </c>
    </row>
    <row r="305" spans="1:7" ht="15" customHeight="1">
      <c r="A305" s="3557"/>
      <c r="B305" s="3171">
        <v>290</v>
      </c>
      <c r="C305" s="3180">
        <v>119</v>
      </c>
      <c r="D305" s="3173">
        <v>31.83</v>
      </c>
      <c r="E305" s="3171" t="s">
        <v>3643</v>
      </c>
      <c r="F305" s="3171" t="s">
        <v>3453</v>
      </c>
      <c r="G305" s="3171">
        <v>-2</v>
      </c>
    </row>
    <row r="306" spans="1:7" ht="15" customHeight="1">
      <c r="A306" s="3557"/>
      <c r="B306" s="3171">
        <v>291</v>
      </c>
      <c r="C306" s="3180">
        <v>120</v>
      </c>
      <c r="D306" s="3173">
        <v>31.83</v>
      </c>
      <c r="E306" s="3171" t="s">
        <v>3643</v>
      </c>
      <c r="F306" s="3171" t="s">
        <v>3453</v>
      </c>
      <c r="G306" s="3171">
        <v>-2</v>
      </c>
    </row>
    <row r="307" spans="1:7" ht="15" customHeight="1">
      <c r="A307" s="3557"/>
      <c r="B307" s="3171">
        <v>292</v>
      </c>
      <c r="C307" s="3180">
        <v>121</v>
      </c>
      <c r="D307" s="3173">
        <v>31.83</v>
      </c>
      <c r="E307" s="3171" t="s">
        <v>3643</v>
      </c>
      <c r="F307" s="3171" t="s">
        <v>3453</v>
      </c>
      <c r="G307" s="3171">
        <v>-2</v>
      </c>
    </row>
    <row r="308" spans="1:7" ht="15" customHeight="1">
      <c r="A308" s="3557"/>
      <c r="B308" s="3171">
        <v>293</v>
      </c>
      <c r="C308" s="3180">
        <v>122</v>
      </c>
      <c r="D308" s="3173">
        <v>31.83</v>
      </c>
      <c r="E308" s="3171" t="s">
        <v>3643</v>
      </c>
      <c r="F308" s="3171" t="s">
        <v>3453</v>
      </c>
      <c r="G308" s="3171">
        <v>-2</v>
      </c>
    </row>
    <row r="309" spans="1:7" ht="15" customHeight="1">
      <c r="A309" s="3557"/>
      <c r="B309" s="3171">
        <v>294</v>
      </c>
      <c r="C309" s="3180">
        <v>123</v>
      </c>
      <c r="D309" s="3173">
        <v>31.83</v>
      </c>
      <c r="E309" s="3171" t="s">
        <v>3643</v>
      </c>
      <c r="F309" s="3171" t="s">
        <v>3453</v>
      </c>
      <c r="G309" s="3171">
        <v>-2</v>
      </c>
    </row>
    <row r="310" spans="1:7" ht="15" customHeight="1">
      <c r="A310" s="3557"/>
      <c r="B310" s="3171">
        <v>295</v>
      </c>
      <c r="C310" s="3180">
        <v>125</v>
      </c>
      <c r="D310" s="3173">
        <v>31.83</v>
      </c>
      <c r="E310" s="3171" t="s">
        <v>3643</v>
      </c>
      <c r="F310" s="3171" t="s">
        <v>3453</v>
      </c>
      <c r="G310" s="3171">
        <v>-2</v>
      </c>
    </row>
    <row r="311" spans="1:7" ht="15" customHeight="1">
      <c r="A311" s="3557"/>
      <c r="B311" s="3171">
        <v>296</v>
      </c>
      <c r="C311" s="3171">
        <v>126</v>
      </c>
      <c r="D311" s="3173">
        <v>31.83</v>
      </c>
      <c r="E311" s="3171" t="s">
        <v>3643</v>
      </c>
      <c r="F311" s="3171" t="s">
        <v>3453</v>
      </c>
      <c r="G311" s="3171">
        <v>-2</v>
      </c>
    </row>
    <row r="312" spans="1:7" ht="15" customHeight="1">
      <c r="A312" s="3557"/>
      <c r="B312" s="3171">
        <v>297</v>
      </c>
      <c r="C312" s="3171">
        <v>127</v>
      </c>
      <c r="D312" s="3173">
        <v>31.83</v>
      </c>
      <c r="E312" s="3171" t="s">
        <v>3643</v>
      </c>
      <c r="F312" s="3171" t="s">
        <v>3453</v>
      </c>
      <c r="G312" s="3171">
        <v>-2</v>
      </c>
    </row>
    <row r="313" spans="1:7" ht="15" customHeight="1">
      <c r="A313" s="3557"/>
      <c r="B313" s="3171">
        <v>298</v>
      </c>
      <c r="C313" s="3171">
        <v>129</v>
      </c>
      <c r="D313" s="3173">
        <v>31.83</v>
      </c>
      <c r="E313" s="3174" t="s">
        <v>3643</v>
      </c>
      <c r="F313" s="3171" t="s">
        <v>3453</v>
      </c>
      <c r="G313" s="3171">
        <v>-2</v>
      </c>
    </row>
    <row r="314" spans="1:7" ht="15" customHeight="1">
      <c r="A314" s="3557"/>
      <c r="B314" s="3171">
        <v>299</v>
      </c>
      <c r="C314" s="3171">
        <v>130</v>
      </c>
      <c r="D314" s="3173">
        <v>31.83</v>
      </c>
      <c r="E314" s="3174" t="s">
        <v>3643</v>
      </c>
      <c r="F314" s="3171" t="s">
        <v>3453</v>
      </c>
      <c r="G314" s="3171">
        <v>-2</v>
      </c>
    </row>
    <row r="315" spans="1:7" ht="15" customHeight="1">
      <c r="A315" s="3557"/>
      <c r="B315" s="3171">
        <v>300</v>
      </c>
      <c r="C315" s="3171">
        <v>131</v>
      </c>
      <c r="D315" s="3173">
        <v>31.83</v>
      </c>
      <c r="E315" s="3174" t="s">
        <v>3643</v>
      </c>
      <c r="F315" s="3171" t="s">
        <v>3453</v>
      </c>
      <c r="G315" s="3171">
        <v>-2</v>
      </c>
    </row>
    <row r="316" spans="1:7" ht="15" customHeight="1">
      <c r="A316" s="3557"/>
      <c r="B316" s="3171">
        <v>301</v>
      </c>
      <c r="C316" s="3171">
        <v>132</v>
      </c>
      <c r="D316" s="3173">
        <v>31.83</v>
      </c>
      <c r="E316" s="3174" t="s">
        <v>3643</v>
      </c>
      <c r="F316" s="3171" t="s">
        <v>3453</v>
      </c>
      <c r="G316" s="3171">
        <v>-2</v>
      </c>
    </row>
    <row r="317" spans="1:7" ht="15" customHeight="1">
      <c r="A317" s="3557"/>
      <c r="B317" s="3171">
        <v>302</v>
      </c>
      <c r="C317" s="3171">
        <v>133</v>
      </c>
      <c r="D317" s="3173">
        <v>31.83</v>
      </c>
      <c r="E317" s="3174" t="s">
        <v>3643</v>
      </c>
      <c r="F317" s="3171" t="s">
        <v>3453</v>
      </c>
      <c r="G317" s="3171">
        <v>-2</v>
      </c>
    </row>
    <row r="318" spans="1:7" ht="15" customHeight="1">
      <c r="A318" s="3557"/>
      <c r="B318" s="3171">
        <v>303</v>
      </c>
      <c r="C318" s="3171">
        <v>135</v>
      </c>
      <c r="D318" s="3173">
        <v>31.83</v>
      </c>
      <c r="E318" s="3171" t="s">
        <v>3643</v>
      </c>
      <c r="F318" s="3171" t="s">
        <v>3453</v>
      </c>
      <c r="G318" s="3171">
        <v>-2</v>
      </c>
    </row>
    <row r="319" spans="1:7" ht="15" customHeight="1">
      <c r="A319" s="3557"/>
      <c r="B319" s="3171">
        <v>304</v>
      </c>
      <c r="C319" s="3171">
        <v>136</v>
      </c>
      <c r="D319" s="3173">
        <v>31.83</v>
      </c>
      <c r="E319" s="3171" t="s">
        <v>3643</v>
      </c>
      <c r="F319" s="3171" t="s">
        <v>3453</v>
      </c>
      <c r="G319" s="3171">
        <v>-2</v>
      </c>
    </row>
    <row r="320" spans="1:7" ht="15" customHeight="1">
      <c r="A320" s="3557"/>
      <c r="B320" s="3171">
        <v>305</v>
      </c>
      <c r="C320" s="3171">
        <v>137</v>
      </c>
      <c r="D320" s="3173">
        <v>31.83</v>
      </c>
      <c r="E320" s="3171" t="s">
        <v>3643</v>
      </c>
      <c r="F320" s="3171" t="s">
        <v>3453</v>
      </c>
      <c r="G320" s="3171">
        <v>-2</v>
      </c>
    </row>
    <row r="321" spans="1:7" ht="15" customHeight="1">
      <c r="A321" s="3557"/>
      <c r="B321" s="3171">
        <v>306</v>
      </c>
      <c r="C321" s="3171">
        <v>138</v>
      </c>
      <c r="D321" s="3173">
        <v>31.83</v>
      </c>
      <c r="E321" s="3171" t="s">
        <v>3643</v>
      </c>
      <c r="F321" s="3171" t="s">
        <v>3453</v>
      </c>
      <c r="G321" s="3171">
        <v>-2</v>
      </c>
    </row>
    <row r="322" spans="1:7" ht="15" customHeight="1">
      <c r="A322" s="3557"/>
      <c r="B322" s="3171">
        <v>307</v>
      </c>
      <c r="C322" s="3171">
        <v>139</v>
      </c>
      <c r="D322" s="3173">
        <v>31.83</v>
      </c>
      <c r="E322" s="3171" t="s">
        <v>3643</v>
      </c>
      <c r="F322" s="3171" t="s">
        <v>3453</v>
      </c>
      <c r="G322" s="3171">
        <v>-2</v>
      </c>
    </row>
    <row r="323" spans="1:7" ht="15" customHeight="1">
      <c r="A323" s="3557"/>
      <c r="B323" s="3171">
        <v>308</v>
      </c>
      <c r="C323" s="3171">
        <v>140</v>
      </c>
      <c r="D323" s="3173">
        <v>31.83</v>
      </c>
      <c r="E323" s="3171" t="s">
        <v>3643</v>
      </c>
      <c r="F323" s="3171" t="s">
        <v>3453</v>
      </c>
      <c r="G323" s="3171">
        <v>-2</v>
      </c>
    </row>
    <row r="324" spans="1:7" ht="15" customHeight="1">
      <c r="A324" s="3557"/>
      <c r="B324" s="3171">
        <v>309</v>
      </c>
      <c r="C324" s="3171">
        <v>141</v>
      </c>
      <c r="D324" s="3173">
        <v>31.83</v>
      </c>
      <c r="E324" s="3171" t="s">
        <v>3643</v>
      </c>
      <c r="F324" s="3171" t="s">
        <v>3453</v>
      </c>
      <c r="G324" s="3171">
        <v>-2</v>
      </c>
    </row>
    <row r="325" spans="1:7" ht="15" customHeight="1">
      <c r="A325" s="3557"/>
      <c r="B325" s="3171">
        <v>310</v>
      </c>
      <c r="C325" s="3171">
        <v>142</v>
      </c>
      <c r="D325" s="3173">
        <v>31.83</v>
      </c>
      <c r="E325" s="3171" t="s">
        <v>3643</v>
      </c>
      <c r="F325" s="3171" t="s">
        <v>3453</v>
      </c>
      <c r="G325" s="3171">
        <v>-2</v>
      </c>
    </row>
    <row r="326" spans="1:7" ht="15" customHeight="1">
      <c r="A326" s="3557"/>
      <c r="B326" s="3171">
        <v>311</v>
      </c>
      <c r="C326" s="3171">
        <v>143</v>
      </c>
      <c r="D326" s="3173">
        <v>31.83</v>
      </c>
      <c r="E326" s="3171" t="s">
        <v>3643</v>
      </c>
      <c r="F326" s="3171" t="s">
        <v>3453</v>
      </c>
      <c r="G326" s="3171">
        <v>-2</v>
      </c>
    </row>
    <row r="327" spans="1:7" ht="15" customHeight="1">
      <c r="A327" s="3557"/>
      <c r="B327" s="3171">
        <v>312</v>
      </c>
      <c r="C327" s="3171">
        <v>145</v>
      </c>
      <c r="D327" s="3173">
        <v>31.83</v>
      </c>
      <c r="E327" s="3171" t="s">
        <v>3643</v>
      </c>
      <c r="F327" s="3171" t="s">
        <v>3453</v>
      </c>
      <c r="G327" s="3171">
        <v>-2</v>
      </c>
    </row>
    <row r="328" spans="1:7" ht="15" customHeight="1">
      <c r="A328" s="3557"/>
      <c r="B328" s="3171">
        <v>313</v>
      </c>
      <c r="C328" s="3171">
        <v>146</v>
      </c>
      <c r="D328" s="3173">
        <v>31.83</v>
      </c>
      <c r="E328" s="3171" t="s">
        <v>3643</v>
      </c>
      <c r="F328" s="3171" t="s">
        <v>3453</v>
      </c>
      <c r="G328" s="3171">
        <v>-2</v>
      </c>
    </row>
    <row r="329" spans="1:7" ht="15" customHeight="1">
      <c r="A329" s="3557"/>
      <c r="B329" s="3171">
        <v>314</v>
      </c>
      <c r="C329" s="3171">
        <v>147</v>
      </c>
      <c r="D329" s="3173">
        <v>31.83</v>
      </c>
      <c r="E329" s="3171" t="s">
        <v>3643</v>
      </c>
      <c r="F329" s="3171" t="s">
        <v>3453</v>
      </c>
      <c r="G329" s="3171">
        <v>-2</v>
      </c>
    </row>
    <row r="330" spans="1:7" ht="15" customHeight="1">
      <c r="A330" s="3557"/>
      <c r="B330" s="3171">
        <v>315</v>
      </c>
      <c r="C330" s="3171">
        <v>148</v>
      </c>
      <c r="D330" s="3173">
        <v>31.83</v>
      </c>
      <c r="E330" s="3171" t="s">
        <v>3643</v>
      </c>
      <c r="F330" s="3171" t="s">
        <v>3453</v>
      </c>
      <c r="G330" s="3171">
        <v>-2</v>
      </c>
    </row>
    <row r="331" spans="1:7" ht="15" customHeight="1">
      <c r="A331" s="3557"/>
      <c r="B331" s="3171">
        <v>316</v>
      </c>
      <c r="C331" s="3171">
        <v>149</v>
      </c>
      <c r="D331" s="3173">
        <v>31.83</v>
      </c>
      <c r="E331" s="3171" t="s">
        <v>3643</v>
      </c>
      <c r="F331" s="3171" t="s">
        <v>3453</v>
      </c>
      <c r="G331" s="3171">
        <v>-2</v>
      </c>
    </row>
    <row r="332" spans="1:7" ht="15" customHeight="1">
      <c r="A332" s="3557"/>
      <c r="B332" s="3171">
        <v>317</v>
      </c>
      <c r="C332" s="3171">
        <v>150</v>
      </c>
      <c r="D332" s="3173">
        <v>57.06</v>
      </c>
      <c r="E332" s="3171" t="s">
        <v>3643</v>
      </c>
      <c r="F332" s="3171" t="s">
        <v>3453</v>
      </c>
      <c r="G332" s="3171">
        <v>-2</v>
      </c>
    </row>
    <row r="333" spans="1:7" ht="15" customHeight="1">
      <c r="A333" s="3557"/>
      <c r="B333" s="3171">
        <v>318</v>
      </c>
      <c r="C333" s="3171">
        <v>151</v>
      </c>
      <c r="D333" s="3173">
        <v>31.83</v>
      </c>
      <c r="E333" s="3171" t="s">
        <v>3643</v>
      </c>
      <c r="F333" s="3171" t="s">
        <v>3453</v>
      </c>
      <c r="G333" s="3171">
        <v>-2</v>
      </c>
    </row>
    <row r="334" spans="1:7" ht="15" customHeight="1">
      <c r="A334" s="3557"/>
      <c r="B334" s="3171">
        <v>319</v>
      </c>
      <c r="C334" s="3171">
        <v>152</v>
      </c>
      <c r="D334" s="3173">
        <v>31.83</v>
      </c>
      <c r="E334" s="3171" t="s">
        <v>3643</v>
      </c>
      <c r="F334" s="3171" t="s">
        <v>3453</v>
      </c>
      <c r="G334" s="3171">
        <v>-2</v>
      </c>
    </row>
    <row r="335" spans="1:7" ht="15" customHeight="1">
      <c r="A335" s="3557"/>
      <c r="B335" s="3171">
        <v>320</v>
      </c>
      <c r="C335" s="3171">
        <v>153</v>
      </c>
      <c r="D335" s="3173">
        <v>31.83</v>
      </c>
      <c r="E335" s="3171" t="s">
        <v>3643</v>
      </c>
      <c r="F335" s="3171" t="s">
        <v>3453</v>
      </c>
      <c r="G335" s="3171">
        <v>-2</v>
      </c>
    </row>
    <row r="336" spans="1:7" ht="15" customHeight="1">
      <c r="A336" s="3557"/>
      <c r="B336" s="3171">
        <v>321</v>
      </c>
      <c r="C336" s="3171">
        <v>155</v>
      </c>
      <c r="D336" s="3173">
        <v>34.49</v>
      </c>
      <c r="E336" s="3171" t="s">
        <v>3643</v>
      </c>
      <c r="F336" s="3171" t="s">
        <v>3453</v>
      </c>
      <c r="G336" s="3171">
        <v>-2</v>
      </c>
    </row>
    <row r="337" spans="1:7" ht="15" customHeight="1">
      <c r="A337" s="3557"/>
      <c r="B337" s="3171">
        <v>322</v>
      </c>
      <c r="C337" s="3171">
        <v>156</v>
      </c>
      <c r="D337" s="3173">
        <v>34.49</v>
      </c>
      <c r="E337" s="3171" t="s">
        <v>3643</v>
      </c>
      <c r="F337" s="3171" t="s">
        <v>3453</v>
      </c>
      <c r="G337" s="3171">
        <v>-2</v>
      </c>
    </row>
    <row r="338" spans="1:7" ht="15" customHeight="1">
      <c r="A338" s="3557"/>
      <c r="B338" s="3171">
        <v>323</v>
      </c>
      <c r="C338" s="3171">
        <v>157</v>
      </c>
      <c r="D338" s="3173">
        <v>34.49</v>
      </c>
      <c r="E338" s="3171" t="s">
        <v>3643</v>
      </c>
      <c r="F338" s="3171" t="s">
        <v>3453</v>
      </c>
      <c r="G338" s="3171">
        <v>-2</v>
      </c>
    </row>
    <row r="339" spans="1:7" ht="15" customHeight="1">
      <c r="A339" s="3557"/>
      <c r="B339" s="3171">
        <v>324</v>
      </c>
      <c r="C339" s="3171">
        <v>159</v>
      </c>
      <c r="D339" s="3173">
        <v>31.83</v>
      </c>
      <c r="E339" s="3171" t="s">
        <v>3643</v>
      </c>
      <c r="F339" s="3171" t="s">
        <v>3453</v>
      </c>
      <c r="G339" s="3171">
        <v>-2</v>
      </c>
    </row>
    <row r="340" spans="1:7" ht="15" customHeight="1">
      <c r="A340" s="3557"/>
      <c r="B340" s="3171">
        <v>325</v>
      </c>
      <c r="C340" s="3171">
        <v>160</v>
      </c>
      <c r="D340" s="3173">
        <v>31.83</v>
      </c>
      <c r="E340" s="3171" t="s">
        <v>3643</v>
      </c>
      <c r="F340" s="3171" t="s">
        <v>3453</v>
      </c>
      <c r="G340" s="3171">
        <v>-2</v>
      </c>
    </row>
    <row r="341" spans="1:7" ht="15" customHeight="1">
      <c r="A341" s="3557"/>
      <c r="B341" s="3171">
        <v>326</v>
      </c>
      <c r="C341" s="3171">
        <v>162</v>
      </c>
      <c r="D341" s="3173">
        <v>31.83</v>
      </c>
      <c r="E341" s="3171" t="s">
        <v>3643</v>
      </c>
      <c r="F341" s="3171" t="s">
        <v>3453</v>
      </c>
      <c r="G341" s="3171">
        <v>-2</v>
      </c>
    </row>
    <row r="342" spans="1:7" ht="15" customHeight="1">
      <c r="A342" s="3557"/>
      <c r="B342" s="3171">
        <v>327</v>
      </c>
      <c r="C342" s="3171">
        <v>163</v>
      </c>
      <c r="D342" s="3173">
        <v>34.49</v>
      </c>
      <c r="E342" s="3171" t="s">
        <v>3643</v>
      </c>
      <c r="F342" s="3171" t="s">
        <v>3453</v>
      </c>
      <c r="G342" s="3171">
        <v>-2</v>
      </c>
    </row>
    <row r="343" spans="1:7" ht="15" customHeight="1">
      <c r="A343" s="3557"/>
      <c r="B343" s="3171">
        <v>328</v>
      </c>
      <c r="C343" s="3181">
        <v>165</v>
      </c>
      <c r="D343" s="3173">
        <v>34.49</v>
      </c>
      <c r="E343" s="3174" t="s">
        <v>3643</v>
      </c>
      <c r="F343" s="3171" t="s">
        <v>3453</v>
      </c>
      <c r="G343" s="3171">
        <v>-2</v>
      </c>
    </row>
    <row r="344" spans="1:7" ht="15" customHeight="1">
      <c r="A344" s="3557"/>
      <c r="B344" s="3171">
        <v>329</v>
      </c>
      <c r="C344" s="3171">
        <v>166</v>
      </c>
      <c r="D344" s="3173">
        <v>34.49</v>
      </c>
      <c r="E344" s="3171" t="s">
        <v>3643</v>
      </c>
      <c r="F344" s="3171" t="s">
        <v>3453</v>
      </c>
      <c r="G344" s="3171">
        <v>-2</v>
      </c>
    </row>
    <row r="345" spans="1:7" ht="15" customHeight="1">
      <c r="A345" s="3557"/>
      <c r="B345" s="3171">
        <v>330</v>
      </c>
      <c r="C345" s="3171">
        <v>167</v>
      </c>
      <c r="D345" s="3173">
        <v>31.83</v>
      </c>
      <c r="E345" s="3171" t="s">
        <v>3643</v>
      </c>
      <c r="F345" s="3171" t="s">
        <v>3453</v>
      </c>
      <c r="G345" s="3171">
        <v>-2</v>
      </c>
    </row>
    <row r="346" spans="1:7" ht="15" customHeight="1">
      <c r="A346" s="3557"/>
      <c r="B346" s="3171">
        <v>331</v>
      </c>
      <c r="C346" s="3171">
        <v>168</v>
      </c>
      <c r="D346" s="3173">
        <v>31.83</v>
      </c>
      <c r="E346" s="3171" t="s">
        <v>3643</v>
      </c>
      <c r="F346" s="3171" t="s">
        <v>3453</v>
      </c>
      <c r="G346" s="3171">
        <v>-2</v>
      </c>
    </row>
    <row r="347" spans="1:7" ht="15" customHeight="1">
      <c r="A347" s="3557"/>
      <c r="B347" s="3171">
        <v>332</v>
      </c>
      <c r="C347" s="3171">
        <v>169</v>
      </c>
      <c r="D347" s="3173">
        <v>31.83</v>
      </c>
      <c r="E347" s="3171" t="s">
        <v>3643</v>
      </c>
      <c r="F347" s="3171" t="s">
        <v>3453</v>
      </c>
      <c r="G347" s="3171">
        <v>-2</v>
      </c>
    </row>
    <row r="348" spans="1:7" ht="15" customHeight="1">
      <c r="A348" s="3557"/>
      <c r="B348" s="3171">
        <v>333</v>
      </c>
      <c r="C348" s="3171">
        <v>170</v>
      </c>
      <c r="D348" s="3173">
        <v>31.83</v>
      </c>
      <c r="E348" s="3171" t="s">
        <v>3643</v>
      </c>
      <c r="F348" s="3171" t="s">
        <v>3453</v>
      </c>
      <c r="G348" s="3171">
        <v>-2</v>
      </c>
    </row>
    <row r="349" spans="1:7" ht="15" customHeight="1">
      <c r="A349" s="3557"/>
      <c r="B349" s="3171">
        <v>334</v>
      </c>
      <c r="C349" s="3171">
        <v>171</v>
      </c>
      <c r="D349" s="3173">
        <v>31.83</v>
      </c>
      <c r="E349" s="3171" t="s">
        <v>3643</v>
      </c>
      <c r="F349" s="3171" t="s">
        <v>3453</v>
      </c>
      <c r="G349" s="3171">
        <v>-2</v>
      </c>
    </row>
    <row r="350" spans="1:7" ht="15" customHeight="1">
      <c r="A350" s="3557"/>
      <c r="B350" s="3171">
        <v>335</v>
      </c>
      <c r="C350" s="3171">
        <v>172</v>
      </c>
      <c r="D350" s="3173">
        <v>31.83</v>
      </c>
      <c r="E350" s="3171" t="s">
        <v>3643</v>
      </c>
      <c r="F350" s="3171" t="s">
        <v>3453</v>
      </c>
      <c r="G350" s="3171">
        <v>-2</v>
      </c>
    </row>
    <row r="351" spans="1:7" ht="15" customHeight="1">
      <c r="A351" s="3557"/>
      <c r="B351" s="3171">
        <v>336</v>
      </c>
      <c r="C351" s="3171">
        <v>173</v>
      </c>
      <c r="D351" s="3173">
        <v>31.83</v>
      </c>
      <c r="E351" s="3171" t="s">
        <v>3643</v>
      </c>
      <c r="F351" s="3171" t="s">
        <v>3453</v>
      </c>
      <c r="G351" s="3171">
        <v>-2</v>
      </c>
    </row>
    <row r="352" spans="1:7" ht="15" customHeight="1">
      <c r="A352" s="3557"/>
      <c r="B352" s="3171">
        <v>337</v>
      </c>
      <c r="C352" s="3171">
        <v>175</v>
      </c>
      <c r="D352" s="3173">
        <v>31.83</v>
      </c>
      <c r="E352" s="3171" t="s">
        <v>3643</v>
      </c>
      <c r="F352" s="3171" t="s">
        <v>3453</v>
      </c>
      <c r="G352" s="3171">
        <v>-2</v>
      </c>
    </row>
    <row r="353" spans="1:7" ht="15" customHeight="1">
      <c r="A353" s="3557"/>
      <c r="B353" s="3171">
        <v>338</v>
      </c>
      <c r="C353" s="3171">
        <v>176</v>
      </c>
      <c r="D353" s="3173">
        <v>31.83</v>
      </c>
      <c r="E353" s="3171" t="s">
        <v>3643</v>
      </c>
      <c r="F353" s="3171" t="s">
        <v>3453</v>
      </c>
      <c r="G353" s="3171">
        <v>-2</v>
      </c>
    </row>
    <row r="354" spans="1:7" ht="15" customHeight="1">
      <c r="A354" s="3557"/>
      <c r="B354" s="3171">
        <v>339</v>
      </c>
      <c r="C354" s="3171">
        <v>178</v>
      </c>
      <c r="D354" s="3173">
        <v>31.83</v>
      </c>
      <c r="E354" s="3171" t="s">
        <v>3643</v>
      </c>
      <c r="F354" s="3171" t="s">
        <v>3453</v>
      </c>
      <c r="G354" s="3171">
        <v>-2</v>
      </c>
    </row>
    <row r="355" spans="1:7" ht="15" customHeight="1">
      <c r="A355" s="3557"/>
      <c r="B355" s="3171">
        <v>340</v>
      </c>
      <c r="C355" s="3171">
        <v>179</v>
      </c>
      <c r="D355" s="3173">
        <v>31.83</v>
      </c>
      <c r="E355" s="3171" t="s">
        <v>3643</v>
      </c>
      <c r="F355" s="3171" t="s">
        <v>3453</v>
      </c>
      <c r="G355" s="3171">
        <v>-2</v>
      </c>
    </row>
    <row r="356" spans="1:7" ht="15" customHeight="1">
      <c r="A356" s="3557"/>
      <c r="B356" s="3171">
        <v>341</v>
      </c>
      <c r="C356" s="3171">
        <v>180</v>
      </c>
      <c r="D356" s="3173">
        <v>31.83</v>
      </c>
      <c r="E356" s="3171" t="s">
        <v>3643</v>
      </c>
      <c r="F356" s="3171" t="s">
        <v>3453</v>
      </c>
      <c r="G356" s="3171">
        <v>-2</v>
      </c>
    </row>
    <row r="357" spans="1:7" ht="15" customHeight="1">
      <c r="A357" s="3557"/>
      <c r="B357" s="3171">
        <v>342</v>
      </c>
      <c r="C357" s="3171">
        <v>181</v>
      </c>
      <c r="D357" s="3173">
        <v>31.83</v>
      </c>
      <c r="E357" s="3171" t="s">
        <v>3643</v>
      </c>
      <c r="F357" s="3171" t="s">
        <v>3453</v>
      </c>
      <c r="G357" s="3171">
        <v>-2</v>
      </c>
    </row>
    <row r="358" spans="1:7" ht="15" customHeight="1">
      <c r="A358" s="3557"/>
      <c r="B358" s="3171">
        <v>343</v>
      </c>
      <c r="C358" s="3171">
        <v>182</v>
      </c>
      <c r="D358" s="3173">
        <v>31.83</v>
      </c>
      <c r="E358" s="3171" t="s">
        <v>3643</v>
      </c>
      <c r="F358" s="3171" t="s">
        <v>3453</v>
      </c>
      <c r="G358" s="3171">
        <v>-2</v>
      </c>
    </row>
    <row r="359" spans="1:7" ht="15" customHeight="1">
      <c r="A359" s="3557"/>
      <c r="B359" s="3171">
        <v>344</v>
      </c>
      <c r="C359" s="3171">
        <v>185</v>
      </c>
      <c r="D359" s="3173">
        <v>31.83</v>
      </c>
      <c r="E359" s="3171" t="s">
        <v>3643</v>
      </c>
      <c r="F359" s="3171" t="s">
        <v>3453</v>
      </c>
      <c r="G359" s="3171">
        <v>-2</v>
      </c>
    </row>
    <row r="360" spans="1:7" ht="15" customHeight="1">
      <c r="A360" s="3557"/>
      <c r="B360" s="3171">
        <v>345</v>
      </c>
      <c r="C360" s="3171">
        <v>188</v>
      </c>
      <c r="D360" s="3173">
        <v>31.83</v>
      </c>
      <c r="E360" s="3171" t="s">
        <v>3643</v>
      </c>
      <c r="F360" s="3171" t="s">
        <v>3453</v>
      </c>
      <c r="G360" s="3171">
        <v>-2</v>
      </c>
    </row>
    <row r="361" spans="1:7" ht="15" customHeight="1">
      <c r="A361" s="3557"/>
      <c r="B361" s="3171">
        <v>346</v>
      </c>
      <c r="C361" s="3171">
        <v>190</v>
      </c>
      <c r="D361" s="3173">
        <v>31.83</v>
      </c>
      <c r="E361" s="3171" t="s">
        <v>3643</v>
      </c>
      <c r="F361" s="3171" t="s">
        <v>3453</v>
      </c>
      <c r="G361" s="3171">
        <v>-2</v>
      </c>
    </row>
    <row r="362" spans="1:7" ht="15" customHeight="1">
      <c r="A362" s="3557"/>
      <c r="B362" s="3171">
        <v>347</v>
      </c>
      <c r="C362" s="3171">
        <v>191</v>
      </c>
      <c r="D362" s="3173">
        <v>31.83</v>
      </c>
      <c r="E362" s="3171" t="s">
        <v>3643</v>
      </c>
      <c r="F362" s="3171" t="s">
        <v>3453</v>
      </c>
      <c r="G362" s="3171">
        <v>-2</v>
      </c>
    </row>
    <row r="363" spans="1:7" ht="15" customHeight="1">
      <c r="A363" s="3557"/>
      <c r="B363" s="3171">
        <v>348</v>
      </c>
      <c r="C363" s="3171">
        <v>192</v>
      </c>
      <c r="D363" s="3173">
        <v>31.83</v>
      </c>
      <c r="E363" s="3174" t="s">
        <v>3643</v>
      </c>
      <c r="F363" s="3171" t="s">
        <v>3453</v>
      </c>
      <c r="G363" s="3171">
        <v>-2</v>
      </c>
    </row>
    <row r="364" spans="1:7" ht="15" customHeight="1">
      <c r="A364" s="3557"/>
      <c r="B364" s="3171">
        <v>349</v>
      </c>
      <c r="C364" s="3171">
        <v>195</v>
      </c>
      <c r="D364" s="3173">
        <v>31.83</v>
      </c>
      <c r="E364" s="3174" t="s">
        <v>3643</v>
      </c>
      <c r="F364" s="3171" t="s">
        <v>3453</v>
      </c>
      <c r="G364" s="3171">
        <v>-2</v>
      </c>
    </row>
    <row r="365" spans="1:7" ht="15" customHeight="1">
      <c r="A365" s="3557"/>
      <c r="B365" s="3171">
        <v>350</v>
      </c>
      <c r="C365" s="3171">
        <v>196</v>
      </c>
      <c r="D365" s="3173">
        <v>31.83</v>
      </c>
      <c r="E365" s="3174" t="s">
        <v>3643</v>
      </c>
      <c r="F365" s="3171" t="s">
        <v>3453</v>
      </c>
      <c r="G365" s="3171">
        <v>-2</v>
      </c>
    </row>
    <row r="366" spans="1:7" ht="15" customHeight="1">
      <c r="A366" s="3557"/>
      <c r="B366" s="3171">
        <v>351</v>
      </c>
      <c r="C366" s="3171">
        <v>197</v>
      </c>
      <c r="D366" s="3173">
        <v>31.83</v>
      </c>
      <c r="E366" s="3174" t="s">
        <v>3643</v>
      </c>
      <c r="F366" s="3171" t="s">
        <v>3453</v>
      </c>
      <c r="G366" s="3171">
        <v>-2</v>
      </c>
    </row>
    <row r="367" spans="1:7" ht="15" customHeight="1">
      <c r="A367" s="3557"/>
      <c r="B367" s="3171">
        <v>352</v>
      </c>
      <c r="C367" s="3171">
        <v>198</v>
      </c>
      <c r="D367" s="3173">
        <v>31.83</v>
      </c>
      <c r="E367" s="3171" t="s">
        <v>3643</v>
      </c>
      <c r="F367" s="3171" t="s">
        <v>3453</v>
      </c>
      <c r="G367" s="3171">
        <v>-2</v>
      </c>
    </row>
    <row r="368" spans="1:7" ht="15" customHeight="1">
      <c r="A368" s="3557"/>
      <c r="B368" s="3171">
        <v>353</v>
      </c>
      <c r="C368" s="3171">
        <v>199</v>
      </c>
      <c r="D368" s="3173">
        <v>31.83</v>
      </c>
      <c r="E368" s="3171" t="s">
        <v>3643</v>
      </c>
      <c r="F368" s="3171" t="s">
        <v>3453</v>
      </c>
      <c r="G368" s="3171">
        <v>-2</v>
      </c>
    </row>
    <row r="369" spans="1:7" ht="15" customHeight="1">
      <c r="A369" s="3557"/>
      <c r="B369" s="3171">
        <v>354</v>
      </c>
      <c r="C369" s="3171">
        <v>222</v>
      </c>
      <c r="D369" s="3173">
        <v>31.83</v>
      </c>
      <c r="E369" s="3171" t="s">
        <v>3643</v>
      </c>
      <c r="F369" s="3171" t="s">
        <v>3453</v>
      </c>
      <c r="G369" s="3171">
        <v>-2</v>
      </c>
    </row>
    <row r="370" spans="1:7" ht="15" customHeight="1">
      <c r="A370" s="3557"/>
      <c r="B370" s="3171">
        <v>355</v>
      </c>
      <c r="C370" s="3171">
        <v>223</v>
      </c>
      <c r="D370" s="3173">
        <v>31.83</v>
      </c>
      <c r="E370" s="3171" t="s">
        <v>3643</v>
      </c>
      <c r="F370" s="3171" t="s">
        <v>3453</v>
      </c>
      <c r="G370" s="3171">
        <v>-2</v>
      </c>
    </row>
    <row r="371" spans="1:7" ht="15" customHeight="1">
      <c r="A371" s="3557"/>
      <c r="B371" s="3171">
        <v>356</v>
      </c>
      <c r="C371" s="3171">
        <v>226</v>
      </c>
      <c r="D371" s="3173">
        <v>31.83</v>
      </c>
      <c r="E371" s="3174" t="s">
        <v>3643</v>
      </c>
      <c r="F371" s="3171" t="s">
        <v>3453</v>
      </c>
      <c r="G371" s="3171">
        <v>-2</v>
      </c>
    </row>
    <row r="372" spans="1:7" ht="15" customHeight="1">
      <c r="A372" s="3557"/>
      <c r="B372" s="3171">
        <v>357</v>
      </c>
      <c r="C372" s="3171">
        <v>227</v>
      </c>
      <c r="D372" s="3173">
        <v>31.83</v>
      </c>
      <c r="E372" s="3174" t="s">
        <v>3643</v>
      </c>
      <c r="F372" s="3171" t="s">
        <v>3453</v>
      </c>
      <c r="G372" s="3171">
        <v>-2</v>
      </c>
    </row>
    <row r="373" spans="1:7" ht="15" customHeight="1">
      <c r="A373" s="3557"/>
      <c r="B373" s="3171">
        <v>358</v>
      </c>
      <c r="C373" s="3171">
        <v>228</v>
      </c>
      <c r="D373" s="3173">
        <v>31.83</v>
      </c>
      <c r="E373" s="3174" t="s">
        <v>3643</v>
      </c>
      <c r="F373" s="3171" t="s">
        <v>3453</v>
      </c>
      <c r="G373" s="3171">
        <v>-2</v>
      </c>
    </row>
    <row r="374" spans="1:7" ht="15" customHeight="1">
      <c r="A374" s="3557"/>
      <c r="B374" s="3171">
        <v>359</v>
      </c>
      <c r="C374" s="3171">
        <v>229</v>
      </c>
      <c r="D374" s="3173">
        <v>31.83</v>
      </c>
      <c r="E374" s="3174" t="s">
        <v>3643</v>
      </c>
      <c r="F374" s="3171" t="s">
        <v>3453</v>
      </c>
      <c r="G374" s="3171">
        <v>-2</v>
      </c>
    </row>
    <row r="375" spans="1:7" ht="15" customHeight="1">
      <c r="A375" s="3557"/>
      <c r="B375" s="3171">
        <v>360</v>
      </c>
      <c r="C375" s="3171">
        <v>230</v>
      </c>
      <c r="D375" s="3173">
        <v>31.83</v>
      </c>
      <c r="E375" s="3174" t="s">
        <v>3643</v>
      </c>
      <c r="F375" s="3171" t="s">
        <v>3453</v>
      </c>
      <c r="G375" s="3171">
        <v>-2</v>
      </c>
    </row>
    <row r="376" spans="1:7" ht="15" customHeight="1">
      <c r="A376" s="3557"/>
      <c r="B376" s="3171">
        <v>361</v>
      </c>
      <c r="C376" s="3171">
        <v>232</v>
      </c>
      <c r="D376" s="3173">
        <v>31.83</v>
      </c>
      <c r="E376" s="3174" t="s">
        <v>3643</v>
      </c>
      <c r="F376" s="3171" t="s">
        <v>3453</v>
      </c>
      <c r="G376" s="3171">
        <v>-2</v>
      </c>
    </row>
    <row r="377" spans="1:7" ht="15" customHeight="1">
      <c r="A377" s="3557"/>
      <c r="B377" s="3171">
        <v>362</v>
      </c>
      <c r="C377" s="3171">
        <v>233</v>
      </c>
      <c r="D377" s="3173">
        <v>31.83</v>
      </c>
      <c r="E377" s="3171" t="s">
        <v>3643</v>
      </c>
      <c r="F377" s="3171" t="s">
        <v>3453</v>
      </c>
      <c r="G377" s="3171">
        <v>-2</v>
      </c>
    </row>
    <row r="378" spans="1:7" ht="15" customHeight="1">
      <c r="A378" s="3557"/>
      <c r="B378" s="3171">
        <v>363</v>
      </c>
      <c r="C378" s="3171">
        <v>235</v>
      </c>
      <c r="D378" s="3173">
        <v>34.49</v>
      </c>
      <c r="E378" s="3171" t="s">
        <v>3643</v>
      </c>
      <c r="F378" s="3171" t="s">
        <v>3453</v>
      </c>
      <c r="G378" s="3171">
        <v>-2</v>
      </c>
    </row>
    <row r="379" spans="1:7" ht="15" customHeight="1">
      <c r="A379" s="3557"/>
      <c r="B379" s="3171">
        <v>364</v>
      </c>
      <c r="C379" s="3171">
        <v>236</v>
      </c>
      <c r="D379" s="3173">
        <v>34.49</v>
      </c>
      <c r="E379" s="3171" t="s">
        <v>3643</v>
      </c>
      <c r="F379" s="3171" t="s">
        <v>3453</v>
      </c>
      <c r="G379" s="3171">
        <v>-2</v>
      </c>
    </row>
    <row r="380" spans="1:7" ht="15" customHeight="1">
      <c r="A380" s="3557"/>
      <c r="B380" s="3171">
        <v>365</v>
      </c>
      <c r="C380" s="3171">
        <v>237</v>
      </c>
      <c r="D380" s="3173">
        <v>34.49</v>
      </c>
      <c r="E380" s="3171" t="s">
        <v>3643</v>
      </c>
      <c r="F380" s="3171" t="s">
        <v>3453</v>
      </c>
      <c r="G380" s="3171">
        <v>-2</v>
      </c>
    </row>
    <row r="381" spans="1:7" ht="15" customHeight="1">
      <c r="A381" s="3557"/>
      <c r="B381" s="3171">
        <v>366</v>
      </c>
      <c r="C381" s="3171">
        <v>240</v>
      </c>
      <c r="D381" s="3173">
        <v>34.49</v>
      </c>
      <c r="E381" s="3174" t="s">
        <v>3643</v>
      </c>
      <c r="F381" s="3171" t="s">
        <v>3453</v>
      </c>
      <c r="G381" s="3171">
        <v>-2</v>
      </c>
    </row>
    <row r="382" spans="1:7" ht="15" customHeight="1">
      <c r="A382" s="3557"/>
      <c r="B382" s="3171">
        <v>367</v>
      </c>
      <c r="C382" s="3171">
        <v>255</v>
      </c>
      <c r="D382" s="3173">
        <v>31.83</v>
      </c>
      <c r="E382" s="3174" t="s">
        <v>3643</v>
      </c>
      <c r="F382" s="3171" t="s">
        <v>3453</v>
      </c>
      <c r="G382" s="3171">
        <v>-2</v>
      </c>
    </row>
    <row r="383" spans="1:7" ht="15" customHeight="1">
      <c r="A383" s="3557"/>
      <c r="B383" s="3171">
        <v>368</v>
      </c>
      <c r="C383" s="3175">
        <v>256</v>
      </c>
      <c r="D383" s="3173">
        <v>31.83</v>
      </c>
      <c r="E383" s="3171" t="s">
        <v>3643</v>
      </c>
      <c r="F383" s="3171" t="s">
        <v>3453</v>
      </c>
      <c r="G383" s="3171">
        <v>-2</v>
      </c>
    </row>
    <row r="384" spans="1:7" ht="15" customHeight="1">
      <c r="A384" s="3557"/>
      <c r="B384" s="3171">
        <v>369</v>
      </c>
      <c r="C384" s="3175">
        <v>257</v>
      </c>
      <c r="D384" s="3173">
        <v>31.83</v>
      </c>
      <c r="E384" s="3171" t="s">
        <v>3643</v>
      </c>
      <c r="F384" s="3171" t="s">
        <v>3453</v>
      </c>
      <c r="G384" s="3171">
        <v>-2</v>
      </c>
    </row>
    <row r="385" spans="1:7" ht="15" customHeight="1">
      <c r="A385" s="3557"/>
      <c r="B385" s="3171">
        <v>370</v>
      </c>
      <c r="C385" s="3180">
        <v>310</v>
      </c>
      <c r="D385" s="3173">
        <v>31.83</v>
      </c>
      <c r="E385" s="3171" t="s">
        <v>3643</v>
      </c>
      <c r="F385" s="3171" t="s">
        <v>3453</v>
      </c>
      <c r="G385" s="3171">
        <v>-2</v>
      </c>
    </row>
    <row r="386" spans="1:7" ht="15" customHeight="1">
      <c r="A386" s="3557"/>
      <c r="B386" s="3171">
        <v>371</v>
      </c>
      <c r="C386" s="3180">
        <v>311</v>
      </c>
      <c r="D386" s="3173">
        <v>31.83</v>
      </c>
      <c r="E386" s="3171" t="s">
        <v>3643</v>
      </c>
      <c r="F386" s="3171" t="s">
        <v>3453</v>
      </c>
      <c r="G386" s="3171">
        <v>-2</v>
      </c>
    </row>
    <row r="387" spans="1:7" ht="15" customHeight="1">
      <c r="A387" s="3557"/>
      <c r="B387" s="3171">
        <v>372</v>
      </c>
      <c r="C387" s="3180">
        <v>312</v>
      </c>
      <c r="D387" s="3173">
        <v>31.83</v>
      </c>
      <c r="E387" s="3171" t="s">
        <v>3643</v>
      </c>
      <c r="F387" s="3171" t="s">
        <v>3453</v>
      </c>
      <c r="G387" s="3171">
        <v>-2</v>
      </c>
    </row>
    <row r="388" spans="1:7" ht="15" customHeight="1">
      <c r="A388" s="3557"/>
      <c r="B388" s="3171">
        <v>373</v>
      </c>
      <c r="C388" s="3180">
        <v>315</v>
      </c>
      <c r="D388" s="3173">
        <v>31.83</v>
      </c>
      <c r="E388" s="3171" t="s">
        <v>3643</v>
      </c>
      <c r="F388" s="3171" t="s">
        <v>3453</v>
      </c>
      <c r="G388" s="3171">
        <v>-2</v>
      </c>
    </row>
    <row r="389" spans="1:7" ht="15" customHeight="1">
      <c r="A389" s="3557"/>
      <c r="B389" s="3171">
        <v>374</v>
      </c>
      <c r="C389" s="3180">
        <v>318</v>
      </c>
      <c r="D389" s="3173">
        <v>31.83</v>
      </c>
      <c r="E389" s="3171" t="s">
        <v>3643</v>
      </c>
      <c r="F389" s="3171" t="s">
        <v>3453</v>
      </c>
      <c r="G389" s="3171">
        <v>-2</v>
      </c>
    </row>
    <row r="390" spans="1:7" ht="15" customHeight="1">
      <c r="A390" s="3557"/>
      <c r="B390" s="3171">
        <v>375</v>
      </c>
      <c r="C390" s="3180">
        <v>319</v>
      </c>
      <c r="D390" s="3173">
        <v>31.83</v>
      </c>
      <c r="E390" s="3171" t="s">
        <v>3643</v>
      </c>
      <c r="F390" s="3171" t="s">
        <v>3453</v>
      </c>
      <c r="G390" s="3171">
        <v>-2</v>
      </c>
    </row>
    <row r="391" spans="1:7" ht="15" customHeight="1">
      <c r="A391" s="3557"/>
      <c r="B391" s="3171">
        <v>376</v>
      </c>
      <c r="C391" s="3175">
        <v>321</v>
      </c>
      <c r="D391" s="3173">
        <v>31.83</v>
      </c>
      <c r="E391" s="3171" t="s">
        <v>3643</v>
      </c>
      <c r="F391" s="3171" t="s">
        <v>3453</v>
      </c>
      <c r="G391" s="3171">
        <v>-2</v>
      </c>
    </row>
    <row r="392" spans="1:7" ht="15" customHeight="1">
      <c r="A392" s="3557"/>
      <c r="B392" s="3171">
        <v>377</v>
      </c>
      <c r="C392" s="3181">
        <v>1</v>
      </c>
      <c r="D392" s="3173">
        <v>31.83</v>
      </c>
      <c r="E392" s="3174" t="s">
        <v>3643</v>
      </c>
      <c r="F392" s="3171" t="s">
        <v>3453</v>
      </c>
      <c r="G392" s="3171">
        <v>-3</v>
      </c>
    </row>
    <row r="393" spans="1:7" ht="15" customHeight="1">
      <c r="A393" s="3557"/>
      <c r="B393" s="3171">
        <v>378</v>
      </c>
      <c r="C393" s="3181">
        <v>2</v>
      </c>
      <c r="D393" s="3173">
        <v>31.83</v>
      </c>
      <c r="E393" s="3174" t="s">
        <v>3643</v>
      </c>
      <c r="F393" s="3171" t="s">
        <v>3453</v>
      </c>
      <c r="G393" s="3171">
        <v>-3</v>
      </c>
    </row>
    <row r="394" spans="1:7" ht="15" customHeight="1">
      <c r="A394" s="3557"/>
      <c r="B394" s="3171">
        <v>379</v>
      </c>
      <c r="C394" s="3181">
        <v>3</v>
      </c>
      <c r="D394" s="3173">
        <v>31.83</v>
      </c>
      <c r="E394" s="3174" t="s">
        <v>3643</v>
      </c>
      <c r="F394" s="3171" t="s">
        <v>3453</v>
      </c>
      <c r="G394" s="3171">
        <v>-3</v>
      </c>
    </row>
    <row r="395" spans="1:7" ht="15" customHeight="1">
      <c r="A395" s="3557"/>
      <c r="B395" s="3171">
        <v>380</v>
      </c>
      <c r="C395" s="3181">
        <v>5</v>
      </c>
      <c r="D395" s="3173">
        <v>31.83</v>
      </c>
      <c r="E395" s="3174" t="s">
        <v>3643</v>
      </c>
      <c r="F395" s="3171" t="s">
        <v>3453</v>
      </c>
      <c r="G395" s="3171">
        <v>-3</v>
      </c>
    </row>
    <row r="396" spans="1:7" ht="15" customHeight="1">
      <c r="A396" s="3557"/>
      <c r="B396" s="3171">
        <v>381</v>
      </c>
      <c r="C396" s="3181">
        <v>6</v>
      </c>
      <c r="D396" s="3173">
        <v>31.83</v>
      </c>
      <c r="E396" s="3174" t="s">
        <v>3643</v>
      </c>
      <c r="F396" s="3171" t="s">
        <v>3453</v>
      </c>
      <c r="G396" s="3171">
        <v>-3</v>
      </c>
    </row>
    <row r="397" spans="1:7" ht="15" customHeight="1">
      <c r="A397" s="3557"/>
      <c r="B397" s="3171">
        <v>382</v>
      </c>
      <c r="C397" s="3181">
        <v>7</v>
      </c>
      <c r="D397" s="3173">
        <v>31.83</v>
      </c>
      <c r="E397" s="3174" t="s">
        <v>3643</v>
      </c>
      <c r="F397" s="3171" t="s">
        <v>3453</v>
      </c>
      <c r="G397" s="3171">
        <v>-3</v>
      </c>
    </row>
    <row r="398" spans="1:7" ht="15" customHeight="1">
      <c r="A398" s="3557"/>
      <c r="B398" s="3171">
        <v>383</v>
      </c>
      <c r="C398" s="3181">
        <v>8</v>
      </c>
      <c r="D398" s="3173">
        <v>31.83</v>
      </c>
      <c r="E398" s="3174" t="s">
        <v>3643</v>
      </c>
      <c r="F398" s="3171" t="s">
        <v>3453</v>
      </c>
      <c r="G398" s="3171">
        <v>-3</v>
      </c>
    </row>
    <row r="399" spans="1:7" ht="15" customHeight="1">
      <c r="A399" s="3557"/>
      <c r="B399" s="3171">
        <v>384</v>
      </c>
      <c r="C399" s="3181">
        <v>9</v>
      </c>
      <c r="D399" s="3173">
        <v>31.83</v>
      </c>
      <c r="E399" s="3174" t="s">
        <v>3643</v>
      </c>
      <c r="F399" s="3171" t="s">
        <v>3453</v>
      </c>
      <c r="G399" s="3171">
        <v>-3</v>
      </c>
    </row>
    <row r="400" spans="1:7" ht="15" customHeight="1">
      <c r="A400" s="3557"/>
      <c r="B400" s="3171">
        <v>385</v>
      </c>
      <c r="C400" s="3181">
        <v>10</v>
      </c>
      <c r="D400" s="3173">
        <v>31.83</v>
      </c>
      <c r="E400" s="3174" t="s">
        <v>3643</v>
      </c>
      <c r="F400" s="3171" t="s">
        <v>3453</v>
      </c>
      <c r="G400" s="3171">
        <v>-3</v>
      </c>
    </row>
    <row r="401" spans="1:7" ht="15" customHeight="1">
      <c r="A401" s="3557"/>
      <c r="B401" s="3171">
        <v>386</v>
      </c>
      <c r="C401" s="3181">
        <v>11</v>
      </c>
      <c r="D401" s="3173">
        <v>31.83</v>
      </c>
      <c r="E401" s="3174" t="s">
        <v>3643</v>
      </c>
      <c r="F401" s="3171" t="s">
        <v>3453</v>
      </c>
      <c r="G401" s="3171">
        <v>-3</v>
      </c>
    </row>
    <row r="402" spans="1:7" ht="15" customHeight="1">
      <c r="A402" s="3557"/>
      <c r="B402" s="3171">
        <v>387</v>
      </c>
      <c r="C402" s="3181">
        <v>12</v>
      </c>
      <c r="D402" s="3173">
        <v>31.83</v>
      </c>
      <c r="E402" s="3174" t="s">
        <v>3643</v>
      </c>
      <c r="F402" s="3171" t="s">
        <v>3453</v>
      </c>
      <c r="G402" s="3171">
        <v>-3</v>
      </c>
    </row>
    <row r="403" spans="1:7" ht="15" customHeight="1">
      <c r="A403" s="3557"/>
      <c r="B403" s="3171">
        <v>388</v>
      </c>
      <c r="C403" s="3181">
        <v>15</v>
      </c>
      <c r="D403" s="3173">
        <v>31.83</v>
      </c>
      <c r="E403" s="3174" t="s">
        <v>3643</v>
      </c>
      <c r="F403" s="3171" t="s">
        <v>3453</v>
      </c>
      <c r="G403" s="3171">
        <v>-3</v>
      </c>
    </row>
    <row r="404" spans="1:7" ht="15" customHeight="1">
      <c r="A404" s="3557"/>
      <c r="B404" s="3171">
        <v>389</v>
      </c>
      <c r="C404" s="3181">
        <v>16</v>
      </c>
      <c r="D404" s="3173">
        <v>31.83</v>
      </c>
      <c r="E404" s="3174" t="s">
        <v>3643</v>
      </c>
      <c r="F404" s="3171" t="s">
        <v>3453</v>
      </c>
      <c r="G404" s="3171">
        <v>-3</v>
      </c>
    </row>
    <row r="405" spans="1:7" ht="15" customHeight="1">
      <c r="A405" s="3557"/>
      <c r="B405" s="3171">
        <v>390</v>
      </c>
      <c r="C405" s="3181">
        <v>17</v>
      </c>
      <c r="D405" s="3173">
        <v>31.83</v>
      </c>
      <c r="E405" s="3174" t="s">
        <v>3643</v>
      </c>
      <c r="F405" s="3171" t="s">
        <v>3453</v>
      </c>
      <c r="G405" s="3171">
        <v>-3</v>
      </c>
    </row>
    <row r="406" spans="1:7" ht="15" customHeight="1">
      <c r="A406" s="3557"/>
      <c r="B406" s="3171">
        <v>391</v>
      </c>
      <c r="C406" s="3181">
        <v>18</v>
      </c>
      <c r="D406" s="3173">
        <v>31.83</v>
      </c>
      <c r="E406" s="3174" t="s">
        <v>3643</v>
      </c>
      <c r="F406" s="3171" t="s">
        <v>3453</v>
      </c>
      <c r="G406" s="3171">
        <v>-3</v>
      </c>
    </row>
    <row r="407" spans="1:7" ht="15" customHeight="1">
      <c r="A407" s="3557"/>
      <c r="B407" s="3171">
        <v>392</v>
      </c>
      <c r="C407" s="3180">
        <v>19</v>
      </c>
      <c r="D407" s="3173">
        <v>31.83</v>
      </c>
      <c r="E407" s="3171" t="s">
        <v>3643</v>
      </c>
      <c r="F407" s="3171" t="s">
        <v>3453</v>
      </c>
      <c r="G407" s="3171">
        <v>-3</v>
      </c>
    </row>
    <row r="408" spans="1:7" ht="15" customHeight="1">
      <c r="A408" s="3557"/>
      <c r="B408" s="3171">
        <v>393</v>
      </c>
      <c r="C408" s="3180">
        <v>20</v>
      </c>
      <c r="D408" s="3173">
        <v>31.83</v>
      </c>
      <c r="E408" s="3171" t="s">
        <v>3643</v>
      </c>
      <c r="F408" s="3171" t="s">
        <v>3453</v>
      </c>
      <c r="G408" s="3171">
        <v>-3</v>
      </c>
    </row>
    <row r="409" spans="1:7" ht="15" customHeight="1">
      <c r="A409" s="3557"/>
      <c r="B409" s="3171">
        <v>394</v>
      </c>
      <c r="C409" s="3180">
        <v>21</v>
      </c>
      <c r="D409" s="3173">
        <v>31.83</v>
      </c>
      <c r="E409" s="3171" t="s">
        <v>3643</v>
      </c>
      <c r="F409" s="3171" t="s">
        <v>3453</v>
      </c>
      <c r="G409" s="3171">
        <v>-3</v>
      </c>
    </row>
    <row r="410" spans="1:7" ht="15" customHeight="1">
      <c r="A410" s="3557"/>
      <c r="B410" s="3171">
        <v>395</v>
      </c>
      <c r="C410" s="3180">
        <v>22</v>
      </c>
      <c r="D410" s="3173">
        <v>31.83</v>
      </c>
      <c r="E410" s="3174" t="s">
        <v>3643</v>
      </c>
      <c r="F410" s="3171" t="s">
        <v>3453</v>
      </c>
      <c r="G410" s="3171">
        <v>-3</v>
      </c>
    </row>
    <row r="411" spans="1:7" ht="15" customHeight="1">
      <c r="A411" s="3557"/>
      <c r="B411" s="3171">
        <v>396</v>
      </c>
      <c r="C411" s="3180">
        <v>23</v>
      </c>
      <c r="D411" s="3173">
        <v>31.83</v>
      </c>
      <c r="E411" s="3174" t="s">
        <v>3643</v>
      </c>
      <c r="F411" s="3171" t="s">
        <v>3453</v>
      </c>
      <c r="G411" s="3171">
        <v>-3</v>
      </c>
    </row>
    <row r="412" spans="1:7" ht="15" customHeight="1">
      <c r="A412" s="3557"/>
      <c r="B412" s="3171">
        <v>397</v>
      </c>
      <c r="C412" s="3181">
        <v>25</v>
      </c>
      <c r="D412" s="3173">
        <v>31.83</v>
      </c>
      <c r="E412" s="3174" t="s">
        <v>3643</v>
      </c>
      <c r="F412" s="3171" t="s">
        <v>3453</v>
      </c>
      <c r="G412" s="3171">
        <v>-3</v>
      </c>
    </row>
    <row r="413" spans="1:7" ht="15" customHeight="1">
      <c r="A413" s="3557"/>
      <c r="B413" s="3171">
        <v>398</v>
      </c>
      <c r="C413" s="3181">
        <v>26</v>
      </c>
      <c r="D413" s="3173">
        <v>34.49</v>
      </c>
      <c r="E413" s="3174" t="s">
        <v>3643</v>
      </c>
      <c r="F413" s="3171" t="s">
        <v>3453</v>
      </c>
      <c r="G413" s="3171">
        <v>-3</v>
      </c>
    </row>
    <row r="414" spans="1:7" ht="15" customHeight="1">
      <c r="A414" s="3557"/>
      <c r="B414" s="3171">
        <v>399</v>
      </c>
      <c r="C414" s="3181">
        <v>28</v>
      </c>
      <c r="D414" s="3173">
        <v>43.77</v>
      </c>
      <c r="E414" s="3174" t="s">
        <v>3643</v>
      </c>
      <c r="F414" s="3171" t="s">
        <v>3453</v>
      </c>
      <c r="G414" s="3171">
        <v>-3</v>
      </c>
    </row>
    <row r="415" spans="1:7" ht="15" customHeight="1">
      <c r="A415" s="3557"/>
      <c r="B415" s="3171">
        <v>400</v>
      </c>
      <c r="C415" s="3181">
        <v>29</v>
      </c>
      <c r="D415" s="3173">
        <v>43.77</v>
      </c>
      <c r="E415" s="3174" t="s">
        <v>3643</v>
      </c>
      <c r="F415" s="3171" t="s">
        <v>3453</v>
      </c>
      <c r="G415" s="3171">
        <v>-3</v>
      </c>
    </row>
    <row r="416" spans="1:7" ht="15" customHeight="1">
      <c r="A416" s="3557"/>
      <c r="B416" s="3171">
        <v>401</v>
      </c>
      <c r="C416" s="3181">
        <v>30</v>
      </c>
      <c r="D416" s="3173">
        <v>31.83</v>
      </c>
      <c r="E416" s="3174" t="s">
        <v>3643</v>
      </c>
      <c r="F416" s="3171" t="s">
        <v>3453</v>
      </c>
      <c r="G416" s="3171">
        <v>-3</v>
      </c>
    </row>
    <row r="417" spans="1:7" ht="15" customHeight="1">
      <c r="A417" s="3557"/>
      <c r="B417" s="3171">
        <v>402</v>
      </c>
      <c r="C417" s="3181">
        <v>31</v>
      </c>
      <c r="D417" s="3173">
        <v>31.83</v>
      </c>
      <c r="E417" s="3174" t="s">
        <v>3643</v>
      </c>
      <c r="F417" s="3171" t="s">
        <v>3453</v>
      </c>
      <c r="G417" s="3171">
        <v>-3</v>
      </c>
    </row>
    <row r="418" spans="1:7" ht="15" customHeight="1">
      <c r="A418" s="3557"/>
      <c r="B418" s="3171">
        <v>403</v>
      </c>
      <c r="C418" s="3181">
        <v>32</v>
      </c>
      <c r="D418" s="3173">
        <v>31.83</v>
      </c>
      <c r="E418" s="3174" t="s">
        <v>3643</v>
      </c>
      <c r="F418" s="3171" t="s">
        <v>3453</v>
      </c>
      <c r="G418" s="3171">
        <v>-3</v>
      </c>
    </row>
    <row r="419" spans="1:7" ht="15" customHeight="1">
      <c r="A419" s="3557"/>
      <c r="B419" s="3171">
        <v>404</v>
      </c>
      <c r="C419" s="3181">
        <v>33</v>
      </c>
      <c r="D419" s="3173">
        <v>31.83</v>
      </c>
      <c r="E419" s="3174" t="s">
        <v>3643</v>
      </c>
      <c r="F419" s="3171" t="s">
        <v>3453</v>
      </c>
      <c r="G419" s="3171">
        <v>-3</v>
      </c>
    </row>
    <row r="420" spans="1:7" ht="15" customHeight="1">
      <c r="A420" s="3557"/>
      <c r="B420" s="3171">
        <v>405</v>
      </c>
      <c r="C420" s="3181">
        <v>35</v>
      </c>
      <c r="D420" s="3173">
        <v>31.83</v>
      </c>
      <c r="E420" s="3174" t="s">
        <v>3643</v>
      </c>
      <c r="F420" s="3171" t="s">
        <v>3453</v>
      </c>
      <c r="G420" s="3171">
        <v>-3</v>
      </c>
    </row>
    <row r="421" spans="1:7" ht="15" customHeight="1">
      <c r="A421" s="3557"/>
      <c r="B421" s="3171">
        <v>406</v>
      </c>
      <c r="C421" s="3181">
        <v>36</v>
      </c>
      <c r="D421" s="3173">
        <v>31.83</v>
      </c>
      <c r="E421" s="3174" t="s">
        <v>3643</v>
      </c>
      <c r="F421" s="3171" t="s">
        <v>3453</v>
      </c>
      <c r="G421" s="3171">
        <v>-3</v>
      </c>
    </row>
    <row r="422" spans="1:7" ht="15" customHeight="1">
      <c r="A422" s="3557"/>
      <c r="B422" s="3171">
        <v>407</v>
      </c>
      <c r="C422" s="3181">
        <v>37</v>
      </c>
      <c r="D422" s="3173">
        <v>31.83</v>
      </c>
      <c r="E422" s="3174" t="s">
        <v>3643</v>
      </c>
      <c r="F422" s="3171" t="s">
        <v>3453</v>
      </c>
      <c r="G422" s="3171">
        <v>-3</v>
      </c>
    </row>
    <row r="423" spans="1:7" ht="15" customHeight="1">
      <c r="A423" s="3557"/>
      <c r="B423" s="3171">
        <v>408</v>
      </c>
      <c r="C423" s="3181">
        <v>38</v>
      </c>
      <c r="D423" s="3173">
        <v>31.83</v>
      </c>
      <c r="E423" s="3174" t="s">
        <v>3643</v>
      </c>
      <c r="F423" s="3171" t="s">
        <v>3453</v>
      </c>
      <c r="G423" s="3171">
        <v>-3</v>
      </c>
    </row>
    <row r="424" spans="1:7" ht="15" customHeight="1">
      <c r="A424" s="3557"/>
      <c r="B424" s="3171">
        <v>409</v>
      </c>
      <c r="C424" s="3180">
        <v>39</v>
      </c>
      <c r="D424" s="3173">
        <v>31.83</v>
      </c>
      <c r="E424" s="3171" t="s">
        <v>3643</v>
      </c>
      <c r="F424" s="3171" t="s">
        <v>3453</v>
      </c>
      <c r="G424" s="3171">
        <v>-3</v>
      </c>
    </row>
    <row r="425" spans="1:7" ht="15" customHeight="1">
      <c r="A425" s="3557"/>
      <c r="B425" s="3171">
        <v>410</v>
      </c>
      <c r="C425" s="3181">
        <v>40</v>
      </c>
      <c r="D425" s="3173">
        <v>31.83</v>
      </c>
      <c r="E425" s="3174" t="s">
        <v>3643</v>
      </c>
      <c r="F425" s="3171" t="s">
        <v>3453</v>
      </c>
      <c r="G425" s="3171">
        <v>-3</v>
      </c>
    </row>
    <row r="426" spans="1:7" ht="15" customHeight="1">
      <c r="A426" s="3557"/>
      <c r="B426" s="3171">
        <v>411</v>
      </c>
      <c r="C426" s="3181">
        <v>41</v>
      </c>
      <c r="D426" s="3173">
        <v>31.83</v>
      </c>
      <c r="E426" s="3174" t="s">
        <v>3643</v>
      </c>
      <c r="F426" s="3171" t="s">
        <v>3453</v>
      </c>
      <c r="G426" s="3171">
        <v>-3</v>
      </c>
    </row>
    <row r="427" spans="1:7" ht="15" customHeight="1">
      <c r="A427" s="3557"/>
      <c r="B427" s="3171">
        <v>412</v>
      </c>
      <c r="C427" s="3181">
        <v>42</v>
      </c>
      <c r="D427" s="3173">
        <v>31.83</v>
      </c>
      <c r="E427" s="3174" t="s">
        <v>3643</v>
      </c>
      <c r="F427" s="3171" t="s">
        <v>3453</v>
      </c>
      <c r="G427" s="3171">
        <v>-3</v>
      </c>
    </row>
    <row r="428" spans="1:7" ht="15" customHeight="1">
      <c r="A428" s="3557"/>
      <c r="B428" s="3171">
        <v>413</v>
      </c>
      <c r="C428" s="3181">
        <v>43</v>
      </c>
      <c r="D428" s="3173">
        <v>31.83</v>
      </c>
      <c r="E428" s="3174" t="s">
        <v>3643</v>
      </c>
      <c r="F428" s="3171" t="s">
        <v>3453</v>
      </c>
      <c r="G428" s="3171">
        <v>-3</v>
      </c>
    </row>
    <row r="429" spans="1:7" ht="15" customHeight="1">
      <c r="A429" s="3557"/>
      <c r="B429" s="3171">
        <v>414</v>
      </c>
      <c r="C429" s="3181">
        <v>45</v>
      </c>
      <c r="D429" s="3173">
        <v>31.83</v>
      </c>
      <c r="E429" s="3174" t="s">
        <v>3643</v>
      </c>
      <c r="F429" s="3171" t="s">
        <v>3453</v>
      </c>
      <c r="G429" s="3171">
        <v>-3</v>
      </c>
    </row>
    <row r="430" spans="1:7" ht="15" customHeight="1">
      <c r="A430" s="3557"/>
      <c r="B430" s="3171">
        <v>415</v>
      </c>
      <c r="C430" s="3181">
        <v>46</v>
      </c>
      <c r="D430" s="3173">
        <v>31.83</v>
      </c>
      <c r="E430" s="3174" t="s">
        <v>3643</v>
      </c>
      <c r="F430" s="3171" t="s">
        <v>3453</v>
      </c>
      <c r="G430" s="3171">
        <v>-3</v>
      </c>
    </row>
    <row r="431" spans="1:7" ht="15" customHeight="1">
      <c r="A431" s="3557"/>
      <c r="B431" s="3171">
        <v>416</v>
      </c>
      <c r="C431" s="3181">
        <v>47</v>
      </c>
      <c r="D431" s="3173">
        <v>31.83</v>
      </c>
      <c r="E431" s="3174" t="s">
        <v>3643</v>
      </c>
      <c r="F431" s="3171" t="s">
        <v>3453</v>
      </c>
      <c r="G431" s="3171">
        <v>-3</v>
      </c>
    </row>
    <row r="432" spans="1:7" ht="15" customHeight="1">
      <c r="A432" s="3557"/>
      <c r="B432" s="3171">
        <v>417</v>
      </c>
      <c r="C432" s="3181">
        <v>48</v>
      </c>
      <c r="D432" s="3173">
        <v>31.83</v>
      </c>
      <c r="E432" s="3174" t="s">
        <v>3643</v>
      </c>
      <c r="F432" s="3171" t="s">
        <v>3453</v>
      </c>
      <c r="G432" s="3171">
        <v>-3</v>
      </c>
    </row>
    <row r="433" spans="1:7" ht="15" customHeight="1">
      <c r="A433" s="3557"/>
      <c r="B433" s="3171">
        <v>418</v>
      </c>
      <c r="C433" s="3181">
        <v>49</v>
      </c>
      <c r="D433" s="3173">
        <v>41.12</v>
      </c>
      <c r="E433" s="3174" t="s">
        <v>3643</v>
      </c>
      <c r="F433" s="3171" t="s">
        <v>3453</v>
      </c>
      <c r="G433" s="3171">
        <v>-3</v>
      </c>
    </row>
    <row r="434" spans="1:7" ht="15" customHeight="1">
      <c r="A434" s="3557"/>
      <c r="B434" s="3171">
        <v>419</v>
      </c>
      <c r="C434" s="3181">
        <v>50</v>
      </c>
      <c r="D434" s="3173">
        <v>37.14</v>
      </c>
      <c r="E434" s="3174" t="s">
        <v>3643</v>
      </c>
      <c r="F434" s="3171" t="s">
        <v>3453</v>
      </c>
      <c r="G434" s="3171">
        <v>-3</v>
      </c>
    </row>
    <row r="435" spans="1:7" ht="15" customHeight="1">
      <c r="A435" s="3557"/>
      <c r="B435" s="3171">
        <v>420</v>
      </c>
      <c r="C435" s="3181">
        <v>51</v>
      </c>
      <c r="D435" s="3173">
        <v>38.46</v>
      </c>
      <c r="E435" s="3174" t="s">
        <v>3643</v>
      </c>
      <c r="F435" s="3171" t="s">
        <v>3453</v>
      </c>
      <c r="G435" s="3171">
        <v>-3</v>
      </c>
    </row>
    <row r="436" spans="1:7" ht="15" customHeight="1">
      <c r="A436" s="3557"/>
      <c r="B436" s="3171">
        <v>421</v>
      </c>
      <c r="C436" s="3181">
        <v>52</v>
      </c>
      <c r="D436" s="3173">
        <v>38.46</v>
      </c>
      <c r="E436" s="3174" t="s">
        <v>3643</v>
      </c>
      <c r="F436" s="3171" t="s">
        <v>3453</v>
      </c>
      <c r="G436" s="3171">
        <v>-3</v>
      </c>
    </row>
    <row r="437" spans="1:7" ht="15" customHeight="1">
      <c r="A437" s="3557"/>
      <c r="B437" s="3171">
        <v>422</v>
      </c>
      <c r="C437" s="3181">
        <v>53</v>
      </c>
      <c r="D437" s="3173">
        <v>31.83</v>
      </c>
      <c r="E437" s="3174" t="s">
        <v>3643</v>
      </c>
      <c r="F437" s="3171" t="s">
        <v>3453</v>
      </c>
      <c r="G437" s="3171">
        <v>-3</v>
      </c>
    </row>
    <row r="438" spans="1:7" ht="15" customHeight="1">
      <c r="A438" s="3557"/>
      <c r="B438" s="3171">
        <v>423</v>
      </c>
      <c r="C438" s="3181">
        <v>55</v>
      </c>
      <c r="D438" s="3173">
        <v>31.83</v>
      </c>
      <c r="E438" s="3174" t="s">
        <v>3643</v>
      </c>
      <c r="F438" s="3171" t="s">
        <v>3453</v>
      </c>
      <c r="G438" s="3171">
        <v>-3</v>
      </c>
    </row>
    <row r="439" spans="1:7" ht="15" customHeight="1">
      <c r="A439" s="3557"/>
      <c r="B439" s="3171">
        <v>424</v>
      </c>
      <c r="C439" s="3181">
        <v>56</v>
      </c>
      <c r="D439" s="3173">
        <v>31.83</v>
      </c>
      <c r="E439" s="3174" t="s">
        <v>3643</v>
      </c>
      <c r="F439" s="3171" t="s">
        <v>3453</v>
      </c>
      <c r="G439" s="3171">
        <v>-3</v>
      </c>
    </row>
    <row r="440" spans="1:7" ht="15" customHeight="1">
      <c r="A440" s="3557"/>
      <c r="B440" s="3171">
        <v>425</v>
      </c>
      <c r="C440" s="3181">
        <v>57</v>
      </c>
      <c r="D440" s="3173">
        <v>31.83</v>
      </c>
      <c r="E440" s="3174" t="s">
        <v>3643</v>
      </c>
      <c r="F440" s="3171" t="s">
        <v>3453</v>
      </c>
      <c r="G440" s="3171">
        <v>-3</v>
      </c>
    </row>
    <row r="441" spans="1:7" ht="15" customHeight="1">
      <c r="A441" s="3557"/>
      <c r="B441" s="3171">
        <v>426</v>
      </c>
      <c r="C441" s="3181">
        <v>58</v>
      </c>
      <c r="D441" s="3173">
        <v>31.83</v>
      </c>
      <c r="E441" s="3174" t="s">
        <v>3643</v>
      </c>
      <c r="F441" s="3171" t="s">
        <v>3453</v>
      </c>
      <c r="G441" s="3171">
        <v>-3</v>
      </c>
    </row>
    <row r="442" spans="1:7" ht="15" customHeight="1">
      <c r="A442" s="3557"/>
      <c r="B442" s="3171">
        <v>427</v>
      </c>
      <c r="C442" s="3181">
        <v>59</v>
      </c>
      <c r="D442" s="3173">
        <v>31.83</v>
      </c>
      <c r="E442" s="3174" t="s">
        <v>3643</v>
      </c>
      <c r="F442" s="3171" t="s">
        <v>3453</v>
      </c>
      <c r="G442" s="3171">
        <v>-3</v>
      </c>
    </row>
    <row r="443" spans="1:7" ht="15" customHeight="1">
      <c r="A443" s="3557"/>
      <c r="B443" s="3171">
        <v>428</v>
      </c>
      <c r="C443" s="3181">
        <v>60</v>
      </c>
      <c r="D443" s="3173">
        <v>31.83</v>
      </c>
      <c r="E443" s="3174" t="s">
        <v>3643</v>
      </c>
      <c r="F443" s="3171" t="s">
        <v>3453</v>
      </c>
      <c r="G443" s="3171">
        <v>-3</v>
      </c>
    </row>
    <row r="444" spans="1:7" ht="15" customHeight="1">
      <c r="A444" s="3557"/>
      <c r="B444" s="3171">
        <v>429</v>
      </c>
      <c r="C444" s="3181">
        <v>61</v>
      </c>
      <c r="D444" s="3173">
        <v>31.83</v>
      </c>
      <c r="E444" s="3174" t="s">
        <v>3643</v>
      </c>
      <c r="F444" s="3171" t="s">
        <v>3453</v>
      </c>
      <c r="G444" s="3171">
        <v>-3</v>
      </c>
    </row>
    <row r="445" spans="1:7" ht="15" customHeight="1">
      <c r="A445" s="3557"/>
      <c r="B445" s="3171">
        <v>430</v>
      </c>
      <c r="C445" s="3181">
        <v>62</v>
      </c>
      <c r="D445" s="3173">
        <v>31.83</v>
      </c>
      <c r="E445" s="3174" t="s">
        <v>3643</v>
      </c>
      <c r="F445" s="3171" t="s">
        <v>3453</v>
      </c>
      <c r="G445" s="3171">
        <v>-3</v>
      </c>
    </row>
    <row r="446" spans="1:7" ht="15" customHeight="1">
      <c r="A446" s="3557"/>
      <c r="B446" s="3171">
        <v>431</v>
      </c>
      <c r="C446" s="3181">
        <v>63</v>
      </c>
      <c r="D446" s="3173">
        <v>31.83</v>
      </c>
      <c r="E446" s="3174" t="s">
        <v>3643</v>
      </c>
      <c r="F446" s="3171" t="s">
        <v>3453</v>
      </c>
      <c r="G446" s="3171">
        <v>-3</v>
      </c>
    </row>
    <row r="447" spans="1:7" ht="15" customHeight="1">
      <c r="A447" s="3557"/>
      <c r="B447" s="3171">
        <v>432</v>
      </c>
      <c r="C447" s="3181">
        <v>65</v>
      </c>
      <c r="D447" s="3173">
        <v>31.83</v>
      </c>
      <c r="E447" s="3174" t="s">
        <v>3643</v>
      </c>
      <c r="F447" s="3171" t="s">
        <v>3453</v>
      </c>
      <c r="G447" s="3171">
        <v>-3</v>
      </c>
    </row>
    <row r="448" spans="1:7" ht="15" customHeight="1">
      <c r="A448" s="3557"/>
      <c r="B448" s="3171">
        <v>433</v>
      </c>
      <c r="C448" s="3181">
        <v>66</v>
      </c>
      <c r="D448" s="3173">
        <v>31.83</v>
      </c>
      <c r="E448" s="3174" t="s">
        <v>3643</v>
      </c>
      <c r="F448" s="3171" t="s">
        <v>3453</v>
      </c>
      <c r="G448" s="3171">
        <v>-3</v>
      </c>
    </row>
    <row r="449" spans="1:7" ht="15" customHeight="1">
      <c r="A449" s="3557"/>
      <c r="B449" s="3171">
        <v>434</v>
      </c>
      <c r="C449" s="3181">
        <v>67</v>
      </c>
      <c r="D449" s="3173">
        <v>34.49</v>
      </c>
      <c r="E449" s="3174" t="s">
        <v>3643</v>
      </c>
      <c r="F449" s="3171" t="s">
        <v>3453</v>
      </c>
      <c r="G449" s="3171">
        <v>-3</v>
      </c>
    </row>
    <row r="450" spans="1:7" ht="15" customHeight="1">
      <c r="A450" s="3557"/>
      <c r="B450" s="3171">
        <v>435</v>
      </c>
      <c r="C450" s="3181">
        <v>68</v>
      </c>
      <c r="D450" s="3173">
        <v>38.46</v>
      </c>
      <c r="E450" s="3174" t="s">
        <v>3643</v>
      </c>
      <c r="F450" s="3171" t="s">
        <v>3453</v>
      </c>
      <c r="G450" s="3171">
        <v>-3</v>
      </c>
    </row>
    <row r="451" spans="1:7" ht="15" customHeight="1">
      <c r="A451" s="3557"/>
      <c r="B451" s="3171">
        <v>436</v>
      </c>
      <c r="C451" s="3181">
        <v>69</v>
      </c>
      <c r="D451" s="3173">
        <v>31.83</v>
      </c>
      <c r="E451" s="3174" t="s">
        <v>3643</v>
      </c>
      <c r="F451" s="3171" t="s">
        <v>3453</v>
      </c>
      <c r="G451" s="3171">
        <v>-3</v>
      </c>
    </row>
    <row r="452" spans="1:7" ht="15" customHeight="1">
      <c r="A452" s="3557"/>
      <c r="B452" s="3171">
        <v>437</v>
      </c>
      <c r="C452" s="3181">
        <v>71</v>
      </c>
      <c r="D452" s="3173">
        <v>38.46</v>
      </c>
      <c r="E452" s="3174" t="s">
        <v>3643</v>
      </c>
      <c r="F452" s="3171" t="s">
        <v>3453</v>
      </c>
      <c r="G452" s="3171">
        <v>-3</v>
      </c>
    </row>
    <row r="453" spans="1:7" ht="15" customHeight="1">
      <c r="A453" s="3557"/>
      <c r="B453" s="3171">
        <v>438</v>
      </c>
      <c r="C453" s="3181">
        <v>72</v>
      </c>
      <c r="D453" s="3173">
        <v>54.68</v>
      </c>
      <c r="E453" s="3174" t="s">
        <v>3643</v>
      </c>
      <c r="F453" s="3171" t="s">
        <v>3453</v>
      </c>
      <c r="G453" s="3171">
        <v>-3</v>
      </c>
    </row>
    <row r="454" spans="1:7" ht="15" customHeight="1">
      <c r="A454" s="3557"/>
      <c r="B454" s="3171">
        <v>439</v>
      </c>
      <c r="C454" s="3181">
        <v>73</v>
      </c>
      <c r="D454" s="3173">
        <v>31.83</v>
      </c>
      <c r="E454" s="3174" t="s">
        <v>3643</v>
      </c>
      <c r="F454" s="3171" t="s">
        <v>3453</v>
      </c>
      <c r="G454" s="3171">
        <v>-3</v>
      </c>
    </row>
    <row r="455" spans="1:7" ht="15" customHeight="1">
      <c r="A455" s="3557"/>
      <c r="B455" s="3171">
        <v>440</v>
      </c>
      <c r="C455" s="3181">
        <v>75</v>
      </c>
      <c r="D455" s="3173">
        <v>31.83</v>
      </c>
      <c r="E455" s="3174" t="s">
        <v>3643</v>
      </c>
      <c r="F455" s="3171" t="s">
        <v>3453</v>
      </c>
      <c r="G455" s="3171">
        <v>-3</v>
      </c>
    </row>
    <row r="456" spans="1:7" ht="15" customHeight="1">
      <c r="A456" s="3557"/>
      <c r="B456" s="3171">
        <v>441</v>
      </c>
      <c r="C456" s="3181">
        <v>76</v>
      </c>
      <c r="D456" s="3173">
        <v>31.83</v>
      </c>
      <c r="E456" s="3174" t="s">
        <v>3643</v>
      </c>
      <c r="F456" s="3171" t="s">
        <v>3453</v>
      </c>
      <c r="G456" s="3171">
        <v>-3</v>
      </c>
    </row>
    <row r="457" spans="1:7" ht="15" customHeight="1">
      <c r="A457" s="3557"/>
      <c r="B457" s="3171">
        <v>442</v>
      </c>
      <c r="C457" s="3181">
        <v>77</v>
      </c>
      <c r="D457" s="3173">
        <v>31.83</v>
      </c>
      <c r="E457" s="3174" t="s">
        <v>3643</v>
      </c>
      <c r="F457" s="3171" t="s">
        <v>3453</v>
      </c>
      <c r="G457" s="3171">
        <v>-3</v>
      </c>
    </row>
    <row r="458" spans="1:7" ht="15" customHeight="1">
      <c r="A458" s="3557"/>
      <c r="B458" s="3171">
        <v>443</v>
      </c>
      <c r="C458" s="3181">
        <v>78</v>
      </c>
      <c r="D458" s="3173">
        <v>31.83</v>
      </c>
      <c r="E458" s="3174" t="s">
        <v>3643</v>
      </c>
      <c r="F458" s="3171" t="s">
        <v>3453</v>
      </c>
      <c r="G458" s="3171">
        <v>-3</v>
      </c>
    </row>
    <row r="459" spans="1:7" ht="15" customHeight="1">
      <c r="A459" s="3557"/>
      <c r="B459" s="3171">
        <v>444</v>
      </c>
      <c r="C459" s="3181">
        <v>79</v>
      </c>
      <c r="D459" s="3173">
        <v>30.51</v>
      </c>
      <c r="E459" s="3174" t="s">
        <v>3643</v>
      </c>
      <c r="F459" s="3171" t="s">
        <v>3453</v>
      </c>
      <c r="G459" s="3171">
        <v>-3</v>
      </c>
    </row>
    <row r="460" spans="1:7" ht="15" customHeight="1">
      <c r="A460" s="3557"/>
      <c r="B460" s="3171">
        <v>445</v>
      </c>
      <c r="C460" s="3181">
        <v>80</v>
      </c>
      <c r="D460" s="3173">
        <v>63.67</v>
      </c>
      <c r="E460" s="3174" t="s">
        <v>3643</v>
      </c>
      <c r="F460" s="3171" t="s">
        <v>3453</v>
      </c>
      <c r="G460" s="3171">
        <v>-3</v>
      </c>
    </row>
    <row r="461" spans="1:7" ht="15" customHeight="1">
      <c r="A461" s="3557"/>
      <c r="B461" s="3171">
        <v>446</v>
      </c>
      <c r="C461" s="3181">
        <v>81</v>
      </c>
      <c r="D461" s="3173">
        <v>39.04</v>
      </c>
      <c r="E461" s="3174" t="s">
        <v>3643</v>
      </c>
      <c r="F461" s="3171" t="s">
        <v>3453</v>
      </c>
      <c r="G461" s="3171">
        <v>-3</v>
      </c>
    </row>
    <row r="462" spans="1:7" ht="15" customHeight="1">
      <c r="A462" s="3557"/>
      <c r="B462" s="3171">
        <v>447</v>
      </c>
      <c r="C462" s="3181">
        <v>82</v>
      </c>
      <c r="D462" s="3173">
        <v>39.04</v>
      </c>
      <c r="E462" s="3174" t="s">
        <v>3643</v>
      </c>
      <c r="F462" s="3171" t="s">
        <v>3453</v>
      </c>
      <c r="G462" s="3171">
        <v>-3</v>
      </c>
    </row>
    <row r="463" spans="1:7" ht="15" customHeight="1">
      <c r="A463" s="3557"/>
      <c r="B463" s="3171">
        <v>448</v>
      </c>
      <c r="C463" s="3181">
        <v>83</v>
      </c>
      <c r="D463" s="3173">
        <v>39.04</v>
      </c>
      <c r="E463" s="3174" t="s">
        <v>3643</v>
      </c>
      <c r="F463" s="3171" t="s">
        <v>3453</v>
      </c>
      <c r="G463" s="3171">
        <v>-3</v>
      </c>
    </row>
    <row r="464" spans="1:7" ht="15" customHeight="1">
      <c r="A464" s="3557"/>
      <c r="B464" s="3171">
        <v>449</v>
      </c>
      <c r="C464" s="3181">
        <v>85</v>
      </c>
      <c r="D464" s="3173">
        <v>39.04</v>
      </c>
      <c r="E464" s="3174" t="s">
        <v>3643</v>
      </c>
      <c r="F464" s="3171" t="s">
        <v>3453</v>
      </c>
      <c r="G464" s="3171">
        <v>-3</v>
      </c>
    </row>
    <row r="465" spans="1:7" ht="15" customHeight="1">
      <c r="A465" s="3557"/>
      <c r="B465" s="3171">
        <v>450</v>
      </c>
      <c r="C465" s="3180">
        <v>86</v>
      </c>
      <c r="D465" s="3173">
        <v>39.04</v>
      </c>
      <c r="E465" s="3174" t="s">
        <v>3643</v>
      </c>
      <c r="F465" s="3171" t="s">
        <v>3453</v>
      </c>
      <c r="G465" s="3171">
        <v>-3</v>
      </c>
    </row>
    <row r="466" spans="1:7" ht="15" customHeight="1">
      <c r="A466" s="3557"/>
      <c r="B466" s="3171">
        <v>451</v>
      </c>
      <c r="C466" s="3181">
        <v>87</v>
      </c>
      <c r="D466" s="3173">
        <v>39.04</v>
      </c>
      <c r="E466" s="3174" t="s">
        <v>3643</v>
      </c>
      <c r="F466" s="3171" t="s">
        <v>3453</v>
      </c>
      <c r="G466" s="3171">
        <v>-3</v>
      </c>
    </row>
    <row r="467" spans="1:7" ht="15" customHeight="1">
      <c r="A467" s="3557"/>
      <c r="B467" s="3171">
        <v>452</v>
      </c>
      <c r="C467" s="3180">
        <v>88</v>
      </c>
      <c r="D467" s="3173">
        <v>39.04</v>
      </c>
      <c r="E467" s="3174" t="s">
        <v>3643</v>
      </c>
      <c r="F467" s="3171" t="s">
        <v>3453</v>
      </c>
      <c r="G467" s="3171">
        <v>-3</v>
      </c>
    </row>
    <row r="468" spans="1:7" ht="15" customHeight="1">
      <c r="A468" s="3557"/>
      <c r="B468" s="3171">
        <v>453</v>
      </c>
      <c r="C468" s="3181">
        <v>89</v>
      </c>
      <c r="D468" s="3173">
        <v>39.04</v>
      </c>
      <c r="E468" s="3174" t="s">
        <v>3643</v>
      </c>
      <c r="F468" s="3171" t="s">
        <v>3453</v>
      </c>
      <c r="G468" s="3171">
        <v>-3</v>
      </c>
    </row>
    <row r="469" spans="1:7" ht="15" customHeight="1">
      <c r="A469" s="3557"/>
      <c r="B469" s="3171">
        <v>454</v>
      </c>
      <c r="C469" s="3181">
        <v>90</v>
      </c>
      <c r="D469" s="3173">
        <v>39.04</v>
      </c>
      <c r="E469" s="3174" t="s">
        <v>3643</v>
      </c>
      <c r="F469" s="3171" t="s">
        <v>3453</v>
      </c>
      <c r="G469" s="3171">
        <v>-3</v>
      </c>
    </row>
    <row r="470" spans="1:7" ht="15" customHeight="1">
      <c r="A470" s="3557"/>
      <c r="B470" s="3171">
        <v>455</v>
      </c>
      <c r="C470" s="3181">
        <v>91</v>
      </c>
      <c r="D470" s="3173">
        <v>39.04</v>
      </c>
      <c r="E470" s="3174" t="s">
        <v>3643</v>
      </c>
      <c r="F470" s="3171" t="s">
        <v>3453</v>
      </c>
      <c r="G470" s="3171">
        <v>-3</v>
      </c>
    </row>
    <row r="471" spans="1:7" ht="15" customHeight="1">
      <c r="A471" s="3557"/>
      <c r="B471" s="3171">
        <v>456</v>
      </c>
      <c r="C471" s="3181">
        <v>92</v>
      </c>
      <c r="D471" s="3173">
        <v>39.04</v>
      </c>
      <c r="E471" s="3174" t="s">
        <v>3643</v>
      </c>
      <c r="F471" s="3171" t="s">
        <v>3453</v>
      </c>
      <c r="G471" s="3171">
        <v>-3</v>
      </c>
    </row>
    <row r="472" spans="1:7" ht="15" customHeight="1">
      <c r="A472" s="3557"/>
      <c r="B472" s="3171">
        <v>457</v>
      </c>
      <c r="C472" s="3181">
        <v>93</v>
      </c>
      <c r="D472" s="3173">
        <v>39.04</v>
      </c>
      <c r="E472" s="3174" t="s">
        <v>3643</v>
      </c>
      <c r="F472" s="3171" t="s">
        <v>3453</v>
      </c>
      <c r="G472" s="3171">
        <v>-3</v>
      </c>
    </row>
    <row r="473" spans="1:7" ht="15" customHeight="1">
      <c r="A473" s="3557"/>
      <c r="B473" s="3171">
        <v>458</v>
      </c>
      <c r="C473" s="3181">
        <v>95</v>
      </c>
      <c r="D473" s="3173">
        <v>43.77</v>
      </c>
      <c r="E473" s="3174" t="s">
        <v>3643</v>
      </c>
      <c r="F473" s="3171" t="s">
        <v>3453</v>
      </c>
      <c r="G473" s="3171">
        <v>-3</v>
      </c>
    </row>
    <row r="474" spans="1:7" ht="15" customHeight="1">
      <c r="A474" s="3557"/>
      <c r="B474" s="3171">
        <v>459</v>
      </c>
      <c r="C474" s="3181">
        <v>96</v>
      </c>
      <c r="D474" s="3173">
        <v>43.77</v>
      </c>
      <c r="E474" s="3174" t="s">
        <v>3643</v>
      </c>
      <c r="F474" s="3171" t="s">
        <v>3453</v>
      </c>
      <c r="G474" s="3171">
        <v>-3</v>
      </c>
    </row>
    <row r="475" spans="1:7" ht="15" customHeight="1">
      <c r="A475" s="3557"/>
      <c r="B475" s="3171">
        <v>460</v>
      </c>
      <c r="C475" s="3181">
        <v>99</v>
      </c>
      <c r="D475" s="3173">
        <v>31.83</v>
      </c>
      <c r="E475" s="3174" t="s">
        <v>3643</v>
      </c>
      <c r="F475" s="3171" t="s">
        <v>3453</v>
      </c>
      <c r="G475" s="3171">
        <v>-3</v>
      </c>
    </row>
    <row r="476" spans="1:7" ht="15" customHeight="1">
      <c r="A476" s="3557"/>
      <c r="B476" s="3171">
        <v>461</v>
      </c>
      <c r="C476" s="3181">
        <v>100</v>
      </c>
      <c r="D476" s="3173">
        <v>31.83</v>
      </c>
      <c r="E476" s="3174" t="s">
        <v>3643</v>
      </c>
      <c r="F476" s="3171" t="s">
        <v>3453</v>
      </c>
      <c r="G476" s="3171">
        <v>-3</v>
      </c>
    </row>
    <row r="477" spans="1:7" ht="15" customHeight="1">
      <c r="A477" s="3557"/>
      <c r="B477" s="3171">
        <v>462</v>
      </c>
      <c r="C477" s="3171">
        <v>101</v>
      </c>
      <c r="D477" s="3173">
        <v>31.83</v>
      </c>
      <c r="E477" s="3174" t="s">
        <v>3643</v>
      </c>
      <c r="F477" s="3171" t="s">
        <v>3453</v>
      </c>
      <c r="G477" s="3171">
        <v>-3</v>
      </c>
    </row>
    <row r="478" spans="1:7" ht="15" customHeight="1">
      <c r="A478" s="3557"/>
      <c r="B478" s="3171">
        <v>463</v>
      </c>
      <c r="C478" s="3171">
        <v>102</v>
      </c>
      <c r="D478" s="3173">
        <v>31.83</v>
      </c>
      <c r="E478" s="3174" t="s">
        <v>3643</v>
      </c>
      <c r="F478" s="3171" t="s">
        <v>3453</v>
      </c>
      <c r="G478" s="3171">
        <v>-3</v>
      </c>
    </row>
    <row r="479" spans="1:7" ht="15" customHeight="1">
      <c r="A479" s="3557"/>
      <c r="B479" s="3171">
        <v>464</v>
      </c>
      <c r="C479" s="3171">
        <v>103</v>
      </c>
      <c r="D479" s="3173">
        <v>31.83</v>
      </c>
      <c r="E479" s="3174" t="s">
        <v>3643</v>
      </c>
      <c r="F479" s="3171" t="s">
        <v>3453</v>
      </c>
      <c r="G479" s="3171">
        <v>-3</v>
      </c>
    </row>
    <row r="480" spans="1:7" ht="15" customHeight="1">
      <c r="A480" s="3557"/>
      <c r="B480" s="3171">
        <v>465</v>
      </c>
      <c r="C480" s="3171">
        <v>106</v>
      </c>
      <c r="D480" s="3173">
        <v>31.83</v>
      </c>
      <c r="E480" s="3174" t="s">
        <v>3643</v>
      </c>
      <c r="F480" s="3171" t="s">
        <v>3453</v>
      </c>
      <c r="G480" s="3171">
        <v>-3</v>
      </c>
    </row>
    <row r="481" spans="1:7" ht="15" customHeight="1">
      <c r="A481" s="3557"/>
      <c r="B481" s="3171">
        <v>466</v>
      </c>
      <c r="C481" s="3171">
        <v>107</v>
      </c>
      <c r="D481" s="3173">
        <v>31.83</v>
      </c>
      <c r="E481" s="3174" t="s">
        <v>3643</v>
      </c>
      <c r="F481" s="3171" t="s">
        <v>3453</v>
      </c>
      <c r="G481" s="3171">
        <v>-3</v>
      </c>
    </row>
    <row r="482" spans="1:7" ht="15" customHeight="1">
      <c r="A482" s="3557"/>
      <c r="B482" s="3171">
        <v>467</v>
      </c>
      <c r="C482" s="3171">
        <v>108</v>
      </c>
      <c r="D482" s="3173">
        <v>31.83</v>
      </c>
      <c r="E482" s="3174" t="s">
        <v>3643</v>
      </c>
      <c r="F482" s="3171" t="s">
        <v>3453</v>
      </c>
      <c r="G482" s="3171">
        <v>-3</v>
      </c>
    </row>
    <row r="483" spans="1:7" ht="15" customHeight="1">
      <c r="A483" s="3557"/>
      <c r="B483" s="3171">
        <v>468</v>
      </c>
      <c r="C483" s="3171">
        <v>109</v>
      </c>
      <c r="D483" s="3173">
        <v>31.83</v>
      </c>
      <c r="E483" s="3171" t="s">
        <v>3643</v>
      </c>
      <c r="F483" s="3171" t="s">
        <v>3453</v>
      </c>
      <c r="G483" s="3171">
        <v>-3</v>
      </c>
    </row>
    <row r="484" spans="1:7" ht="15" customHeight="1">
      <c r="A484" s="3557"/>
      <c r="B484" s="3171">
        <v>469</v>
      </c>
      <c r="C484" s="3181">
        <v>110</v>
      </c>
      <c r="D484" s="3173">
        <v>31.83</v>
      </c>
      <c r="E484" s="3174" t="s">
        <v>3643</v>
      </c>
      <c r="F484" s="3171" t="s">
        <v>3453</v>
      </c>
      <c r="G484" s="3171">
        <v>-3</v>
      </c>
    </row>
    <row r="485" spans="1:7" ht="15" customHeight="1">
      <c r="A485" s="3557"/>
      <c r="B485" s="3171">
        <v>470</v>
      </c>
      <c r="C485" s="3180">
        <v>111</v>
      </c>
      <c r="D485" s="3173">
        <v>31.83</v>
      </c>
      <c r="E485" s="3171" t="s">
        <v>3643</v>
      </c>
      <c r="F485" s="3171" t="s">
        <v>3453</v>
      </c>
      <c r="G485" s="3171">
        <v>-3</v>
      </c>
    </row>
    <row r="486" spans="1:7" ht="15" customHeight="1">
      <c r="A486" s="3557"/>
      <c r="B486" s="3171">
        <v>471</v>
      </c>
      <c r="C486" s="3180">
        <v>112</v>
      </c>
      <c r="D486" s="3173">
        <v>31.83</v>
      </c>
      <c r="E486" s="3171" t="s">
        <v>3643</v>
      </c>
      <c r="F486" s="3171" t="s">
        <v>3453</v>
      </c>
      <c r="G486" s="3171">
        <v>-3</v>
      </c>
    </row>
    <row r="487" spans="1:7" ht="15" customHeight="1">
      <c r="A487" s="3557"/>
      <c r="B487" s="3171">
        <v>472</v>
      </c>
      <c r="C487" s="3180">
        <v>115</v>
      </c>
      <c r="D487" s="3173">
        <v>31.83</v>
      </c>
      <c r="E487" s="3171" t="s">
        <v>3643</v>
      </c>
      <c r="F487" s="3171" t="s">
        <v>3453</v>
      </c>
      <c r="G487" s="3171">
        <v>-3</v>
      </c>
    </row>
    <row r="488" spans="1:7" ht="15" customHeight="1">
      <c r="A488" s="3557"/>
      <c r="B488" s="3171">
        <v>473</v>
      </c>
      <c r="C488" s="3180">
        <v>116</v>
      </c>
      <c r="D488" s="3173">
        <v>31.83</v>
      </c>
      <c r="E488" s="3171" t="s">
        <v>3643</v>
      </c>
      <c r="F488" s="3171" t="s">
        <v>3453</v>
      </c>
      <c r="G488" s="3171">
        <v>-3</v>
      </c>
    </row>
    <row r="489" spans="1:7" ht="15" customHeight="1">
      <c r="A489" s="3557"/>
      <c r="B489" s="3171">
        <v>474</v>
      </c>
      <c r="C489" s="3180">
        <v>117</v>
      </c>
      <c r="D489" s="3173">
        <v>31.83</v>
      </c>
      <c r="E489" s="3171" t="s">
        <v>3643</v>
      </c>
      <c r="F489" s="3171" t="s">
        <v>3453</v>
      </c>
      <c r="G489" s="3171">
        <v>-3</v>
      </c>
    </row>
    <row r="490" spans="1:7" ht="15" customHeight="1">
      <c r="A490" s="3557"/>
      <c r="B490" s="3171">
        <v>475</v>
      </c>
      <c r="C490" s="3180">
        <v>118</v>
      </c>
      <c r="D490" s="3173">
        <v>31.83</v>
      </c>
      <c r="E490" s="3171" t="s">
        <v>3643</v>
      </c>
      <c r="F490" s="3171" t="s">
        <v>3453</v>
      </c>
      <c r="G490" s="3171">
        <v>-3</v>
      </c>
    </row>
    <row r="491" spans="1:7" ht="15" customHeight="1">
      <c r="A491" s="3557"/>
      <c r="B491" s="3171">
        <v>476</v>
      </c>
      <c r="C491" s="3180">
        <v>119</v>
      </c>
      <c r="D491" s="3173">
        <v>31.83</v>
      </c>
      <c r="E491" s="3171" t="s">
        <v>3643</v>
      </c>
      <c r="F491" s="3171" t="s">
        <v>3453</v>
      </c>
      <c r="G491" s="3171">
        <v>-3</v>
      </c>
    </row>
    <row r="492" spans="1:7" ht="15" customHeight="1">
      <c r="A492" s="3557"/>
      <c r="B492" s="3171">
        <v>477</v>
      </c>
      <c r="C492" s="3180">
        <v>120</v>
      </c>
      <c r="D492" s="3173">
        <v>31.83</v>
      </c>
      <c r="E492" s="3171" t="s">
        <v>3643</v>
      </c>
      <c r="F492" s="3171" t="s">
        <v>3453</v>
      </c>
      <c r="G492" s="3171">
        <v>-3</v>
      </c>
    </row>
    <row r="493" spans="1:7" ht="15" customHeight="1">
      <c r="A493" s="3557"/>
      <c r="B493" s="3171">
        <v>478</v>
      </c>
      <c r="C493" s="3180">
        <v>121</v>
      </c>
      <c r="D493" s="3173">
        <v>31.83</v>
      </c>
      <c r="E493" s="3171" t="s">
        <v>3643</v>
      </c>
      <c r="F493" s="3171" t="s">
        <v>3453</v>
      </c>
      <c r="G493" s="3171">
        <v>-3</v>
      </c>
    </row>
    <row r="494" spans="1:7" ht="15" customHeight="1">
      <c r="A494" s="3557"/>
      <c r="B494" s="3171">
        <v>479</v>
      </c>
      <c r="C494" s="3180">
        <v>122</v>
      </c>
      <c r="D494" s="3173">
        <v>31.83</v>
      </c>
      <c r="E494" s="3171" t="s">
        <v>3643</v>
      </c>
      <c r="F494" s="3171" t="s">
        <v>3453</v>
      </c>
      <c r="G494" s="3171">
        <v>-3</v>
      </c>
    </row>
    <row r="495" spans="1:7" ht="15" customHeight="1">
      <c r="A495" s="3557"/>
      <c r="B495" s="3171">
        <v>480</v>
      </c>
      <c r="C495" s="3181">
        <v>123</v>
      </c>
      <c r="D495" s="3173">
        <v>31.83</v>
      </c>
      <c r="E495" s="3174" t="s">
        <v>3643</v>
      </c>
      <c r="F495" s="3171" t="s">
        <v>3453</v>
      </c>
      <c r="G495" s="3171">
        <v>-3</v>
      </c>
    </row>
    <row r="496" spans="1:7" ht="15" customHeight="1">
      <c r="A496" s="3557"/>
      <c r="B496" s="3171">
        <v>481</v>
      </c>
      <c r="C496" s="3181">
        <v>125</v>
      </c>
      <c r="D496" s="3173">
        <v>31.83</v>
      </c>
      <c r="E496" s="3174" t="s">
        <v>3643</v>
      </c>
      <c r="F496" s="3171" t="s">
        <v>3453</v>
      </c>
      <c r="G496" s="3171">
        <v>-3</v>
      </c>
    </row>
    <row r="497" spans="1:7" ht="15" customHeight="1">
      <c r="A497" s="3557"/>
      <c r="B497" s="3171">
        <v>482</v>
      </c>
      <c r="C497" s="3181">
        <v>126</v>
      </c>
      <c r="D497" s="3173">
        <v>31.83</v>
      </c>
      <c r="E497" s="3174" t="s">
        <v>3643</v>
      </c>
      <c r="F497" s="3171" t="s">
        <v>3453</v>
      </c>
      <c r="G497" s="3171">
        <v>-3</v>
      </c>
    </row>
    <row r="498" spans="1:7" ht="15" customHeight="1">
      <c r="A498" s="3557"/>
      <c r="B498" s="3171">
        <v>483</v>
      </c>
      <c r="C498" s="3181">
        <v>127</v>
      </c>
      <c r="D498" s="3173">
        <v>31.83</v>
      </c>
      <c r="E498" s="3174" t="s">
        <v>3643</v>
      </c>
      <c r="F498" s="3171" t="s">
        <v>3453</v>
      </c>
      <c r="G498" s="3171">
        <v>-3</v>
      </c>
    </row>
    <row r="499" spans="1:7" ht="15" customHeight="1">
      <c r="A499" s="3557"/>
      <c r="B499" s="3171">
        <v>484</v>
      </c>
      <c r="C499" s="3171">
        <v>128</v>
      </c>
      <c r="D499" s="3173">
        <v>31.83</v>
      </c>
      <c r="E499" s="3171" t="s">
        <v>3643</v>
      </c>
      <c r="F499" s="3171" t="s">
        <v>3453</v>
      </c>
      <c r="G499" s="3171">
        <v>-3</v>
      </c>
    </row>
    <row r="500" spans="1:7" ht="15" customHeight="1">
      <c r="A500" s="3557"/>
      <c r="B500" s="3171">
        <v>485</v>
      </c>
      <c r="C500" s="3171">
        <v>129</v>
      </c>
      <c r="D500" s="3173">
        <v>31.83</v>
      </c>
      <c r="E500" s="3174" t="s">
        <v>3643</v>
      </c>
      <c r="F500" s="3171" t="s">
        <v>3453</v>
      </c>
      <c r="G500" s="3171">
        <v>-3</v>
      </c>
    </row>
    <row r="501" spans="1:7" ht="15" customHeight="1">
      <c r="A501" s="3557"/>
      <c r="B501" s="3171">
        <v>486</v>
      </c>
      <c r="C501" s="3171">
        <v>130</v>
      </c>
      <c r="D501" s="3173">
        <v>31.83</v>
      </c>
      <c r="E501" s="3174" t="s">
        <v>3643</v>
      </c>
      <c r="F501" s="3171" t="s">
        <v>3453</v>
      </c>
      <c r="G501" s="3171">
        <v>-3</v>
      </c>
    </row>
    <row r="502" spans="1:7" ht="15" customHeight="1">
      <c r="A502" s="3557"/>
      <c r="B502" s="3171">
        <v>487</v>
      </c>
      <c r="C502" s="3171">
        <v>131</v>
      </c>
      <c r="D502" s="3173">
        <v>31.83</v>
      </c>
      <c r="E502" s="3174" t="s">
        <v>3643</v>
      </c>
      <c r="F502" s="3171" t="s">
        <v>3453</v>
      </c>
      <c r="G502" s="3171">
        <v>-3</v>
      </c>
    </row>
    <row r="503" spans="1:7" ht="15" customHeight="1">
      <c r="A503" s="3557"/>
      <c r="B503" s="3171">
        <v>488</v>
      </c>
      <c r="C503" s="3171">
        <v>132</v>
      </c>
      <c r="D503" s="3173">
        <v>31.83</v>
      </c>
      <c r="E503" s="3174" t="s">
        <v>3643</v>
      </c>
      <c r="F503" s="3171" t="s">
        <v>3453</v>
      </c>
      <c r="G503" s="3171">
        <v>-3</v>
      </c>
    </row>
    <row r="504" spans="1:7" ht="15" customHeight="1">
      <c r="A504" s="3557"/>
      <c r="B504" s="3171">
        <v>489</v>
      </c>
      <c r="C504" s="3171">
        <v>133</v>
      </c>
      <c r="D504" s="3173">
        <v>31.83</v>
      </c>
      <c r="E504" s="3174" t="s">
        <v>3643</v>
      </c>
      <c r="F504" s="3171" t="s">
        <v>3453</v>
      </c>
      <c r="G504" s="3171">
        <v>-3</v>
      </c>
    </row>
    <row r="505" spans="1:7" ht="15" customHeight="1">
      <c r="A505" s="3557"/>
      <c r="B505" s="3171">
        <v>490</v>
      </c>
      <c r="C505" s="3171">
        <v>135</v>
      </c>
      <c r="D505" s="3173">
        <v>31.83</v>
      </c>
      <c r="E505" s="3174" t="s">
        <v>3643</v>
      </c>
      <c r="F505" s="3171" t="s">
        <v>3453</v>
      </c>
      <c r="G505" s="3171">
        <v>-3</v>
      </c>
    </row>
    <row r="506" spans="1:7" ht="15" customHeight="1">
      <c r="A506" s="3557"/>
      <c r="B506" s="3171">
        <v>491</v>
      </c>
      <c r="C506" s="3171">
        <v>136</v>
      </c>
      <c r="D506" s="3173">
        <v>31.83</v>
      </c>
      <c r="E506" s="3171" t="s">
        <v>3643</v>
      </c>
      <c r="F506" s="3171" t="s">
        <v>3453</v>
      </c>
      <c r="G506" s="3171">
        <v>-3</v>
      </c>
    </row>
    <row r="507" spans="1:7" ht="15" customHeight="1">
      <c r="A507" s="3557"/>
      <c r="B507" s="3171">
        <v>492</v>
      </c>
      <c r="C507" s="3171">
        <v>137</v>
      </c>
      <c r="D507" s="3173">
        <v>31.83</v>
      </c>
      <c r="E507" s="3171" t="s">
        <v>3643</v>
      </c>
      <c r="F507" s="3171" t="s">
        <v>3453</v>
      </c>
      <c r="G507" s="3171">
        <v>-3</v>
      </c>
    </row>
    <row r="508" spans="1:7" ht="15" customHeight="1">
      <c r="A508" s="3557"/>
      <c r="B508" s="3171">
        <v>493</v>
      </c>
      <c r="C508" s="3171">
        <v>138</v>
      </c>
      <c r="D508" s="3173">
        <v>31.83</v>
      </c>
      <c r="E508" s="3171" t="s">
        <v>3643</v>
      </c>
      <c r="F508" s="3171" t="s">
        <v>3453</v>
      </c>
      <c r="G508" s="3171">
        <v>-3</v>
      </c>
    </row>
    <row r="509" spans="1:7" ht="15" customHeight="1">
      <c r="A509" s="3557"/>
      <c r="B509" s="3171">
        <v>494</v>
      </c>
      <c r="C509" s="3171">
        <v>139</v>
      </c>
      <c r="D509" s="3173">
        <v>31.83</v>
      </c>
      <c r="E509" s="3171" t="s">
        <v>3643</v>
      </c>
      <c r="F509" s="3171" t="s">
        <v>3453</v>
      </c>
      <c r="G509" s="3171">
        <v>-3</v>
      </c>
    </row>
    <row r="510" spans="1:7" ht="15" customHeight="1">
      <c r="A510" s="3557"/>
      <c r="B510" s="3171">
        <v>495</v>
      </c>
      <c r="C510" s="3171">
        <v>140</v>
      </c>
      <c r="D510" s="3173">
        <v>31.83</v>
      </c>
      <c r="E510" s="3171" t="s">
        <v>3643</v>
      </c>
      <c r="F510" s="3171" t="s">
        <v>3453</v>
      </c>
      <c r="G510" s="3171">
        <v>-3</v>
      </c>
    </row>
    <row r="511" spans="1:7" ht="15" customHeight="1">
      <c r="A511" s="3557"/>
      <c r="B511" s="3171">
        <v>496</v>
      </c>
      <c r="C511" s="3171">
        <v>141</v>
      </c>
      <c r="D511" s="3173">
        <v>31.83</v>
      </c>
      <c r="E511" s="3171" t="s">
        <v>3643</v>
      </c>
      <c r="F511" s="3171" t="s">
        <v>3453</v>
      </c>
      <c r="G511" s="3171">
        <v>-3</v>
      </c>
    </row>
    <row r="512" spans="1:7" ht="15" customHeight="1">
      <c r="A512" s="3557"/>
      <c r="B512" s="3171">
        <v>497</v>
      </c>
      <c r="C512" s="3171">
        <v>142</v>
      </c>
      <c r="D512" s="3173">
        <v>31.83</v>
      </c>
      <c r="E512" s="3171" t="s">
        <v>3643</v>
      </c>
      <c r="F512" s="3171" t="s">
        <v>3453</v>
      </c>
      <c r="G512" s="3171">
        <v>-3</v>
      </c>
    </row>
    <row r="513" spans="1:7" ht="15" customHeight="1">
      <c r="A513" s="3557"/>
      <c r="B513" s="3171">
        <v>498</v>
      </c>
      <c r="C513" s="3171">
        <v>143</v>
      </c>
      <c r="D513" s="3173">
        <v>31.83</v>
      </c>
      <c r="E513" s="3171" t="s">
        <v>3643</v>
      </c>
      <c r="F513" s="3171" t="s">
        <v>3453</v>
      </c>
      <c r="G513" s="3171">
        <v>-3</v>
      </c>
    </row>
    <row r="514" spans="1:7" ht="15" customHeight="1">
      <c r="A514" s="3557"/>
      <c r="B514" s="3171">
        <v>499</v>
      </c>
      <c r="C514" s="3171">
        <v>145</v>
      </c>
      <c r="D514" s="3173">
        <v>31.83</v>
      </c>
      <c r="E514" s="3171" t="s">
        <v>3643</v>
      </c>
      <c r="F514" s="3171" t="s">
        <v>3453</v>
      </c>
      <c r="G514" s="3171">
        <v>-3</v>
      </c>
    </row>
    <row r="515" spans="1:7" ht="15" customHeight="1">
      <c r="A515" s="3557"/>
      <c r="B515" s="3171">
        <v>500</v>
      </c>
      <c r="C515" s="3171">
        <v>146</v>
      </c>
      <c r="D515" s="3173">
        <v>31.83</v>
      </c>
      <c r="E515" s="3171" t="s">
        <v>3643</v>
      </c>
      <c r="F515" s="3171" t="s">
        <v>3453</v>
      </c>
      <c r="G515" s="3171">
        <v>-3</v>
      </c>
    </row>
    <row r="516" spans="1:7" ht="15" customHeight="1">
      <c r="A516" s="3557"/>
      <c r="B516" s="3171">
        <v>501</v>
      </c>
      <c r="C516" s="3171">
        <v>147</v>
      </c>
      <c r="D516" s="3173">
        <v>31.83</v>
      </c>
      <c r="E516" s="3171" t="s">
        <v>3643</v>
      </c>
      <c r="F516" s="3171" t="s">
        <v>3453</v>
      </c>
      <c r="G516" s="3171">
        <v>-3</v>
      </c>
    </row>
    <row r="517" spans="1:7" ht="15" customHeight="1">
      <c r="A517" s="3557"/>
      <c r="B517" s="3171">
        <v>502</v>
      </c>
      <c r="C517" s="3171">
        <v>148</v>
      </c>
      <c r="D517" s="3173">
        <v>31.83</v>
      </c>
      <c r="E517" s="3171" t="s">
        <v>3643</v>
      </c>
      <c r="F517" s="3171" t="s">
        <v>3453</v>
      </c>
      <c r="G517" s="3171">
        <v>-3</v>
      </c>
    </row>
    <row r="518" spans="1:7" ht="15" customHeight="1">
      <c r="A518" s="3557"/>
      <c r="B518" s="3171">
        <v>503</v>
      </c>
      <c r="C518" s="3171">
        <v>149</v>
      </c>
      <c r="D518" s="3173">
        <v>31.83</v>
      </c>
      <c r="E518" s="3171" t="s">
        <v>3643</v>
      </c>
      <c r="F518" s="3171" t="s">
        <v>3453</v>
      </c>
      <c r="G518" s="3171">
        <v>-3</v>
      </c>
    </row>
    <row r="519" spans="1:7" ht="15" customHeight="1">
      <c r="A519" s="3557"/>
      <c r="B519" s="3171">
        <v>504</v>
      </c>
      <c r="C519" s="3171">
        <v>150</v>
      </c>
      <c r="D519" s="3173">
        <v>31.83</v>
      </c>
      <c r="E519" s="3171" t="s">
        <v>3643</v>
      </c>
      <c r="F519" s="3171" t="s">
        <v>3453</v>
      </c>
      <c r="G519" s="3171">
        <v>-3</v>
      </c>
    </row>
    <row r="520" spans="1:7" ht="15" customHeight="1">
      <c r="A520" s="3557"/>
      <c r="B520" s="3171">
        <v>505</v>
      </c>
      <c r="C520" s="3171">
        <v>151</v>
      </c>
      <c r="D520" s="3173">
        <v>31.83</v>
      </c>
      <c r="E520" s="3171" t="s">
        <v>3643</v>
      </c>
      <c r="F520" s="3171" t="s">
        <v>3453</v>
      </c>
      <c r="G520" s="3171">
        <v>-3</v>
      </c>
    </row>
    <row r="521" spans="1:7" ht="15" customHeight="1">
      <c r="A521" s="3557"/>
      <c r="B521" s="3171">
        <v>506</v>
      </c>
      <c r="C521" s="3171">
        <v>152</v>
      </c>
      <c r="D521" s="3173">
        <v>31.83</v>
      </c>
      <c r="E521" s="3171" t="s">
        <v>3643</v>
      </c>
      <c r="F521" s="3171" t="s">
        <v>3453</v>
      </c>
      <c r="G521" s="3171">
        <v>-3</v>
      </c>
    </row>
    <row r="522" spans="1:7" ht="15" customHeight="1">
      <c r="A522" s="3557"/>
      <c r="B522" s="3171">
        <v>507</v>
      </c>
      <c r="C522" s="3171">
        <v>153</v>
      </c>
      <c r="D522" s="3173">
        <v>31.83</v>
      </c>
      <c r="E522" s="3171" t="s">
        <v>3643</v>
      </c>
      <c r="F522" s="3171" t="s">
        <v>3453</v>
      </c>
      <c r="G522" s="3171">
        <v>-3</v>
      </c>
    </row>
    <row r="523" spans="1:7" ht="15" customHeight="1">
      <c r="A523" s="3557"/>
      <c r="B523" s="3171">
        <v>508</v>
      </c>
      <c r="C523" s="3171">
        <v>155</v>
      </c>
      <c r="D523" s="3173">
        <v>31.83</v>
      </c>
      <c r="E523" s="3171" t="s">
        <v>3643</v>
      </c>
      <c r="F523" s="3171" t="s">
        <v>3453</v>
      </c>
      <c r="G523" s="3171">
        <v>-3</v>
      </c>
    </row>
    <row r="524" spans="1:7" ht="15" customHeight="1">
      <c r="A524" s="3557"/>
      <c r="B524" s="3171">
        <v>509</v>
      </c>
      <c r="C524" s="3171">
        <v>156</v>
      </c>
      <c r="D524" s="3173">
        <v>31.83</v>
      </c>
      <c r="E524" s="3171" t="s">
        <v>3643</v>
      </c>
      <c r="F524" s="3171" t="s">
        <v>3453</v>
      </c>
      <c r="G524" s="3171">
        <v>-3</v>
      </c>
    </row>
    <row r="525" spans="1:7" ht="15" customHeight="1">
      <c r="A525" s="3557"/>
      <c r="B525" s="3171">
        <v>510</v>
      </c>
      <c r="C525" s="3171">
        <v>157</v>
      </c>
      <c r="D525" s="3173">
        <v>31.83</v>
      </c>
      <c r="E525" s="3171" t="s">
        <v>3643</v>
      </c>
      <c r="F525" s="3171" t="s">
        <v>3453</v>
      </c>
      <c r="G525" s="3171">
        <v>-3</v>
      </c>
    </row>
    <row r="526" spans="1:7" ht="15" customHeight="1">
      <c r="A526" s="3557"/>
      <c r="B526" s="3171">
        <v>511</v>
      </c>
      <c r="C526" s="3171">
        <v>158</v>
      </c>
      <c r="D526" s="3173">
        <v>57.06</v>
      </c>
      <c r="E526" s="3171" t="s">
        <v>3643</v>
      </c>
      <c r="F526" s="3171" t="s">
        <v>3453</v>
      </c>
      <c r="G526" s="3171">
        <v>-3</v>
      </c>
    </row>
    <row r="527" spans="1:7" ht="15" customHeight="1">
      <c r="A527" s="3557"/>
      <c r="B527" s="3171">
        <v>512</v>
      </c>
      <c r="C527" s="3171">
        <v>159</v>
      </c>
      <c r="D527" s="3173">
        <v>31.83</v>
      </c>
      <c r="E527" s="3171" t="s">
        <v>3643</v>
      </c>
      <c r="F527" s="3171" t="s">
        <v>3453</v>
      </c>
      <c r="G527" s="3171">
        <v>-3</v>
      </c>
    </row>
    <row r="528" spans="1:7" ht="15" customHeight="1">
      <c r="A528" s="3557"/>
      <c r="B528" s="3171">
        <v>513</v>
      </c>
      <c r="C528" s="3171">
        <v>160</v>
      </c>
      <c r="D528" s="3173">
        <v>31.83</v>
      </c>
      <c r="E528" s="3171" t="s">
        <v>3643</v>
      </c>
      <c r="F528" s="3171" t="s">
        <v>3453</v>
      </c>
      <c r="G528" s="3171">
        <v>-3</v>
      </c>
    </row>
    <row r="529" spans="1:7" ht="15" customHeight="1">
      <c r="A529" s="3557"/>
      <c r="B529" s="3171">
        <v>514</v>
      </c>
      <c r="C529" s="3171">
        <v>161</v>
      </c>
      <c r="D529" s="3173">
        <v>31.83</v>
      </c>
      <c r="E529" s="3171" t="s">
        <v>3643</v>
      </c>
      <c r="F529" s="3171" t="s">
        <v>3453</v>
      </c>
      <c r="G529" s="3171">
        <v>-3</v>
      </c>
    </row>
    <row r="530" spans="1:7" ht="15" customHeight="1">
      <c r="A530" s="3557"/>
      <c r="B530" s="3171">
        <v>515</v>
      </c>
      <c r="C530" s="3171">
        <v>162</v>
      </c>
      <c r="D530" s="3173">
        <v>34.49</v>
      </c>
      <c r="E530" s="3171" t="s">
        <v>3643</v>
      </c>
      <c r="F530" s="3171" t="s">
        <v>3453</v>
      </c>
      <c r="G530" s="3171">
        <v>-3</v>
      </c>
    </row>
    <row r="531" spans="1:7" ht="15" customHeight="1">
      <c r="A531" s="3557"/>
      <c r="B531" s="3171">
        <v>516</v>
      </c>
      <c r="C531" s="3171">
        <v>163</v>
      </c>
      <c r="D531" s="3173">
        <v>34.49</v>
      </c>
      <c r="E531" s="3171" t="s">
        <v>3643</v>
      </c>
      <c r="F531" s="3171" t="s">
        <v>3453</v>
      </c>
      <c r="G531" s="3171">
        <v>-3</v>
      </c>
    </row>
    <row r="532" spans="1:7" ht="15" customHeight="1">
      <c r="A532" s="3557"/>
      <c r="B532" s="3171">
        <v>517</v>
      </c>
      <c r="C532" s="3171">
        <v>165</v>
      </c>
      <c r="D532" s="3173">
        <v>34.49</v>
      </c>
      <c r="E532" s="3171" t="s">
        <v>3643</v>
      </c>
      <c r="F532" s="3171" t="s">
        <v>3453</v>
      </c>
      <c r="G532" s="3171">
        <v>-3</v>
      </c>
    </row>
    <row r="533" spans="1:7" ht="15" customHeight="1">
      <c r="A533" s="3557"/>
      <c r="B533" s="3171">
        <v>518</v>
      </c>
      <c r="C533" s="3171">
        <v>166</v>
      </c>
      <c r="D533" s="3173">
        <v>34.49</v>
      </c>
      <c r="E533" s="3171" t="s">
        <v>3643</v>
      </c>
      <c r="F533" s="3171" t="s">
        <v>3453</v>
      </c>
      <c r="G533" s="3171">
        <v>-3</v>
      </c>
    </row>
    <row r="534" spans="1:7" ht="15" customHeight="1">
      <c r="A534" s="3557"/>
      <c r="B534" s="3171">
        <v>519</v>
      </c>
      <c r="C534" s="3171">
        <v>167</v>
      </c>
      <c r="D534" s="3173">
        <v>34.49</v>
      </c>
      <c r="E534" s="3171" t="s">
        <v>3643</v>
      </c>
      <c r="F534" s="3171" t="s">
        <v>3453</v>
      </c>
      <c r="G534" s="3171">
        <v>-3</v>
      </c>
    </row>
    <row r="535" spans="1:7" ht="15" customHeight="1">
      <c r="A535" s="3557"/>
      <c r="B535" s="3171">
        <v>520</v>
      </c>
      <c r="C535" s="3171">
        <v>169</v>
      </c>
      <c r="D535" s="3173">
        <v>31.83</v>
      </c>
      <c r="E535" s="3171" t="s">
        <v>3643</v>
      </c>
      <c r="F535" s="3171" t="s">
        <v>3453</v>
      </c>
      <c r="G535" s="3171">
        <v>-3</v>
      </c>
    </row>
    <row r="536" spans="1:7" ht="15" customHeight="1">
      <c r="A536" s="3557"/>
      <c r="B536" s="3171">
        <v>521</v>
      </c>
      <c r="C536" s="3171">
        <v>170</v>
      </c>
      <c r="D536" s="3173">
        <v>31.83</v>
      </c>
      <c r="E536" s="3171" t="s">
        <v>3643</v>
      </c>
      <c r="F536" s="3171" t="s">
        <v>3453</v>
      </c>
      <c r="G536" s="3171">
        <v>-3</v>
      </c>
    </row>
    <row r="537" spans="1:7" ht="15" customHeight="1">
      <c r="A537" s="3557"/>
      <c r="B537" s="3171">
        <v>522</v>
      </c>
      <c r="C537" s="3171">
        <v>171</v>
      </c>
      <c r="D537" s="3173">
        <v>31.83</v>
      </c>
      <c r="E537" s="3171" t="s">
        <v>3643</v>
      </c>
      <c r="F537" s="3171" t="s">
        <v>3453</v>
      </c>
      <c r="G537" s="3171">
        <v>-3</v>
      </c>
    </row>
    <row r="538" spans="1:7" ht="15" customHeight="1">
      <c r="A538" s="3557"/>
      <c r="B538" s="3171">
        <v>523</v>
      </c>
      <c r="C538" s="3171">
        <v>172</v>
      </c>
      <c r="D538" s="3173">
        <v>31.83</v>
      </c>
      <c r="E538" s="3171" t="s">
        <v>3643</v>
      </c>
      <c r="F538" s="3171" t="s">
        <v>3453</v>
      </c>
      <c r="G538" s="3171">
        <v>-3</v>
      </c>
    </row>
    <row r="539" spans="1:7" ht="15" customHeight="1">
      <c r="A539" s="3557"/>
      <c r="B539" s="3171">
        <v>524</v>
      </c>
      <c r="C539" s="3171">
        <v>173</v>
      </c>
      <c r="D539" s="3173">
        <v>31.83</v>
      </c>
      <c r="E539" s="3171" t="s">
        <v>3643</v>
      </c>
      <c r="F539" s="3171" t="s">
        <v>3453</v>
      </c>
      <c r="G539" s="3171">
        <v>-3</v>
      </c>
    </row>
    <row r="540" spans="1:7" ht="15" customHeight="1">
      <c r="A540" s="3557"/>
      <c r="B540" s="3171">
        <v>525</v>
      </c>
      <c r="C540" s="3171">
        <v>175</v>
      </c>
      <c r="D540" s="3173">
        <v>31.83</v>
      </c>
      <c r="E540" s="3171" t="s">
        <v>3643</v>
      </c>
      <c r="F540" s="3171" t="s">
        <v>3453</v>
      </c>
      <c r="G540" s="3171">
        <v>-3</v>
      </c>
    </row>
    <row r="541" spans="1:7" ht="15" customHeight="1">
      <c r="A541" s="3557"/>
      <c r="B541" s="3171">
        <v>526</v>
      </c>
      <c r="C541" s="3171">
        <v>176</v>
      </c>
      <c r="D541" s="3173">
        <v>31.83</v>
      </c>
      <c r="E541" s="3171" t="s">
        <v>3643</v>
      </c>
      <c r="F541" s="3171" t="s">
        <v>3453</v>
      </c>
      <c r="G541" s="3171">
        <v>-3</v>
      </c>
    </row>
    <row r="542" spans="1:7" ht="15" customHeight="1">
      <c r="A542" s="3557"/>
      <c r="B542" s="3171">
        <v>527</v>
      </c>
      <c r="C542" s="3171">
        <v>177</v>
      </c>
      <c r="D542" s="3173">
        <v>31.83</v>
      </c>
      <c r="E542" s="3171" t="s">
        <v>3643</v>
      </c>
      <c r="F542" s="3171" t="s">
        <v>3453</v>
      </c>
      <c r="G542" s="3171">
        <v>-3</v>
      </c>
    </row>
    <row r="543" spans="1:7" ht="15" customHeight="1">
      <c r="A543" s="3557"/>
      <c r="B543" s="3171">
        <v>528</v>
      </c>
      <c r="C543" s="3171">
        <v>178</v>
      </c>
      <c r="D543" s="3173">
        <v>31.83</v>
      </c>
      <c r="E543" s="3171" t="s">
        <v>3643</v>
      </c>
      <c r="F543" s="3171" t="s">
        <v>3453</v>
      </c>
      <c r="G543" s="3171">
        <v>-3</v>
      </c>
    </row>
    <row r="544" spans="1:7" ht="15" customHeight="1">
      <c r="A544" s="3557"/>
      <c r="B544" s="3171">
        <v>529</v>
      </c>
      <c r="C544" s="3171">
        <v>179</v>
      </c>
      <c r="D544" s="3173">
        <v>31.83</v>
      </c>
      <c r="E544" s="3171" t="s">
        <v>3643</v>
      </c>
      <c r="F544" s="3171" t="s">
        <v>3453</v>
      </c>
      <c r="G544" s="3171">
        <v>-3</v>
      </c>
    </row>
    <row r="545" spans="1:7" ht="15" customHeight="1">
      <c r="A545" s="3557"/>
      <c r="B545" s="3171">
        <v>530</v>
      </c>
      <c r="C545" s="3171">
        <v>180</v>
      </c>
      <c r="D545" s="3173">
        <v>31.83</v>
      </c>
      <c r="E545" s="3171" t="s">
        <v>3643</v>
      </c>
      <c r="F545" s="3171" t="s">
        <v>3453</v>
      </c>
      <c r="G545" s="3171">
        <v>-3</v>
      </c>
    </row>
    <row r="546" spans="1:7" ht="15" customHeight="1">
      <c r="A546" s="3557"/>
      <c r="B546" s="3171">
        <v>531</v>
      </c>
      <c r="C546" s="3171">
        <v>181</v>
      </c>
      <c r="D546" s="3173">
        <v>31.83</v>
      </c>
      <c r="E546" s="3171" t="s">
        <v>3643</v>
      </c>
      <c r="F546" s="3171" t="s">
        <v>3453</v>
      </c>
      <c r="G546" s="3171">
        <v>-3</v>
      </c>
    </row>
    <row r="547" spans="1:7" ht="15" customHeight="1">
      <c r="A547" s="3557"/>
      <c r="B547" s="3171">
        <v>532</v>
      </c>
      <c r="C547" s="3171">
        <v>182</v>
      </c>
      <c r="D547" s="3173">
        <v>31.83</v>
      </c>
      <c r="E547" s="3171" t="s">
        <v>3643</v>
      </c>
      <c r="F547" s="3171" t="s">
        <v>3453</v>
      </c>
      <c r="G547" s="3171">
        <v>-3</v>
      </c>
    </row>
    <row r="548" spans="1:7" ht="15" customHeight="1">
      <c r="A548" s="3557"/>
      <c r="B548" s="3171">
        <v>533</v>
      </c>
      <c r="C548" s="3171">
        <v>183</v>
      </c>
      <c r="D548" s="3173">
        <v>31.83</v>
      </c>
      <c r="E548" s="3171" t="s">
        <v>3643</v>
      </c>
      <c r="F548" s="3171" t="s">
        <v>3453</v>
      </c>
      <c r="G548" s="3171">
        <v>-3</v>
      </c>
    </row>
    <row r="549" spans="1:7" ht="15" customHeight="1">
      <c r="A549" s="3557"/>
      <c r="B549" s="3171">
        <v>534</v>
      </c>
      <c r="C549" s="3171">
        <v>185</v>
      </c>
      <c r="D549" s="3173">
        <v>31.83</v>
      </c>
      <c r="E549" s="3171" t="s">
        <v>3643</v>
      </c>
      <c r="F549" s="3171" t="s">
        <v>3453</v>
      </c>
      <c r="G549" s="3171">
        <v>-3</v>
      </c>
    </row>
    <row r="550" spans="1:7" ht="15" customHeight="1">
      <c r="A550" s="3557"/>
      <c r="B550" s="3171">
        <v>535</v>
      </c>
      <c r="C550" s="3171">
        <v>186</v>
      </c>
      <c r="D550" s="3173">
        <v>31.83</v>
      </c>
      <c r="E550" s="3171" t="s">
        <v>3643</v>
      </c>
      <c r="F550" s="3171" t="s">
        <v>3453</v>
      </c>
      <c r="G550" s="3171">
        <v>-3</v>
      </c>
    </row>
    <row r="551" spans="1:7" ht="15" customHeight="1">
      <c r="A551" s="3557"/>
      <c r="B551" s="3171">
        <v>536</v>
      </c>
      <c r="C551" s="3171">
        <v>187</v>
      </c>
      <c r="D551" s="3173">
        <v>31.83</v>
      </c>
      <c r="E551" s="3171" t="s">
        <v>3643</v>
      </c>
      <c r="F551" s="3171" t="s">
        <v>3453</v>
      </c>
      <c r="G551" s="3171">
        <v>-3</v>
      </c>
    </row>
    <row r="552" spans="1:7" ht="15" customHeight="1">
      <c r="A552" s="3557"/>
      <c r="B552" s="3171">
        <v>537</v>
      </c>
      <c r="C552" s="3171">
        <v>188</v>
      </c>
      <c r="D552" s="3173">
        <v>31.83</v>
      </c>
      <c r="E552" s="3171" t="s">
        <v>3643</v>
      </c>
      <c r="F552" s="3171" t="s">
        <v>3453</v>
      </c>
      <c r="G552" s="3171">
        <v>-3</v>
      </c>
    </row>
    <row r="553" spans="1:7" ht="15" customHeight="1">
      <c r="A553" s="3557"/>
      <c r="B553" s="3171">
        <v>538</v>
      </c>
      <c r="C553" s="3171">
        <v>189</v>
      </c>
      <c r="D553" s="3173">
        <v>31.83</v>
      </c>
      <c r="E553" s="3171" t="s">
        <v>3643</v>
      </c>
      <c r="F553" s="3171" t="s">
        <v>3453</v>
      </c>
      <c r="G553" s="3171">
        <v>-3</v>
      </c>
    </row>
    <row r="554" spans="1:7" ht="15" customHeight="1">
      <c r="A554" s="3557"/>
      <c r="B554" s="3171">
        <v>539</v>
      </c>
      <c r="C554" s="3171">
        <v>190</v>
      </c>
      <c r="D554" s="3173">
        <v>31.83</v>
      </c>
      <c r="E554" s="3171" t="s">
        <v>3643</v>
      </c>
      <c r="F554" s="3171" t="s">
        <v>3453</v>
      </c>
      <c r="G554" s="3171">
        <v>-3</v>
      </c>
    </row>
    <row r="555" spans="1:7" ht="15" customHeight="1">
      <c r="A555" s="3557"/>
      <c r="B555" s="3171">
        <v>540</v>
      </c>
      <c r="C555" s="3171">
        <v>191</v>
      </c>
      <c r="D555" s="3173">
        <v>31.83</v>
      </c>
      <c r="E555" s="3171" t="s">
        <v>3643</v>
      </c>
      <c r="F555" s="3171" t="s">
        <v>3453</v>
      </c>
      <c r="G555" s="3171">
        <v>-3</v>
      </c>
    </row>
    <row r="556" spans="1:7" ht="15" customHeight="1">
      <c r="A556" s="3557"/>
      <c r="B556" s="3171">
        <v>541</v>
      </c>
      <c r="C556" s="3171">
        <v>192</v>
      </c>
      <c r="D556" s="3173">
        <v>31.83</v>
      </c>
      <c r="E556" s="3171" t="s">
        <v>3643</v>
      </c>
      <c r="F556" s="3171" t="s">
        <v>3453</v>
      </c>
      <c r="G556" s="3171">
        <v>-3</v>
      </c>
    </row>
    <row r="557" spans="1:7" ht="15" customHeight="1">
      <c r="A557" s="3557"/>
      <c r="B557" s="3171">
        <v>542</v>
      </c>
      <c r="C557" s="3171">
        <v>193</v>
      </c>
      <c r="D557" s="3173">
        <v>31.83</v>
      </c>
      <c r="E557" s="3174" t="s">
        <v>3643</v>
      </c>
      <c r="F557" s="3171" t="s">
        <v>3453</v>
      </c>
      <c r="G557" s="3171">
        <v>-3</v>
      </c>
    </row>
    <row r="558" spans="1:7" ht="15" customHeight="1">
      <c r="A558" s="3557"/>
      <c r="B558" s="3171">
        <v>543</v>
      </c>
      <c r="C558" s="3171">
        <v>195</v>
      </c>
      <c r="D558" s="3173">
        <v>31.83</v>
      </c>
      <c r="E558" s="3174" t="s">
        <v>3643</v>
      </c>
      <c r="F558" s="3171" t="s">
        <v>3453</v>
      </c>
      <c r="G558" s="3171">
        <v>-3</v>
      </c>
    </row>
    <row r="559" spans="1:7" ht="15" customHeight="1">
      <c r="A559" s="3557"/>
      <c r="B559" s="3171">
        <v>544</v>
      </c>
      <c r="C559" s="3171">
        <v>196</v>
      </c>
      <c r="D559" s="3173">
        <v>31.83</v>
      </c>
      <c r="E559" s="3174" t="s">
        <v>3643</v>
      </c>
      <c r="F559" s="3171" t="s">
        <v>3453</v>
      </c>
      <c r="G559" s="3171">
        <v>-3</v>
      </c>
    </row>
    <row r="560" spans="1:7" ht="15" customHeight="1">
      <c r="A560" s="3557"/>
      <c r="B560" s="3171">
        <v>545</v>
      </c>
      <c r="C560" s="3171">
        <v>197</v>
      </c>
      <c r="D560" s="3173">
        <v>31.83</v>
      </c>
      <c r="E560" s="3174" t="s">
        <v>3643</v>
      </c>
      <c r="F560" s="3171" t="s">
        <v>3453</v>
      </c>
      <c r="G560" s="3171">
        <v>-3</v>
      </c>
    </row>
    <row r="561" spans="1:7" ht="15" customHeight="1">
      <c r="A561" s="3557"/>
      <c r="B561" s="3171">
        <v>546</v>
      </c>
      <c r="C561" s="3171">
        <v>198</v>
      </c>
      <c r="D561" s="3173">
        <v>31.83</v>
      </c>
      <c r="E561" s="3174" t="s">
        <v>3643</v>
      </c>
      <c r="F561" s="3171" t="s">
        <v>3453</v>
      </c>
      <c r="G561" s="3171">
        <v>-3</v>
      </c>
    </row>
    <row r="562" spans="1:7" ht="15" customHeight="1">
      <c r="A562" s="3557"/>
      <c r="B562" s="3171">
        <v>547</v>
      </c>
      <c r="C562" s="3171">
        <v>199</v>
      </c>
      <c r="D562" s="3173">
        <v>31.83</v>
      </c>
      <c r="E562" s="3174" t="s">
        <v>3643</v>
      </c>
      <c r="F562" s="3171" t="s">
        <v>3453</v>
      </c>
      <c r="G562" s="3171">
        <v>-3</v>
      </c>
    </row>
    <row r="563" spans="1:7" ht="15" customHeight="1">
      <c r="A563" s="3557"/>
      <c r="B563" s="3171">
        <v>548</v>
      </c>
      <c r="C563" s="3171">
        <v>200</v>
      </c>
      <c r="D563" s="3173">
        <v>31.83</v>
      </c>
      <c r="E563" s="3171" t="s">
        <v>3643</v>
      </c>
      <c r="F563" s="3171" t="s">
        <v>3453</v>
      </c>
      <c r="G563" s="3171">
        <v>-3</v>
      </c>
    </row>
    <row r="564" spans="1:7" ht="15" customHeight="1">
      <c r="A564" s="3557"/>
      <c r="B564" s="3171">
        <v>549</v>
      </c>
      <c r="C564" s="3171">
        <v>201</v>
      </c>
      <c r="D564" s="3173">
        <v>31.83</v>
      </c>
      <c r="E564" s="3171" t="s">
        <v>3643</v>
      </c>
      <c r="F564" s="3171" t="s">
        <v>3453</v>
      </c>
      <c r="G564" s="3171">
        <v>-3</v>
      </c>
    </row>
    <row r="565" spans="1:7" ht="15" customHeight="1">
      <c r="A565" s="3557"/>
      <c r="B565" s="3171">
        <v>550</v>
      </c>
      <c r="C565" s="3171">
        <v>202</v>
      </c>
      <c r="D565" s="3173">
        <v>31.83</v>
      </c>
      <c r="E565" s="3174" t="s">
        <v>3643</v>
      </c>
      <c r="F565" s="3171" t="s">
        <v>3453</v>
      </c>
      <c r="G565" s="3171">
        <v>-3</v>
      </c>
    </row>
    <row r="566" spans="1:7" ht="15" customHeight="1">
      <c r="A566" s="3557"/>
      <c r="B566" s="3171">
        <v>551</v>
      </c>
      <c r="C566" s="3171">
        <v>203</v>
      </c>
      <c r="D566" s="3173">
        <v>31.83</v>
      </c>
      <c r="E566" s="3174" t="s">
        <v>3643</v>
      </c>
      <c r="F566" s="3171" t="s">
        <v>3453</v>
      </c>
      <c r="G566" s="3171">
        <v>-3</v>
      </c>
    </row>
    <row r="567" spans="1:7" ht="15" customHeight="1">
      <c r="A567" s="3557"/>
      <c r="B567" s="3171">
        <v>552</v>
      </c>
      <c r="C567" s="3171">
        <v>205</v>
      </c>
      <c r="D567" s="3173">
        <v>31.83</v>
      </c>
      <c r="E567" s="3174" t="s">
        <v>3643</v>
      </c>
      <c r="F567" s="3171" t="s">
        <v>3453</v>
      </c>
      <c r="G567" s="3171">
        <v>-3</v>
      </c>
    </row>
    <row r="568" spans="1:7" ht="15" customHeight="1">
      <c r="A568" s="3557"/>
      <c r="B568" s="3171">
        <v>553</v>
      </c>
      <c r="C568" s="3171">
        <v>206</v>
      </c>
      <c r="D568" s="3173">
        <v>31.83</v>
      </c>
      <c r="E568" s="3174" t="s">
        <v>3643</v>
      </c>
      <c r="F568" s="3171" t="s">
        <v>3453</v>
      </c>
      <c r="G568" s="3171">
        <v>-3</v>
      </c>
    </row>
    <row r="569" spans="1:7" ht="15" customHeight="1">
      <c r="A569" s="3557"/>
      <c r="B569" s="3171">
        <v>554</v>
      </c>
      <c r="C569" s="3171">
        <v>207</v>
      </c>
      <c r="D569" s="3173">
        <v>31.83</v>
      </c>
      <c r="E569" s="3174" t="s">
        <v>3643</v>
      </c>
      <c r="F569" s="3171" t="s">
        <v>3453</v>
      </c>
      <c r="G569" s="3171">
        <v>-3</v>
      </c>
    </row>
    <row r="570" spans="1:7" ht="15" customHeight="1">
      <c r="A570" s="3557"/>
      <c r="B570" s="3171">
        <v>555</v>
      </c>
      <c r="C570" s="3171">
        <v>208</v>
      </c>
      <c r="D570" s="3173">
        <v>31.83</v>
      </c>
      <c r="E570" s="3174" t="s">
        <v>3643</v>
      </c>
      <c r="F570" s="3171" t="s">
        <v>3453</v>
      </c>
      <c r="G570" s="3171">
        <v>-3</v>
      </c>
    </row>
    <row r="571" spans="1:7" ht="15" customHeight="1">
      <c r="A571" s="3557"/>
      <c r="B571" s="3171">
        <v>556</v>
      </c>
      <c r="C571" s="3171">
        <v>209</v>
      </c>
      <c r="D571" s="3173">
        <v>31.83</v>
      </c>
      <c r="E571" s="3174" t="s">
        <v>3643</v>
      </c>
      <c r="F571" s="3171" t="s">
        <v>3453</v>
      </c>
      <c r="G571" s="3171">
        <v>-3</v>
      </c>
    </row>
    <row r="572" spans="1:7" ht="15" customHeight="1">
      <c r="A572" s="3557"/>
      <c r="B572" s="3171">
        <v>557</v>
      </c>
      <c r="C572" s="3171">
        <v>210</v>
      </c>
      <c r="D572" s="3173">
        <v>31.83</v>
      </c>
      <c r="E572" s="3174" t="s">
        <v>3643</v>
      </c>
      <c r="F572" s="3171" t="s">
        <v>3453</v>
      </c>
      <c r="G572" s="3171">
        <v>-3</v>
      </c>
    </row>
    <row r="573" spans="1:7" ht="15" customHeight="1">
      <c r="A573" s="3557"/>
      <c r="B573" s="3171">
        <v>558</v>
      </c>
      <c r="C573" s="3171">
        <v>211</v>
      </c>
      <c r="D573" s="3173">
        <v>31.83</v>
      </c>
      <c r="E573" s="3171" t="s">
        <v>3643</v>
      </c>
      <c r="F573" s="3171" t="s">
        <v>3453</v>
      </c>
      <c r="G573" s="3171">
        <v>-3</v>
      </c>
    </row>
    <row r="574" spans="1:7" ht="15" customHeight="1">
      <c r="A574" s="3557"/>
      <c r="B574" s="3171">
        <v>559</v>
      </c>
      <c r="C574" s="3171">
        <v>212</v>
      </c>
      <c r="D574" s="3173">
        <v>31.83</v>
      </c>
      <c r="E574" s="3171" t="s">
        <v>3643</v>
      </c>
      <c r="F574" s="3171" t="s">
        <v>3453</v>
      </c>
      <c r="G574" s="3171">
        <v>-3</v>
      </c>
    </row>
    <row r="575" spans="1:7" ht="15" customHeight="1">
      <c r="A575" s="3557"/>
      <c r="B575" s="3171">
        <v>560</v>
      </c>
      <c r="C575" s="3171">
        <v>217</v>
      </c>
      <c r="D575" s="3173">
        <v>31.83</v>
      </c>
      <c r="E575" s="3171" t="s">
        <v>3643</v>
      </c>
      <c r="F575" s="3171" t="s">
        <v>3453</v>
      </c>
      <c r="G575" s="3171">
        <v>-3</v>
      </c>
    </row>
    <row r="576" spans="1:7" ht="15" customHeight="1">
      <c r="A576" s="3557"/>
      <c r="B576" s="3171">
        <v>561</v>
      </c>
      <c r="C576" s="3171">
        <v>218</v>
      </c>
      <c r="D576" s="3173">
        <v>31.83</v>
      </c>
      <c r="E576" s="3174" t="s">
        <v>3643</v>
      </c>
      <c r="F576" s="3171" t="s">
        <v>3453</v>
      </c>
      <c r="G576" s="3171">
        <v>-3</v>
      </c>
    </row>
    <row r="577" spans="1:7" ht="15" customHeight="1">
      <c r="A577" s="3557"/>
      <c r="B577" s="3171">
        <v>562</v>
      </c>
      <c r="C577" s="3171">
        <v>219</v>
      </c>
      <c r="D577" s="3173">
        <v>31.83</v>
      </c>
      <c r="E577" s="3171" t="s">
        <v>3643</v>
      </c>
      <c r="F577" s="3171" t="s">
        <v>3453</v>
      </c>
      <c r="G577" s="3171">
        <v>-3</v>
      </c>
    </row>
    <row r="578" spans="1:7" ht="15" customHeight="1">
      <c r="A578" s="3557"/>
      <c r="B578" s="3171">
        <v>563</v>
      </c>
      <c r="C578" s="3171">
        <v>220</v>
      </c>
      <c r="D578" s="3173">
        <v>31.83</v>
      </c>
      <c r="E578" s="3171" t="s">
        <v>3643</v>
      </c>
      <c r="F578" s="3171" t="s">
        <v>3453</v>
      </c>
      <c r="G578" s="3171">
        <v>-3</v>
      </c>
    </row>
    <row r="579" spans="1:7" ht="15" customHeight="1">
      <c r="A579" s="3557"/>
      <c r="B579" s="3171">
        <v>564</v>
      </c>
      <c r="C579" s="3171">
        <v>221</v>
      </c>
      <c r="D579" s="3173">
        <v>31.83</v>
      </c>
      <c r="E579" s="3171" t="s">
        <v>3643</v>
      </c>
      <c r="F579" s="3171" t="s">
        <v>3453</v>
      </c>
      <c r="G579" s="3171">
        <v>-3</v>
      </c>
    </row>
    <row r="580" spans="1:7" ht="15" customHeight="1">
      <c r="A580" s="3557"/>
      <c r="B580" s="3171">
        <v>565</v>
      </c>
      <c r="C580" s="3171">
        <v>222</v>
      </c>
      <c r="D580" s="3173">
        <v>31.83</v>
      </c>
      <c r="E580" s="3171" t="s">
        <v>3643</v>
      </c>
      <c r="F580" s="3171" t="s">
        <v>3453</v>
      </c>
      <c r="G580" s="3171">
        <v>-3</v>
      </c>
    </row>
    <row r="581" spans="1:7" ht="15" customHeight="1">
      <c r="A581" s="3557"/>
      <c r="B581" s="3171">
        <v>566</v>
      </c>
      <c r="C581" s="3171">
        <v>223</v>
      </c>
      <c r="D581" s="3173">
        <v>31.83</v>
      </c>
      <c r="E581" s="3171" t="s">
        <v>3643</v>
      </c>
      <c r="F581" s="3171" t="s">
        <v>3453</v>
      </c>
      <c r="G581" s="3171">
        <v>-3</v>
      </c>
    </row>
    <row r="582" spans="1:7" ht="15" customHeight="1">
      <c r="A582" s="3557"/>
      <c r="B582" s="3171">
        <v>567</v>
      </c>
      <c r="C582" s="3171">
        <v>225</v>
      </c>
      <c r="D582" s="3173">
        <v>31.83</v>
      </c>
      <c r="E582" s="3171" t="s">
        <v>3643</v>
      </c>
      <c r="F582" s="3171" t="s">
        <v>3453</v>
      </c>
      <c r="G582" s="3171">
        <v>-3</v>
      </c>
    </row>
    <row r="583" spans="1:7" ht="15" customHeight="1">
      <c r="A583" s="3557"/>
      <c r="B583" s="3171">
        <v>568</v>
      </c>
      <c r="C583" s="3171">
        <v>226</v>
      </c>
      <c r="D583" s="3173">
        <v>31.83</v>
      </c>
      <c r="E583" s="3174" t="s">
        <v>3643</v>
      </c>
      <c r="F583" s="3171" t="s">
        <v>3453</v>
      </c>
      <c r="G583" s="3171">
        <v>-3</v>
      </c>
    </row>
    <row r="584" spans="1:7" ht="15" customHeight="1">
      <c r="A584" s="3557"/>
      <c r="B584" s="3171">
        <v>569</v>
      </c>
      <c r="C584" s="3171">
        <v>227</v>
      </c>
      <c r="D584" s="3173">
        <v>31.83</v>
      </c>
      <c r="E584" s="3174" t="s">
        <v>3643</v>
      </c>
      <c r="F584" s="3171" t="s">
        <v>3453</v>
      </c>
      <c r="G584" s="3171">
        <v>-3</v>
      </c>
    </row>
    <row r="585" spans="1:7" ht="15" customHeight="1">
      <c r="A585" s="3557"/>
      <c r="B585" s="3171">
        <v>570</v>
      </c>
      <c r="C585" s="3171">
        <v>228</v>
      </c>
      <c r="D585" s="3173">
        <v>31.83</v>
      </c>
      <c r="E585" s="3174" t="s">
        <v>3643</v>
      </c>
      <c r="F585" s="3171" t="s">
        <v>3453</v>
      </c>
      <c r="G585" s="3171">
        <v>-3</v>
      </c>
    </row>
    <row r="586" spans="1:7" ht="15" customHeight="1">
      <c r="A586" s="3557"/>
      <c r="B586" s="3171">
        <v>571</v>
      </c>
      <c r="C586" s="3171">
        <v>229</v>
      </c>
      <c r="D586" s="3173">
        <v>31.83</v>
      </c>
      <c r="E586" s="3174" t="s">
        <v>3643</v>
      </c>
      <c r="F586" s="3171" t="s">
        <v>3453</v>
      </c>
      <c r="G586" s="3171">
        <v>-3</v>
      </c>
    </row>
    <row r="587" spans="1:7" ht="15" customHeight="1">
      <c r="A587" s="3557"/>
      <c r="B587" s="3171">
        <v>572</v>
      </c>
      <c r="C587" s="3171">
        <v>230</v>
      </c>
      <c r="D587" s="3173">
        <v>31.83</v>
      </c>
      <c r="E587" s="3174" t="s">
        <v>3643</v>
      </c>
      <c r="F587" s="3171" t="s">
        <v>3453</v>
      </c>
      <c r="G587" s="3171">
        <v>-3</v>
      </c>
    </row>
    <row r="588" spans="1:7" ht="15" customHeight="1">
      <c r="A588" s="3557"/>
      <c r="B588" s="3171">
        <v>573</v>
      </c>
      <c r="C588" s="3171">
        <v>231</v>
      </c>
      <c r="D588" s="3173">
        <v>31.83</v>
      </c>
      <c r="E588" s="3174" t="s">
        <v>3643</v>
      </c>
      <c r="F588" s="3171" t="s">
        <v>3453</v>
      </c>
      <c r="G588" s="3171">
        <v>-3</v>
      </c>
    </row>
    <row r="589" spans="1:7" ht="15" customHeight="1">
      <c r="A589" s="3557"/>
      <c r="B589" s="3171">
        <v>574</v>
      </c>
      <c r="C589" s="3171">
        <v>232</v>
      </c>
      <c r="D589" s="3173">
        <v>31.83</v>
      </c>
      <c r="E589" s="3174" t="s">
        <v>3643</v>
      </c>
      <c r="F589" s="3171" t="s">
        <v>3453</v>
      </c>
      <c r="G589" s="3171">
        <v>-3</v>
      </c>
    </row>
    <row r="590" spans="1:7" ht="15" customHeight="1">
      <c r="A590" s="3557"/>
      <c r="B590" s="3171">
        <v>575</v>
      </c>
      <c r="C590" s="3171">
        <v>233</v>
      </c>
      <c r="D590" s="3173">
        <v>31.83</v>
      </c>
      <c r="E590" s="3174" t="s">
        <v>3643</v>
      </c>
      <c r="F590" s="3171" t="s">
        <v>3453</v>
      </c>
      <c r="G590" s="3171">
        <v>-3</v>
      </c>
    </row>
    <row r="591" spans="1:7" ht="15" customHeight="1">
      <c r="A591" s="3557"/>
      <c r="B591" s="3171">
        <v>576</v>
      </c>
      <c r="C591" s="3171">
        <v>235</v>
      </c>
      <c r="D591" s="3173">
        <v>31.83</v>
      </c>
      <c r="E591" s="3171" t="s">
        <v>3643</v>
      </c>
      <c r="F591" s="3171" t="s">
        <v>3453</v>
      </c>
      <c r="G591" s="3171">
        <v>-3</v>
      </c>
    </row>
    <row r="592" spans="1:7" ht="15" customHeight="1">
      <c r="A592" s="3557"/>
      <c r="B592" s="3171">
        <v>577</v>
      </c>
      <c r="C592" s="3171">
        <v>236</v>
      </c>
      <c r="D592" s="3173">
        <v>31.83</v>
      </c>
      <c r="E592" s="3171" t="s">
        <v>3643</v>
      </c>
      <c r="F592" s="3171" t="s">
        <v>3453</v>
      </c>
      <c r="G592" s="3171">
        <v>-3</v>
      </c>
    </row>
    <row r="593" spans="1:7" ht="15" customHeight="1">
      <c r="A593" s="3557"/>
      <c r="B593" s="3171">
        <v>578</v>
      </c>
      <c r="C593" s="3171">
        <v>237</v>
      </c>
      <c r="D593" s="3173">
        <v>34.49</v>
      </c>
      <c r="E593" s="3171" t="s">
        <v>3643</v>
      </c>
      <c r="F593" s="3171" t="s">
        <v>3453</v>
      </c>
      <c r="G593" s="3171">
        <v>-3</v>
      </c>
    </row>
    <row r="594" spans="1:7" ht="15" customHeight="1">
      <c r="A594" s="3557"/>
      <c r="B594" s="3171">
        <v>579</v>
      </c>
      <c r="C594" s="3171">
        <v>238</v>
      </c>
      <c r="D594" s="3173">
        <v>34.49</v>
      </c>
      <c r="E594" s="3171" t="s">
        <v>3643</v>
      </c>
      <c r="F594" s="3171" t="s">
        <v>3453</v>
      </c>
      <c r="G594" s="3171">
        <v>-3</v>
      </c>
    </row>
    <row r="595" spans="1:7" ht="15" customHeight="1">
      <c r="A595" s="3557"/>
      <c r="B595" s="3171">
        <v>580</v>
      </c>
      <c r="C595" s="3171">
        <v>239</v>
      </c>
      <c r="D595" s="3173">
        <v>34.49</v>
      </c>
      <c r="E595" s="3171" t="s">
        <v>3643</v>
      </c>
      <c r="F595" s="3171" t="s">
        <v>3453</v>
      </c>
      <c r="G595" s="3171">
        <v>-3</v>
      </c>
    </row>
    <row r="596" spans="1:7" ht="15" customHeight="1">
      <c r="A596" s="3557"/>
      <c r="B596" s="3171">
        <v>581</v>
      </c>
      <c r="C596" s="3171">
        <v>240</v>
      </c>
      <c r="D596" s="3173">
        <v>31.83</v>
      </c>
      <c r="E596" s="3171" t="s">
        <v>3643</v>
      </c>
      <c r="F596" s="3171" t="s">
        <v>3453</v>
      </c>
      <c r="G596" s="3171">
        <v>-3</v>
      </c>
    </row>
    <row r="597" spans="1:7" ht="15" customHeight="1">
      <c r="A597" s="3557"/>
      <c r="B597" s="3171">
        <v>582</v>
      </c>
      <c r="C597" s="3171">
        <v>241</v>
      </c>
      <c r="D597" s="3173">
        <v>34.49</v>
      </c>
      <c r="E597" s="3171" t="s">
        <v>3643</v>
      </c>
      <c r="F597" s="3171" t="s">
        <v>3453</v>
      </c>
      <c r="G597" s="3171">
        <v>-3</v>
      </c>
    </row>
    <row r="598" spans="1:7" ht="15" customHeight="1">
      <c r="A598" s="3557"/>
      <c r="B598" s="3171">
        <v>583</v>
      </c>
      <c r="C598" s="3171">
        <v>242</v>
      </c>
      <c r="D598" s="3173">
        <v>34.49</v>
      </c>
      <c r="E598" s="3171" t="s">
        <v>3643</v>
      </c>
      <c r="F598" s="3171" t="s">
        <v>3453</v>
      </c>
      <c r="G598" s="3171">
        <v>-3</v>
      </c>
    </row>
    <row r="599" spans="1:7" ht="15" customHeight="1">
      <c r="A599" s="3557"/>
      <c r="B599" s="3171">
        <v>584</v>
      </c>
      <c r="C599" s="3171">
        <v>243</v>
      </c>
      <c r="D599" s="3173">
        <v>34.49</v>
      </c>
      <c r="E599" s="3174" t="s">
        <v>3643</v>
      </c>
      <c r="F599" s="3171" t="s">
        <v>3453</v>
      </c>
      <c r="G599" s="3171">
        <v>-3</v>
      </c>
    </row>
    <row r="600" spans="1:7" ht="15" customHeight="1">
      <c r="A600" s="3557"/>
      <c r="B600" s="3171">
        <v>585</v>
      </c>
      <c r="C600" s="3171">
        <v>245</v>
      </c>
      <c r="D600" s="3173">
        <v>43.77</v>
      </c>
      <c r="E600" s="3171" t="s">
        <v>3643</v>
      </c>
      <c r="F600" s="3171" t="s">
        <v>3453</v>
      </c>
      <c r="G600" s="3171">
        <v>-3</v>
      </c>
    </row>
    <row r="601" spans="1:7" ht="15" customHeight="1">
      <c r="A601" s="3557"/>
      <c r="B601" s="3171">
        <v>586</v>
      </c>
      <c r="C601" s="3171">
        <v>246</v>
      </c>
      <c r="D601" s="3173">
        <v>31.83</v>
      </c>
      <c r="E601" s="3174" t="s">
        <v>3643</v>
      </c>
      <c r="F601" s="3171" t="s">
        <v>3453</v>
      </c>
      <c r="G601" s="3171">
        <v>-3</v>
      </c>
    </row>
    <row r="602" spans="1:7" ht="15" customHeight="1">
      <c r="A602" s="3557"/>
      <c r="B602" s="3171">
        <v>587</v>
      </c>
      <c r="C602" s="3171">
        <v>247</v>
      </c>
      <c r="D602" s="3173">
        <v>31.83</v>
      </c>
      <c r="E602" s="3174" t="s">
        <v>3643</v>
      </c>
      <c r="F602" s="3171" t="s">
        <v>3453</v>
      </c>
      <c r="G602" s="3171">
        <v>-3</v>
      </c>
    </row>
    <row r="603" spans="1:7" ht="15" customHeight="1">
      <c r="A603" s="3557"/>
      <c r="B603" s="3171">
        <v>588</v>
      </c>
      <c r="C603" s="3171">
        <v>248</v>
      </c>
      <c r="D603" s="3173">
        <v>31.83</v>
      </c>
      <c r="E603" s="3174" t="s">
        <v>3643</v>
      </c>
      <c r="F603" s="3171" t="s">
        <v>3453</v>
      </c>
      <c r="G603" s="3171">
        <v>-3</v>
      </c>
    </row>
    <row r="604" spans="1:7" ht="15" customHeight="1">
      <c r="A604" s="3557"/>
      <c r="B604" s="3171">
        <v>589</v>
      </c>
      <c r="C604" s="3171">
        <v>249</v>
      </c>
      <c r="D604" s="3173">
        <v>31.83</v>
      </c>
      <c r="E604" s="3174" t="s">
        <v>3643</v>
      </c>
      <c r="F604" s="3171" t="s">
        <v>3453</v>
      </c>
      <c r="G604" s="3171">
        <v>-3</v>
      </c>
    </row>
    <row r="605" spans="1:7" ht="15" customHeight="1">
      <c r="A605" s="3557"/>
      <c r="B605" s="3171">
        <v>590</v>
      </c>
      <c r="C605" s="3171">
        <v>250</v>
      </c>
      <c r="D605" s="3173">
        <v>31.83</v>
      </c>
      <c r="E605" s="3174" t="s">
        <v>3643</v>
      </c>
      <c r="F605" s="3171" t="s">
        <v>3453</v>
      </c>
      <c r="G605" s="3171">
        <v>-3</v>
      </c>
    </row>
    <row r="606" spans="1:7" ht="15" customHeight="1">
      <c r="A606" s="3557"/>
      <c r="B606" s="3171">
        <v>591</v>
      </c>
      <c r="C606" s="3171">
        <v>251</v>
      </c>
      <c r="D606" s="3173">
        <v>31.83</v>
      </c>
      <c r="E606" s="3174" t="s">
        <v>3643</v>
      </c>
      <c r="F606" s="3171" t="s">
        <v>3453</v>
      </c>
      <c r="G606" s="3171">
        <v>-3</v>
      </c>
    </row>
    <row r="607" spans="1:7" ht="15" customHeight="1">
      <c r="A607" s="3557"/>
      <c r="B607" s="3171">
        <v>592</v>
      </c>
      <c r="C607" s="3171">
        <v>253</v>
      </c>
      <c r="D607" s="3173">
        <v>31.83</v>
      </c>
      <c r="E607" s="3174" t="s">
        <v>3643</v>
      </c>
      <c r="F607" s="3171" t="s">
        <v>3453</v>
      </c>
      <c r="G607" s="3171">
        <v>-3</v>
      </c>
    </row>
    <row r="608" spans="1:7" ht="15" customHeight="1">
      <c r="A608" s="3557"/>
      <c r="B608" s="3171">
        <v>593</v>
      </c>
      <c r="C608" s="3171">
        <v>255</v>
      </c>
      <c r="D608" s="3173">
        <v>31.83</v>
      </c>
      <c r="E608" s="3171" t="s">
        <v>3643</v>
      </c>
      <c r="F608" s="3171" t="s">
        <v>3453</v>
      </c>
      <c r="G608" s="3171">
        <v>-3</v>
      </c>
    </row>
    <row r="609" spans="1:7" ht="15" customHeight="1">
      <c r="A609" s="3557"/>
      <c r="B609" s="3171">
        <v>594</v>
      </c>
      <c r="C609" s="3171">
        <v>256</v>
      </c>
      <c r="D609" s="3173">
        <v>31.83</v>
      </c>
      <c r="E609" s="3171" t="s">
        <v>3643</v>
      </c>
      <c r="F609" s="3171" t="s">
        <v>3453</v>
      </c>
      <c r="G609" s="3171">
        <v>-3</v>
      </c>
    </row>
    <row r="610" spans="1:7" ht="15" customHeight="1">
      <c r="A610" s="3557"/>
      <c r="B610" s="3171">
        <v>595</v>
      </c>
      <c r="C610" s="3175">
        <v>257</v>
      </c>
      <c r="D610" s="3173">
        <v>31.83</v>
      </c>
      <c r="E610" s="3171" t="s">
        <v>3643</v>
      </c>
      <c r="F610" s="3171" t="s">
        <v>3453</v>
      </c>
      <c r="G610" s="3171">
        <v>-3</v>
      </c>
    </row>
    <row r="611" spans="1:7" ht="15" customHeight="1">
      <c r="A611" s="3557"/>
      <c r="B611" s="3171">
        <v>596</v>
      </c>
      <c r="C611" s="3175">
        <v>258</v>
      </c>
      <c r="D611" s="3173">
        <v>31.83</v>
      </c>
      <c r="E611" s="3171" t="s">
        <v>3643</v>
      </c>
      <c r="F611" s="3171" t="s">
        <v>3453</v>
      </c>
      <c r="G611" s="3171">
        <v>-3</v>
      </c>
    </row>
    <row r="612" spans="1:7" ht="15" customHeight="1">
      <c r="A612" s="3557"/>
      <c r="B612" s="3171">
        <v>597</v>
      </c>
      <c r="C612" s="3171">
        <v>259</v>
      </c>
      <c r="D612" s="3173">
        <v>31.83</v>
      </c>
      <c r="E612" s="3171" t="s">
        <v>3643</v>
      </c>
      <c r="F612" s="3171" t="s">
        <v>3453</v>
      </c>
      <c r="G612" s="3171">
        <v>-3</v>
      </c>
    </row>
    <row r="613" spans="1:7" ht="15" customHeight="1">
      <c r="A613" s="3557"/>
      <c r="B613" s="3171">
        <v>598</v>
      </c>
      <c r="C613" s="3171">
        <v>260</v>
      </c>
      <c r="D613" s="3173">
        <v>32.43</v>
      </c>
      <c r="E613" s="3171" t="s">
        <v>3643</v>
      </c>
      <c r="F613" s="3171" t="s">
        <v>3453</v>
      </c>
      <c r="G613" s="3171">
        <v>-3</v>
      </c>
    </row>
    <row r="614" spans="1:7" ht="15" customHeight="1">
      <c r="A614" s="3557"/>
      <c r="B614" s="3171">
        <v>599</v>
      </c>
      <c r="C614" s="3171">
        <v>261</v>
      </c>
      <c r="D614" s="3173">
        <v>31.83</v>
      </c>
      <c r="E614" s="3171" t="s">
        <v>3643</v>
      </c>
      <c r="F614" s="3171" t="s">
        <v>3453</v>
      </c>
      <c r="G614" s="3171">
        <v>-3</v>
      </c>
    </row>
    <row r="615" spans="1:7" ht="15" customHeight="1">
      <c r="A615" s="3557"/>
      <c r="B615" s="3171">
        <v>600</v>
      </c>
      <c r="C615" s="3171">
        <v>262</v>
      </c>
      <c r="D615" s="3173">
        <v>31.83</v>
      </c>
      <c r="E615" s="3171" t="s">
        <v>3643</v>
      </c>
      <c r="F615" s="3171" t="s">
        <v>3453</v>
      </c>
      <c r="G615" s="3171">
        <v>-3</v>
      </c>
    </row>
    <row r="616" spans="1:7" ht="15" customHeight="1">
      <c r="A616" s="3557"/>
      <c r="B616" s="3171">
        <v>601</v>
      </c>
      <c r="C616" s="3171">
        <v>263</v>
      </c>
      <c r="D616" s="3173">
        <v>31.83</v>
      </c>
      <c r="E616" s="3171" t="s">
        <v>3643</v>
      </c>
      <c r="F616" s="3171" t="s">
        <v>3453</v>
      </c>
      <c r="G616" s="3171">
        <v>-3</v>
      </c>
    </row>
    <row r="617" spans="1:7" ht="15" customHeight="1">
      <c r="A617" s="3557"/>
      <c r="B617" s="3171">
        <v>602</v>
      </c>
      <c r="C617" s="3171">
        <v>265</v>
      </c>
      <c r="D617" s="3173">
        <v>31.83</v>
      </c>
      <c r="E617" s="3171" t="s">
        <v>3643</v>
      </c>
      <c r="F617" s="3171" t="s">
        <v>3453</v>
      </c>
      <c r="G617" s="3171">
        <v>-3</v>
      </c>
    </row>
    <row r="618" spans="1:7" ht="15" customHeight="1">
      <c r="A618" s="3557"/>
      <c r="B618" s="3171">
        <v>603</v>
      </c>
      <c r="C618" s="3171">
        <v>266</v>
      </c>
      <c r="D618" s="3173">
        <v>31.83</v>
      </c>
      <c r="E618" s="3171" t="s">
        <v>3643</v>
      </c>
      <c r="F618" s="3171" t="s">
        <v>3453</v>
      </c>
      <c r="G618" s="3171">
        <v>-3</v>
      </c>
    </row>
    <row r="619" spans="1:7" ht="15" customHeight="1">
      <c r="A619" s="3557"/>
      <c r="B619" s="3171">
        <v>604</v>
      </c>
      <c r="C619" s="3171">
        <v>267</v>
      </c>
      <c r="D619" s="3173">
        <v>31.83</v>
      </c>
      <c r="E619" s="3171" t="s">
        <v>3643</v>
      </c>
      <c r="F619" s="3171" t="s">
        <v>3453</v>
      </c>
      <c r="G619" s="3171">
        <v>-3</v>
      </c>
    </row>
    <row r="620" spans="1:7" ht="15" customHeight="1">
      <c r="A620" s="3557"/>
      <c r="B620" s="3171">
        <v>605</v>
      </c>
      <c r="C620" s="3171">
        <v>268</v>
      </c>
      <c r="D620" s="3173">
        <v>31.83</v>
      </c>
      <c r="E620" s="3171" t="s">
        <v>3643</v>
      </c>
      <c r="F620" s="3171" t="s">
        <v>3453</v>
      </c>
      <c r="G620" s="3171">
        <v>-3</v>
      </c>
    </row>
    <row r="621" spans="1:7" ht="15" customHeight="1">
      <c r="A621" s="3557"/>
      <c r="B621" s="3171">
        <v>606</v>
      </c>
      <c r="C621" s="3171">
        <v>269</v>
      </c>
      <c r="D621" s="3173">
        <v>31.83</v>
      </c>
      <c r="E621" s="3171" t="s">
        <v>3643</v>
      </c>
      <c r="F621" s="3171" t="s">
        <v>3453</v>
      </c>
      <c r="G621" s="3171">
        <v>-3</v>
      </c>
    </row>
    <row r="622" spans="1:7" ht="15" customHeight="1">
      <c r="A622" s="3557"/>
      <c r="B622" s="3171">
        <v>607</v>
      </c>
      <c r="C622" s="3171">
        <v>270</v>
      </c>
      <c r="D622" s="3173">
        <v>31.83</v>
      </c>
      <c r="E622" s="3171" t="s">
        <v>3643</v>
      </c>
      <c r="F622" s="3171" t="s">
        <v>3453</v>
      </c>
      <c r="G622" s="3171">
        <v>-3</v>
      </c>
    </row>
    <row r="623" spans="1:7" ht="15" customHeight="1">
      <c r="A623" s="3557"/>
      <c r="B623" s="3171">
        <v>608</v>
      </c>
      <c r="C623" s="3171">
        <v>271</v>
      </c>
      <c r="D623" s="3173">
        <v>31.83</v>
      </c>
      <c r="E623" s="3171" t="s">
        <v>3643</v>
      </c>
      <c r="F623" s="3171" t="s">
        <v>3453</v>
      </c>
      <c r="G623" s="3171">
        <v>-3</v>
      </c>
    </row>
    <row r="624" spans="1:7" ht="15" customHeight="1">
      <c r="A624" s="3557"/>
      <c r="B624" s="3171">
        <v>609</v>
      </c>
      <c r="C624" s="3171">
        <v>272</v>
      </c>
      <c r="D624" s="3173">
        <v>31.83</v>
      </c>
      <c r="E624" s="3171" t="s">
        <v>3643</v>
      </c>
      <c r="F624" s="3171" t="s">
        <v>3453</v>
      </c>
      <c r="G624" s="3171">
        <v>-3</v>
      </c>
    </row>
    <row r="625" spans="1:7" ht="15" customHeight="1">
      <c r="A625" s="3557"/>
      <c r="B625" s="3171">
        <v>610</v>
      </c>
      <c r="C625" s="3171">
        <v>273</v>
      </c>
      <c r="D625" s="3173">
        <v>31.83</v>
      </c>
      <c r="E625" s="3171" t="s">
        <v>3643</v>
      </c>
      <c r="F625" s="3171" t="s">
        <v>3453</v>
      </c>
      <c r="G625" s="3171">
        <v>-3</v>
      </c>
    </row>
    <row r="626" spans="1:7" ht="15" customHeight="1">
      <c r="A626" s="3557"/>
      <c r="B626" s="3171">
        <v>611</v>
      </c>
      <c r="C626" s="3171">
        <v>275</v>
      </c>
      <c r="D626" s="3173">
        <v>31.83</v>
      </c>
      <c r="E626" s="3171" t="s">
        <v>3643</v>
      </c>
      <c r="F626" s="3171" t="s">
        <v>3453</v>
      </c>
      <c r="G626" s="3171">
        <v>-3</v>
      </c>
    </row>
    <row r="627" spans="1:7" ht="15" customHeight="1">
      <c r="A627" s="3557"/>
      <c r="B627" s="3171">
        <v>612</v>
      </c>
      <c r="C627" s="3171">
        <v>276</v>
      </c>
      <c r="D627" s="3173">
        <v>31.83</v>
      </c>
      <c r="E627" s="3171" t="s">
        <v>3643</v>
      </c>
      <c r="F627" s="3171" t="s">
        <v>3453</v>
      </c>
      <c r="G627" s="3171">
        <v>-3</v>
      </c>
    </row>
    <row r="628" spans="1:7" ht="15" customHeight="1">
      <c r="A628" s="3557"/>
      <c r="B628" s="3171">
        <v>613</v>
      </c>
      <c r="C628" s="3171">
        <v>277</v>
      </c>
      <c r="D628" s="3173">
        <v>31.83</v>
      </c>
      <c r="E628" s="3171" t="s">
        <v>3643</v>
      </c>
      <c r="F628" s="3171" t="s">
        <v>3453</v>
      </c>
      <c r="G628" s="3171">
        <v>-3</v>
      </c>
    </row>
    <row r="629" spans="1:7" ht="15" customHeight="1">
      <c r="A629" s="3557"/>
      <c r="B629" s="3171">
        <v>614</v>
      </c>
      <c r="C629" s="3171">
        <v>278</v>
      </c>
      <c r="D629" s="3173">
        <v>31.83</v>
      </c>
      <c r="E629" s="3171" t="s">
        <v>3643</v>
      </c>
      <c r="F629" s="3171" t="s">
        <v>3453</v>
      </c>
      <c r="G629" s="3171">
        <v>-3</v>
      </c>
    </row>
    <row r="630" spans="1:7" ht="15" customHeight="1">
      <c r="A630" s="3557"/>
      <c r="B630" s="3171">
        <v>615</v>
      </c>
      <c r="C630" s="3171">
        <v>279</v>
      </c>
      <c r="D630" s="3173">
        <v>39.04</v>
      </c>
      <c r="E630" s="3171" t="s">
        <v>3643</v>
      </c>
      <c r="F630" s="3171" t="s">
        <v>3453</v>
      </c>
      <c r="G630" s="3171">
        <v>-3</v>
      </c>
    </row>
    <row r="631" spans="1:7" ht="15" customHeight="1">
      <c r="A631" s="3557"/>
      <c r="B631" s="3171">
        <v>616</v>
      </c>
      <c r="C631" s="3171">
        <v>280</v>
      </c>
      <c r="D631" s="3173">
        <v>39.04</v>
      </c>
      <c r="E631" s="3171" t="s">
        <v>3643</v>
      </c>
      <c r="F631" s="3171" t="s">
        <v>3453</v>
      </c>
      <c r="G631" s="3171">
        <v>-3</v>
      </c>
    </row>
    <row r="632" spans="1:7" ht="15" customHeight="1">
      <c r="A632" s="3557"/>
      <c r="B632" s="3171">
        <v>617</v>
      </c>
      <c r="C632" s="3171">
        <v>282</v>
      </c>
      <c r="D632" s="3173">
        <v>31.83</v>
      </c>
      <c r="E632" s="3171" t="s">
        <v>3643</v>
      </c>
      <c r="F632" s="3171" t="s">
        <v>3453</v>
      </c>
      <c r="G632" s="3171">
        <v>-3</v>
      </c>
    </row>
    <row r="633" spans="1:7" ht="15" customHeight="1">
      <c r="A633" s="3557"/>
      <c r="B633" s="3171">
        <v>618</v>
      </c>
      <c r="C633" s="3171">
        <v>283</v>
      </c>
      <c r="D633" s="3173">
        <v>31.83</v>
      </c>
      <c r="E633" s="3171" t="s">
        <v>3643</v>
      </c>
      <c r="F633" s="3171" t="s">
        <v>3453</v>
      </c>
      <c r="G633" s="3171">
        <v>-3</v>
      </c>
    </row>
    <row r="634" spans="1:7" ht="15" customHeight="1">
      <c r="A634" s="3557"/>
      <c r="B634" s="3171">
        <v>619</v>
      </c>
      <c r="C634" s="3171">
        <v>285</v>
      </c>
      <c r="D634" s="3173">
        <v>31.83</v>
      </c>
      <c r="E634" s="3171" t="s">
        <v>3643</v>
      </c>
      <c r="F634" s="3171" t="s">
        <v>3453</v>
      </c>
      <c r="G634" s="3171">
        <v>-3</v>
      </c>
    </row>
    <row r="635" spans="1:7" ht="15" customHeight="1">
      <c r="A635" s="3557"/>
      <c r="B635" s="3171">
        <v>620</v>
      </c>
      <c r="C635" s="3171">
        <v>287</v>
      </c>
      <c r="D635" s="3173">
        <v>39.04</v>
      </c>
      <c r="E635" s="3171" t="s">
        <v>3643</v>
      </c>
      <c r="F635" s="3171" t="s">
        <v>3453</v>
      </c>
      <c r="G635" s="3171">
        <v>-3</v>
      </c>
    </row>
    <row r="636" spans="1:7" ht="15" customHeight="1">
      <c r="A636" s="3557"/>
      <c r="B636" s="3171">
        <v>621</v>
      </c>
      <c r="C636" s="3171">
        <v>288</v>
      </c>
      <c r="D636" s="3173">
        <v>31.83</v>
      </c>
      <c r="E636" s="3171" t="s">
        <v>3643</v>
      </c>
      <c r="F636" s="3171" t="s">
        <v>3453</v>
      </c>
      <c r="G636" s="3171">
        <v>-3</v>
      </c>
    </row>
    <row r="637" spans="1:7" ht="15" customHeight="1">
      <c r="A637" s="3557"/>
      <c r="B637" s="3171">
        <v>622</v>
      </c>
      <c r="C637" s="3171">
        <v>289</v>
      </c>
      <c r="D637" s="3173">
        <v>31.83</v>
      </c>
      <c r="E637" s="3171" t="s">
        <v>3643</v>
      </c>
      <c r="F637" s="3171" t="s">
        <v>3453</v>
      </c>
      <c r="G637" s="3171">
        <v>-3</v>
      </c>
    </row>
    <row r="638" spans="1:7" ht="15" customHeight="1">
      <c r="A638" s="3557"/>
      <c r="B638" s="3171">
        <v>623</v>
      </c>
      <c r="C638" s="3171">
        <v>290</v>
      </c>
      <c r="D638" s="3173">
        <v>31.83</v>
      </c>
      <c r="E638" s="3171" t="s">
        <v>3643</v>
      </c>
      <c r="F638" s="3171" t="s">
        <v>3453</v>
      </c>
      <c r="G638" s="3171">
        <v>-3</v>
      </c>
    </row>
    <row r="639" spans="1:7" ht="15" customHeight="1">
      <c r="A639" s="3557"/>
      <c r="B639" s="3171">
        <v>624</v>
      </c>
      <c r="C639" s="3171">
        <v>291</v>
      </c>
      <c r="D639" s="3173">
        <f>48.05-7.21</f>
        <v>40.839999999999996</v>
      </c>
      <c r="E639" s="3171" t="s">
        <v>3643</v>
      </c>
      <c r="F639" s="3171" t="s">
        <v>3453</v>
      </c>
      <c r="G639" s="3171">
        <v>-3</v>
      </c>
    </row>
    <row r="640" spans="1:7" ht="15" customHeight="1">
      <c r="A640" s="3557"/>
      <c r="B640" s="3171">
        <v>625</v>
      </c>
      <c r="C640" s="3171">
        <v>301</v>
      </c>
      <c r="D640" s="3173">
        <v>31.83</v>
      </c>
      <c r="E640" s="3171" t="s">
        <v>3643</v>
      </c>
      <c r="F640" s="3171" t="s">
        <v>3453</v>
      </c>
      <c r="G640" s="3171">
        <v>-3</v>
      </c>
    </row>
    <row r="641" spans="1:7" ht="15" customHeight="1">
      <c r="A641" s="3557"/>
      <c r="B641" s="3171">
        <v>626</v>
      </c>
      <c r="C641" s="3180">
        <v>302</v>
      </c>
      <c r="D641" s="3173">
        <v>31.83</v>
      </c>
      <c r="E641" s="3171" t="s">
        <v>3643</v>
      </c>
      <c r="F641" s="3171" t="s">
        <v>3453</v>
      </c>
      <c r="G641" s="3171">
        <v>-3</v>
      </c>
    </row>
    <row r="642" spans="1:7" ht="15" customHeight="1">
      <c r="A642" s="3557"/>
      <c r="B642" s="3171">
        <v>627</v>
      </c>
      <c r="C642" s="3180">
        <v>303</v>
      </c>
      <c r="D642" s="3173">
        <v>31.83</v>
      </c>
      <c r="E642" s="3171" t="s">
        <v>3643</v>
      </c>
      <c r="F642" s="3171" t="s">
        <v>3453</v>
      </c>
      <c r="G642" s="3171">
        <v>-3</v>
      </c>
    </row>
    <row r="643" spans="1:7" ht="15" customHeight="1">
      <c r="A643" s="3557"/>
      <c r="B643" s="3171">
        <v>628</v>
      </c>
      <c r="C643" s="3180">
        <v>305</v>
      </c>
      <c r="D643" s="3173">
        <v>31.83</v>
      </c>
      <c r="E643" s="3171" t="s">
        <v>3643</v>
      </c>
      <c r="F643" s="3171" t="s">
        <v>3453</v>
      </c>
      <c r="G643" s="3171">
        <v>-3</v>
      </c>
    </row>
    <row r="644" spans="1:7" ht="15" customHeight="1">
      <c r="A644" s="3557"/>
      <c r="B644" s="3171">
        <v>629</v>
      </c>
      <c r="C644" s="3180">
        <v>306</v>
      </c>
      <c r="D644" s="3173">
        <v>31.83</v>
      </c>
      <c r="E644" s="3171" t="s">
        <v>3643</v>
      </c>
      <c r="F644" s="3171" t="s">
        <v>3453</v>
      </c>
      <c r="G644" s="3171">
        <v>-3</v>
      </c>
    </row>
    <row r="645" spans="1:7" ht="15" customHeight="1">
      <c r="A645" s="3557"/>
      <c r="B645" s="3171">
        <v>630</v>
      </c>
      <c r="C645" s="3180">
        <v>307</v>
      </c>
      <c r="D645" s="3173">
        <v>31.83</v>
      </c>
      <c r="E645" s="3171" t="s">
        <v>3643</v>
      </c>
      <c r="F645" s="3171" t="s">
        <v>3453</v>
      </c>
      <c r="G645" s="3171">
        <v>-3</v>
      </c>
    </row>
    <row r="646" spans="1:7" ht="15" customHeight="1">
      <c r="A646" s="3557"/>
      <c r="B646" s="3171">
        <v>631</v>
      </c>
      <c r="C646" s="3180">
        <v>308</v>
      </c>
      <c r="D646" s="3173">
        <v>31.83</v>
      </c>
      <c r="E646" s="3171" t="s">
        <v>3643</v>
      </c>
      <c r="F646" s="3171" t="s">
        <v>3453</v>
      </c>
      <c r="G646" s="3171">
        <v>-3</v>
      </c>
    </row>
    <row r="647" spans="1:7" ht="15" customHeight="1">
      <c r="A647" s="3557"/>
      <c r="B647" s="3171">
        <v>632</v>
      </c>
      <c r="C647" s="3180">
        <v>309</v>
      </c>
      <c r="D647" s="3173">
        <v>31.83</v>
      </c>
      <c r="E647" s="3171" t="s">
        <v>3643</v>
      </c>
      <c r="F647" s="3171" t="s">
        <v>3453</v>
      </c>
      <c r="G647" s="3171">
        <v>-3</v>
      </c>
    </row>
    <row r="648" spans="1:7" ht="15" customHeight="1">
      <c r="A648" s="3557"/>
      <c r="B648" s="3171">
        <v>633</v>
      </c>
      <c r="C648" s="3180">
        <v>310</v>
      </c>
      <c r="D648" s="3173">
        <v>31.83</v>
      </c>
      <c r="E648" s="3171" t="s">
        <v>3643</v>
      </c>
      <c r="F648" s="3171" t="s">
        <v>3453</v>
      </c>
      <c r="G648" s="3171">
        <v>-3</v>
      </c>
    </row>
    <row r="649" spans="1:7" ht="15" customHeight="1">
      <c r="A649" s="3557"/>
      <c r="B649" s="3171">
        <v>634</v>
      </c>
      <c r="C649" s="3180">
        <v>311</v>
      </c>
      <c r="D649" s="3173">
        <v>31.83</v>
      </c>
      <c r="E649" s="3171" t="s">
        <v>3643</v>
      </c>
      <c r="F649" s="3171" t="s">
        <v>3453</v>
      </c>
      <c r="G649" s="3171">
        <v>-3</v>
      </c>
    </row>
    <row r="650" spans="1:7" ht="15" customHeight="1">
      <c r="A650" s="3557"/>
      <c r="B650" s="3171">
        <v>635</v>
      </c>
      <c r="C650" s="3180">
        <v>312</v>
      </c>
      <c r="D650" s="3173">
        <v>31.83</v>
      </c>
      <c r="E650" s="3171" t="s">
        <v>3643</v>
      </c>
      <c r="F650" s="3171" t="s">
        <v>3453</v>
      </c>
      <c r="G650" s="3171">
        <v>-3</v>
      </c>
    </row>
    <row r="651" spans="1:7" ht="15" customHeight="1">
      <c r="A651" s="3557"/>
      <c r="B651" s="3171">
        <v>636</v>
      </c>
      <c r="C651" s="3180">
        <v>315</v>
      </c>
      <c r="D651" s="3173">
        <v>31.83</v>
      </c>
      <c r="E651" s="3171" t="s">
        <v>3643</v>
      </c>
      <c r="F651" s="3171" t="s">
        <v>3453</v>
      </c>
      <c r="G651" s="3171">
        <v>-3</v>
      </c>
    </row>
    <row r="652" spans="1:7" ht="15" customHeight="1">
      <c r="A652" s="3557"/>
      <c r="B652" s="3171">
        <v>637</v>
      </c>
      <c r="C652" s="3175">
        <v>316</v>
      </c>
      <c r="D652" s="3173">
        <v>31.83</v>
      </c>
      <c r="E652" s="3171" t="s">
        <v>3643</v>
      </c>
      <c r="F652" s="3171" t="s">
        <v>3453</v>
      </c>
      <c r="G652" s="3171">
        <v>-3</v>
      </c>
    </row>
    <row r="653" spans="1:7" ht="15" customHeight="1">
      <c r="A653" s="3557"/>
      <c r="B653" s="3171">
        <v>638</v>
      </c>
      <c r="C653" s="3175">
        <v>317</v>
      </c>
      <c r="D653" s="3173">
        <v>31.83</v>
      </c>
      <c r="E653" s="3171" t="s">
        <v>3643</v>
      </c>
      <c r="F653" s="3171" t="s">
        <v>3453</v>
      </c>
      <c r="G653" s="3171">
        <v>-3</v>
      </c>
    </row>
    <row r="654" spans="1:7" ht="15" customHeight="1">
      <c r="A654" s="3557"/>
      <c r="B654" s="3171">
        <v>639</v>
      </c>
      <c r="C654" s="3175">
        <v>318</v>
      </c>
      <c r="D654" s="3173">
        <v>31.83</v>
      </c>
      <c r="E654" s="3171" t="s">
        <v>3643</v>
      </c>
      <c r="F654" s="3171" t="s">
        <v>3453</v>
      </c>
      <c r="G654" s="3171">
        <v>-3</v>
      </c>
    </row>
    <row r="655" spans="1:7" ht="15" customHeight="1">
      <c r="A655" s="3557"/>
      <c r="B655" s="3171">
        <v>640</v>
      </c>
      <c r="C655" s="3175">
        <v>319</v>
      </c>
      <c r="D655" s="3173">
        <v>31.83</v>
      </c>
      <c r="E655" s="3171" t="s">
        <v>3643</v>
      </c>
      <c r="F655" s="3171" t="s">
        <v>3453</v>
      </c>
      <c r="G655" s="3171">
        <v>-3</v>
      </c>
    </row>
    <row r="656" spans="1:7" ht="15" customHeight="1">
      <c r="A656" s="3557"/>
      <c r="B656" s="3171">
        <v>641</v>
      </c>
      <c r="C656" s="3175">
        <v>320</v>
      </c>
      <c r="D656" s="3173">
        <v>31.83</v>
      </c>
      <c r="E656" s="3171" t="s">
        <v>3643</v>
      </c>
      <c r="F656" s="3171" t="s">
        <v>3453</v>
      </c>
      <c r="G656" s="3171">
        <v>-3</v>
      </c>
    </row>
    <row r="657" spans="1:7" ht="15" customHeight="1">
      <c r="A657" s="3557"/>
      <c r="B657" s="3171">
        <v>642</v>
      </c>
      <c r="C657" s="3175">
        <v>321</v>
      </c>
      <c r="D657" s="3173">
        <v>31.83</v>
      </c>
      <c r="E657" s="3171" t="s">
        <v>3643</v>
      </c>
      <c r="F657" s="3171" t="s">
        <v>3453</v>
      </c>
      <c r="G657" s="3171">
        <v>-3</v>
      </c>
    </row>
    <row r="658" spans="1:7" ht="15" customHeight="1">
      <c r="A658" s="3557"/>
      <c r="B658" s="3171">
        <v>643</v>
      </c>
      <c r="C658" s="3175">
        <v>322</v>
      </c>
      <c r="D658" s="3173">
        <v>31.83</v>
      </c>
      <c r="E658" s="3171" t="s">
        <v>3643</v>
      </c>
      <c r="F658" s="3171" t="s">
        <v>3453</v>
      </c>
      <c r="G658" s="3171">
        <v>-3</v>
      </c>
    </row>
    <row r="659" spans="1:7" ht="15" customHeight="1">
      <c r="A659" s="3557"/>
      <c r="B659" s="3171">
        <v>644</v>
      </c>
      <c r="C659" s="3175">
        <v>323</v>
      </c>
      <c r="D659" s="3173">
        <v>31.83</v>
      </c>
      <c r="E659" s="3171" t="s">
        <v>3643</v>
      </c>
      <c r="F659" s="3171" t="s">
        <v>3453</v>
      </c>
      <c r="G659" s="3171">
        <v>-3</v>
      </c>
    </row>
    <row r="660" spans="1:7" ht="15" customHeight="1">
      <c r="A660" s="3557"/>
      <c r="B660" s="3171">
        <v>645</v>
      </c>
      <c r="C660" s="3175">
        <v>325</v>
      </c>
      <c r="D660" s="3173">
        <v>31.83</v>
      </c>
      <c r="E660" s="3171" t="s">
        <v>3643</v>
      </c>
      <c r="F660" s="3171" t="s">
        <v>3453</v>
      </c>
      <c r="G660" s="3171">
        <v>-3</v>
      </c>
    </row>
    <row r="661" spans="1:7" ht="15" customHeight="1">
      <c r="A661" s="3557"/>
      <c r="B661" s="3171">
        <v>646</v>
      </c>
      <c r="C661" s="3175">
        <v>326</v>
      </c>
      <c r="D661" s="3173">
        <v>31.83</v>
      </c>
      <c r="E661" s="3171" t="s">
        <v>3643</v>
      </c>
      <c r="F661" s="3171" t="s">
        <v>3453</v>
      </c>
      <c r="G661" s="3171">
        <v>-3</v>
      </c>
    </row>
    <row r="662" spans="1:7" ht="15" customHeight="1">
      <c r="A662" s="3557"/>
      <c r="B662" s="3171">
        <v>647</v>
      </c>
      <c r="C662" s="3175">
        <v>327</v>
      </c>
      <c r="D662" s="3173">
        <v>31.83</v>
      </c>
      <c r="E662" s="3171" t="s">
        <v>3643</v>
      </c>
      <c r="F662" s="3171" t="s">
        <v>3453</v>
      </c>
      <c r="G662" s="3171">
        <v>-3</v>
      </c>
    </row>
    <row r="663" spans="1:7" ht="15" customHeight="1">
      <c r="A663" s="3557"/>
      <c r="B663" s="3547" t="s">
        <v>3644</v>
      </c>
      <c r="C663" s="3547"/>
      <c r="D663" s="3173">
        <f>SUM(D229:D662)</f>
        <v>14298.869999999975</v>
      </c>
      <c r="E663" s="3179" t="s">
        <v>3642</v>
      </c>
      <c r="F663" s="3179" t="s">
        <v>3642</v>
      </c>
      <c r="G663" s="3179" t="s">
        <v>3642</v>
      </c>
    </row>
    <row r="664" spans="1:7" ht="15" customHeight="1">
      <c r="A664" s="3557"/>
      <c r="B664" s="3547" t="s">
        <v>3645</v>
      </c>
      <c r="C664" s="3547"/>
      <c r="D664" s="3173">
        <f>D663+D228</f>
        <v>27067.119999999995</v>
      </c>
      <c r="E664" s="3179" t="s">
        <v>3642</v>
      </c>
      <c r="F664" s="3179" t="s">
        <v>3642</v>
      </c>
      <c r="G664" s="3179" t="s">
        <v>3642</v>
      </c>
    </row>
    <row r="665" spans="1:7" ht="15" customHeight="1">
      <c r="A665" s="3548" t="s">
        <v>3646</v>
      </c>
      <c r="B665" s="3549"/>
      <c r="C665" s="3549"/>
      <c r="D665" s="3549"/>
      <c r="E665" s="3549"/>
      <c r="F665" s="3549"/>
      <c r="G665" s="3550"/>
    </row>
    <row r="666" spans="1:7" ht="15" customHeight="1">
      <c r="A666" s="3551"/>
      <c r="B666" s="3552"/>
      <c r="C666" s="3552"/>
      <c r="D666" s="3552"/>
      <c r="E666" s="3552"/>
      <c r="F666" s="3552"/>
      <c r="G666" s="3553"/>
    </row>
    <row r="667" spans="1:7" ht="15" customHeight="1">
      <c r="A667" s="3551"/>
      <c r="B667" s="3552"/>
      <c r="C667" s="3552"/>
      <c r="D667" s="3552"/>
      <c r="E667" s="3552"/>
      <c r="F667" s="3552"/>
      <c r="G667" s="3553"/>
    </row>
    <row r="668" spans="1:7">
      <c r="A668" s="3554"/>
      <c r="B668" s="3555"/>
      <c r="C668" s="3555"/>
      <c r="D668" s="3556"/>
      <c r="E668" s="3554"/>
      <c r="F668" s="3555"/>
      <c r="G668" s="3556"/>
    </row>
    <row r="669" spans="1:7" ht="14.25">
      <c r="A669" s="3541" t="s">
        <v>3647</v>
      </c>
      <c r="B669" s="3542"/>
      <c r="C669" s="3542"/>
      <c r="D669" s="3543"/>
      <c r="E669" s="3541" t="s">
        <v>3648</v>
      </c>
      <c r="F669" s="3542"/>
      <c r="G669" s="3543"/>
    </row>
    <row r="670" spans="1:7" ht="14.25">
      <c r="A670" s="3541" t="s">
        <v>3649</v>
      </c>
      <c r="B670" s="3542"/>
      <c r="C670" s="3542"/>
      <c r="D670" s="3543"/>
      <c r="E670" s="3541" t="s">
        <v>3649</v>
      </c>
      <c r="F670" s="3542"/>
      <c r="G670" s="3543"/>
    </row>
    <row r="671" spans="1:7" ht="14.25">
      <c r="A671" s="3541" t="s">
        <v>3650</v>
      </c>
      <c r="B671" s="3542"/>
      <c r="C671" s="3542"/>
      <c r="D671" s="3543"/>
      <c r="E671" s="3541" t="s">
        <v>3650</v>
      </c>
      <c r="F671" s="3542"/>
      <c r="G671" s="3543"/>
    </row>
    <row r="672" spans="1:7">
      <c r="A672" s="3544"/>
      <c r="B672" s="3545"/>
      <c r="C672" s="3545"/>
      <c r="D672" s="3546"/>
      <c r="E672" s="3544"/>
      <c r="F672" s="3545"/>
      <c r="G672" s="3546"/>
    </row>
    <row r="673" spans="1:7">
      <c r="A673" s="3538"/>
      <c r="B673" s="3539"/>
      <c r="C673" s="3539"/>
      <c r="D673" s="3540"/>
      <c r="E673" s="3538"/>
      <c r="F673" s="3539"/>
      <c r="G673" s="3540"/>
    </row>
  </sheetData>
  <mergeCells count="40">
    <mergeCell ref="A5:B5"/>
    <mergeCell ref="C5:G5"/>
    <mergeCell ref="A1:G1"/>
    <mergeCell ref="A3:B3"/>
    <mergeCell ref="C3:D3"/>
    <mergeCell ref="A4:B4"/>
    <mergeCell ref="C4:G4"/>
    <mergeCell ref="A6:A9"/>
    <mergeCell ref="B6:C6"/>
    <mergeCell ref="D6:G6"/>
    <mergeCell ref="B7:C7"/>
    <mergeCell ref="F7:G7"/>
    <mergeCell ref="B8:C8"/>
    <mergeCell ref="F8:G8"/>
    <mergeCell ref="B9:C9"/>
    <mergeCell ref="E9:G9"/>
    <mergeCell ref="B664:C664"/>
    <mergeCell ref="A665:G667"/>
    <mergeCell ref="A668:D668"/>
    <mergeCell ref="E668:G668"/>
    <mergeCell ref="A669:D669"/>
    <mergeCell ref="E669:G669"/>
    <mergeCell ref="A10:A664"/>
    <mergeCell ref="B10:C10"/>
    <mergeCell ref="F10:G10"/>
    <mergeCell ref="B11:C11"/>
    <mergeCell ref="D11:G11"/>
    <mergeCell ref="B12:C12"/>
    <mergeCell ref="D12:G12"/>
    <mergeCell ref="B13:G13"/>
    <mergeCell ref="B228:C228"/>
    <mergeCell ref="B663:C663"/>
    <mergeCell ref="A673:D673"/>
    <mergeCell ref="E673:G673"/>
    <mergeCell ref="A670:D670"/>
    <mergeCell ref="E670:G670"/>
    <mergeCell ref="A671:D671"/>
    <mergeCell ref="E671:G671"/>
    <mergeCell ref="A672:D672"/>
    <mergeCell ref="E672:G672"/>
  </mergeCells>
  <phoneticPr fontId="134" type="noConversion"/>
  <pageMargins left="0.75" right="0.75" top="1" bottom="1" header="0.51180555555555551" footer="0.51180555555555551"/>
  <pageSetup paperSize="9" orientation="portrait" horizontalDpi="0" verticalDpi="0"/>
  <headerFooter scaleWithDoc="0"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T8:W75"/>
  <sheetViews>
    <sheetView topLeftCell="A67" workbookViewId="0">
      <selection activeCell="G111" sqref="G111"/>
    </sheetView>
  </sheetViews>
  <sheetFormatPr defaultRowHeight="13.5"/>
  <sheetData>
    <row r="8" spans="20:22">
      <c r="T8" s="2814">
        <v>1</v>
      </c>
      <c r="U8">
        <v>1</v>
      </c>
      <c r="V8">
        <v>6</v>
      </c>
    </row>
    <row r="9" spans="20:22">
      <c r="T9" s="1421" t="s">
        <v>3694</v>
      </c>
      <c r="U9">
        <v>0.3</v>
      </c>
      <c r="V9">
        <f>V8*U9</f>
        <v>1.7999999999999998</v>
      </c>
    </row>
    <row r="10" spans="20:22">
      <c r="V10">
        <f>(V8+V9)/2</f>
        <v>3.9</v>
      </c>
    </row>
    <row r="41" spans="20:22">
      <c r="T41">
        <v>1</v>
      </c>
      <c r="U41">
        <v>100</v>
      </c>
      <c r="V41">
        <f>ROUND(U41*V42/U42,2)</f>
        <v>6.47</v>
      </c>
    </row>
    <row r="42" spans="20:22">
      <c r="T42" s="1405" t="s">
        <v>3695</v>
      </c>
      <c r="U42">
        <v>85</v>
      </c>
      <c r="V42">
        <v>5.5</v>
      </c>
    </row>
    <row r="74" spans="21:23">
      <c r="U74">
        <v>1</v>
      </c>
      <c r="V74">
        <v>100</v>
      </c>
      <c r="W74">
        <f>ROUND(V74*W75/V75,2)</f>
        <v>8.32</v>
      </c>
    </row>
    <row r="75" spans="21:23">
      <c r="U75" s="1405" t="s">
        <v>3695</v>
      </c>
      <c r="V75">
        <v>85</v>
      </c>
      <c r="W75">
        <v>7.07</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10" t="str">
        <f>IF(项目基本情况!B9="房地产市场价值","估价结果一览表","结果表-2")</f>
        <v>结果表-2</v>
      </c>
      <c r="B1" s="3210"/>
      <c r="C1" s="3210"/>
      <c r="D1" s="3210"/>
      <c r="E1" s="3210"/>
      <c r="F1" s="3210"/>
      <c r="G1" s="3210"/>
      <c r="H1" s="3210"/>
      <c r="I1" s="3210"/>
    </row>
    <row r="2" spans="1:9" ht="30" customHeight="1" thickTop="1">
      <c r="A2" s="3211" t="s">
        <v>928</v>
      </c>
      <c r="B2" s="3211" t="s">
        <v>929</v>
      </c>
      <c r="C2" s="3211" t="s">
        <v>930</v>
      </c>
      <c r="D2" s="3211" t="str">
        <f>结果表!D116</f>
        <v>出让国有建设用地使用权价值</v>
      </c>
      <c r="E2" s="3211"/>
      <c r="F2" s="3211" t="str">
        <f>结果表!F116</f>
        <v>在建建筑物价值</v>
      </c>
      <c r="G2" s="3211"/>
      <c r="H2" s="3211" t="str">
        <f>IF(项目基本情况!B9="房地产市场价值","房地产市场价值","房地产价值")</f>
        <v>房地产价值</v>
      </c>
      <c r="I2" s="3211"/>
    </row>
    <row r="3" spans="1:9" ht="15">
      <c r="A3" s="3212"/>
      <c r="B3" s="3212"/>
      <c r="C3" s="3212"/>
      <c r="D3" s="801" t="s">
        <v>925</v>
      </c>
      <c r="E3" s="801" t="s">
        <v>931</v>
      </c>
      <c r="F3" s="801" t="s">
        <v>925</v>
      </c>
      <c r="G3" s="801" t="s">
        <v>926</v>
      </c>
      <c r="H3" s="801" t="s">
        <v>925</v>
      </c>
      <c r="I3" s="801" t="s">
        <v>926</v>
      </c>
    </row>
    <row r="4" spans="1:9" ht="15">
      <c r="A4" s="1403" t="str">
        <f>项目基本情况!S2</f>
        <v>北京市房地产</v>
      </c>
      <c r="B4" s="801">
        <f>项目基本情况!C17</f>
        <v>27067.119999999988</v>
      </c>
      <c r="C4" s="801">
        <f>项目基本情况!C18</f>
        <v>0</v>
      </c>
      <c r="D4" s="801">
        <f ca="1">结果表!D118</f>
        <v>41884</v>
      </c>
      <c r="E4" s="801">
        <f ca="1">结果表!E118</f>
        <v>15474</v>
      </c>
      <c r="F4" s="801">
        <f ca="1">结果表!F118</f>
        <v>11201</v>
      </c>
      <c r="G4" s="801">
        <f ca="1">结果表!G118</f>
        <v>4138</v>
      </c>
      <c r="H4" s="801">
        <f ca="1">结果表!H118</f>
        <v>53085</v>
      </c>
      <c r="I4" s="801">
        <f ca="1">结果表!I118</f>
        <v>19612</v>
      </c>
    </row>
    <row r="5" spans="1:9" ht="30" customHeight="1">
      <c r="A5" s="3212" t="s">
        <v>927</v>
      </c>
      <c r="B5" s="3212"/>
      <c r="C5" s="3212"/>
      <c r="D5" s="3212" t="str">
        <f ca="1">结果表!D119</f>
        <v>肆亿壹仟捌佰捌拾肆万元整</v>
      </c>
      <c r="E5" s="3212"/>
      <c r="F5" s="3212" t="str">
        <f ca="1">结果表!F119</f>
        <v>壹亿壹仟贰佰零壹万元整</v>
      </c>
      <c r="G5" s="3212"/>
      <c r="H5" s="3212" t="str">
        <f ca="1">结果表!H119</f>
        <v>伍亿叁仟零捌拾伍万元整</v>
      </c>
      <c r="I5" s="3212"/>
    </row>
    <row r="6" spans="1:9" ht="15.75">
      <c r="A6" s="3213" t="str">
        <f>结果表!A120</f>
        <v>估价师知悉的法定优先受偿款</v>
      </c>
      <c r="B6" s="3213"/>
      <c r="C6" s="3213"/>
      <c r="D6" s="3213">
        <f>结果表!D120</f>
        <v>0</v>
      </c>
      <c r="E6" s="3213"/>
      <c r="F6" s="3213"/>
      <c r="G6" s="3213"/>
      <c r="H6" s="3213"/>
      <c r="I6" s="3213"/>
    </row>
    <row r="7" spans="1:9" ht="15">
      <c r="A7" s="3212" t="s">
        <v>927</v>
      </c>
      <c r="B7" s="3212"/>
      <c r="C7" s="3212"/>
      <c r="D7" s="3214" t="str">
        <f>结果表!D121</f>
        <v>零元整</v>
      </c>
      <c r="E7" s="3215"/>
      <c r="F7" s="3215"/>
      <c r="G7" s="3215"/>
      <c r="H7" s="3215"/>
      <c r="I7" s="3216"/>
    </row>
    <row r="8" spans="1:9" ht="15.75">
      <c r="A8" s="3213" t="str">
        <f>结果表!A122</f>
        <v>房地产抵押价值</v>
      </c>
      <c r="B8" s="3213"/>
      <c r="C8" s="3213"/>
      <c r="D8" s="3213">
        <f ca="1">结果表!D122</f>
        <v>53085</v>
      </c>
      <c r="E8" s="3213"/>
      <c r="F8" s="3213"/>
      <c r="G8" s="3213"/>
      <c r="H8" s="3213"/>
      <c r="I8" s="3213"/>
    </row>
    <row r="9" spans="1:9" ht="15">
      <c r="A9" s="3212" t="s">
        <v>927</v>
      </c>
      <c r="B9" s="3212"/>
      <c r="C9" s="3212"/>
      <c r="D9" s="3212" t="str">
        <f ca="1">结果表!D123</f>
        <v>伍亿叁仟零捌拾伍万元整</v>
      </c>
      <c r="E9" s="3212"/>
      <c r="F9" s="3212"/>
      <c r="G9" s="3212"/>
      <c r="H9" s="3212"/>
      <c r="I9" s="3212"/>
    </row>
    <row r="10" spans="1:9" ht="15.75">
      <c r="A10" s="3213" t="str">
        <f>结果表!A124</f>
        <v/>
      </c>
      <c r="B10" s="3213"/>
      <c r="C10" s="3213"/>
      <c r="D10" s="3213" t="str">
        <f>结果表!D124</f>
        <v>——</v>
      </c>
      <c r="E10" s="3213"/>
      <c r="F10" s="3213"/>
      <c r="G10" s="3213"/>
      <c r="H10" s="3213"/>
      <c r="I10" s="3213"/>
    </row>
    <row r="11" spans="1:9" ht="15">
      <c r="A11" s="3212" t="s">
        <v>927</v>
      </c>
      <c r="B11" s="3212"/>
      <c r="C11" s="3212"/>
      <c r="D11" s="3212" t="e">
        <f>结果表!D125</f>
        <v>#VALUE!</v>
      </c>
      <c r="E11" s="3212"/>
      <c r="F11" s="3212"/>
      <c r="G11" s="3212"/>
      <c r="H11" s="3212"/>
      <c r="I11" s="3212"/>
    </row>
    <row r="12" spans="1:9" ht="15.75">
      <c r="A12" s="3213" t="str">
        <f>结果表!A126</f>
        <v/>
      </c>
      <c r="B12" s="3213"/>
      <c r="C12" s="3213"/>
      <c r="D12" s="3213" t="str">
        <f>结果表!D126</f>
        <v>——</v>
      </c>
      <c r="E12" s="3213"/>
      <c r="F12" s="3213"/>
      <c r="G12" s="3213"/>
      <c r="H12" s="3213"/>
      <c r="I12" s="3213"/>
    </row>
    <row r="13" spans="1:9" ht="15.75" thickBot="1">
      <c r="A13" s="3217" t="s">
        <v>927</v>
      </c>
      <c r="B13" s="3217"/>
      <c r="C13" s="3217"/>
      <c r="D13" s="3217" t="e">
        <f>结果表!D127</f>
        <v>#VALUE!</v>
      </c>
      <c r="E13" s="3217"/>
      <c r="F13" s="3217"/>
      <c r="G13" s="3217"/>
      <c r="H13" s="3217"/>
      <c r="I13" s="3217"/>
    </row>
    <row r="14" spans="1:9" ht="15" thickTop="1">
      <c r="A14" s="3218" t="s">
        <v>932</v>
      </c>
      <c r="B14" s="3218"/>
      <c r="C14" s="3218"/>
      <c r="D14" s="3218"/>
      <c r="E14" s="3218"/>
      <c r="F14" s="3218"/>
      <c r="G14" s="3218"/>
      <c r="H14" s="3218"/>
      <c r="I14" s="3218"/>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19" t="s">
        <v>949</v>
      </c>
      <c r="B1" s="3219"/>
      <c r="C1" s="3219"/>
      <c r="D1" s="3219"/>
    </row>
    <row r="2" spans="1:4" ht="18">
      <c r="A2" s="3220" t="s">
        <v>933</v>
      </c>
      <c r="B2" s="3220"/>
      <c r="C2" s="3220"/>
      <c r="D2" s="3220"/>
    </row>
    <row r="3" spans="1:4" ht="18.75">
      <c r="A3" s="1407" t="s">
        <v>934</v>
      </c>
      <c r="B3" s="1407" t="s">
        <v>935</v>
      </c>
      <c r="C3" s="1407" t="s">
        <v>936</v>
      </c>
      <c r="D3" s="1407" t="s">
        <v>937</v>
      </c>
    </row>
    <row r="4" spans="1:4" ht="56.25" customHeight="1">
      <c r="A4" s="1408" t="str">
        <f>项目基本情况!B4</f>
        <v>吴薇</v>
      </c>
      <c r="B4" s="1409">
        <f ca="1">项目基本情况!C4</f>
        <v>1419970001</v>
      </c>
      <c r="C4" s="1410"/>
      <c r="D4" s="1411" t="s">
        <v>938</v>
      </c>
    </row>
    <row r="5" spans="1:4" ht="56.25" customHeight="1">
      <c r="A5" s="1408" t="str">
        <f>项目基本情况!D4</f>
        <v>郑燚</v>
      </c>
      <c r="B5" s="1409">
        <f ca="1">项目基本情况!E4</f>
        <v>1120070131</v>
      </c>
      <c r="C5" s="1412"/>
      <c r="D5" s="1411" t="s">
        <v>938</v>
      </c>
    </row>
    <row r="6" spans="1:4" ht="18">
      <c r="A6" s="3220" t="s">
        <v>939</v>
      </c>
      <c r="B6" s="3220"/>
      <c r="C6" s="3220"/>
      <c r="D6" s="3220"/>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21" t="s">
        <v>942</v>
      </c>
      <c r="B11" s="3222"/>
      <c r="C11" s="3222"/>
      <c r="D11" s="3222"/>
    </row>
    <row r="12" spans="1:4" ht="15.75">
      <c r="A12" s="32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3"/>
      <c r="C12" s="3223"/>
      <c r="D12" s="3223"/>
    </row>
    <row r="13" spans="1:4" ht="30" customHeight="1">
      <c r="A13" s="322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3"/>
      <c r="C13" s="3223"/>
      <c r="D13" s="3223"/>
    </row>
    <row r="14" spans="1:4" ht="15.75" customHeight="1">
      <c r="A14" s="3222" t="str">
        <f>IF(项目基本情况!B8="抵押","4.本次评估估价师所知悉的法定优先受偿款情况说明如下：","——")</f>
        <v>4.本次评估估价师所知悉的法定优先受偿款情况说明如下：</v>
      </c>
      <c r="B14" s="3223"/>
      <c r="C14" s="3223"/>
      <c r="D14" s="3223"/>
    </row>
    <row r="15" spans="1:4" ht="42" customHeight="1">
      <c r="A15" s="322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2"/>
      <c r="C15" s="3222"/>
      <c r="D15" s="3222"/>
    </row>
    <row r="16" spans="1:4" ht="30" customHeight="1">
      <c r="A16" s="3225" t="s">
        <v>943</v>
      </c>
      <c r="B16" s="3225"/>
      <c r="C16" s="3225"/>
      <c r="D16" s="3225"/>
    </row>
    <row r="17" spans="1:4" ht="144" customHeight="1">
      <c r="A17" s="3225" t="s">
        <v>944</v>
      </c>
      <c r="B17" s="3225"/>
      <c r="C17" s="3225"/>
      <c r="D17" s="3225"/>
    </row>
    <row r="18" spans="1:4" ht="15.75" customHeight="1">
      <c r="A18" s="3222" t="str">
        <f>IF(项目基本情况!B8="抵押",结果表!K120,"——")</f>
        <v>故，本次评估不存在估价师知悉的法定优先受偿款</v>
      </c>
      <c r="B18" s="3222"/>
      <c r="C18" s="3222"/>
      <c r="D18" s="3222"/>
    </row>
    <row r="19" spans="1:4" ht="46.5" customHeight="1">
      <c r="A19" s="32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2"/>
      <c r="C19" s="3222"/>
      <c r="D19" s="3222"/>
    </row>
    <row r="20" spans="1:4" ht="57.75" customHeight="1">
      <c r="A20" s="322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2"/>
      <c r="C20" s="3222"/>
      <c r="D20" s="3222"/>
    </row>
    <row r="21" spans="1:4" ht="57.75" customHeight="1">
      <c r="A21" s="32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6"/>
      <c r="C21" s="3226"/>
      <c r="D21" s="3226"/>
    </row>
    <row r="22" spans="1:4" ht="18.75" customHeight="1">
      <c r="A22" s="3227" t="s">
        <v>945</v>
      </c>
      <c r="B22" s="3227"/>
      <c r="C22" s="3227"/>
      <c r="D22" s="3227"/>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24">
        <v>42551</v>
      </c>
      <c r="D31" s="322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33" t="s">
        <v>956</v>
      </c>
      <c r="B15" s="3228" t="s">
        <v>109</v>
      </c>
      <c r="C15" s="3229"/>
    </row>
    <row r="16" spans="1:7" ht="13.5">
      <c r="A16" s="3234"/>
      <c r="B16" s="3228" t="s">
        <v>42</v>
      </c>
      <c r="C16" s="3229"/>
    </row>
    <row r="17" spans="1:3" ht="13.5">
      <c r="A17" s="3234"/>
      <c r="B17" s="3231" t="s">
        <v>957</v>
      </c>
      <c r="C17" s="1429" t="s">
        <v>956</v>
      </c>
    </row>
    <row r="18" spans="1:3" ht="13.5">
      <c r="A18" s="3234"/>
      <c r="B18" s="3231"/>
      <c r="C18" s="1429" t="s">
        <v>958</v>
      </c>
    </row>
    <row r="19" spans="1:3" ht="13.5">
      <c r="A19" s="3234"/>
      <c r="B19" s="3231"/>
      <c r="C19" s="1429" t="s">
        <v>959</v>
      </c>
    </row>
    <row r="20" spans="1:3" ht="13.5">
      <c r="A20" s="3235"/>
      <c r="B20" s="3230" t="s">
        <v>960</v>
      </c>
      <c r="C20" s="3229"/>
    </row>
    <row r="21" spans="1:3" ht="13.5">
      <c r="A21" s="1430" t="s">
        <v>961</v>
      </c>
      <c r="B21" s="1431"/>
      <c r="C21" s="1432"/>
    </row>
    <row r="22" spans="1:3" ht="13.5">
      <c r="A22" s="3232" t="s">
        <v>962</v>
      </c>
      <c r="B22" s="3230" t="s">
        <v>963</v>
      </c>
      <c r="C22" s="3229"/>
    </row>
    <row r="23" spans="1:3" ht="13.5">
      <c r="A23" s="3232"/>
      <c r="B23" s="3230" t="s">
        <v>964</v>
      </c>
      <c r="C23" s="3229"/>
    </row>
    <row r="24" spans="1:3" ht="13.5">
      <c r="A24" s="3232"/>
      <c r="B24" s="3230" t="s">
        <v>965</v>
      </c>
      <c r="C24" s="3229"/>
    </row>
    <row r="25" spans="1:3" ht="13.5">
      <c r="A25" s="3232"/>
      <c r="B25" s="3231" t="s">
        <v>966</v>
      </c>
      <c r="C25" s="1429" t="s">
        <v>967</v>
      </c>
    </row>
    <row r="26" spans="1:3" ht="13.5">
      <c r="A26" s="3232"/>
      <c r="B26" s="3231"/>
      <c r="C26" s="1429" t="s">
        <v>968</v>
      </c>
    </row>
    <row r="27" spans="1:3" ht="13.5">
      <c r="A27" s="3232"/>
      <c r="B27" s="3231"/>
      <c r="C27" s="1429" t="s">
        <v>969</v>
      </c>
    </row>
    <row r="28" spans="1:3" ht="13.5">
      <c r="A28" s="3232"/>
      <c r="B28" s="3231"/>
      <c r="C28" s="1429" t="s">
        <v>970</v>
      </c>
    </row>
    <row r="29" spans="1:3" ht="13.5">
      <c r="A29" s="3232"/>
      <c r="B29" s="3231"/>
      <c r="C29" s="1429" t="s">
        <v>971</v>
      </c>
    </row>
    <row r="30" spans="1:3" ht="13.5">
      <c r="A30" s="3232"/>
      <c r="B30" s="3231"/>
      <c r="C30" s="1429" t="s">
        <v>972</v>
      </c>
    </row>
    <row r="31" spans="1:3" ht="13.5">
      <c r="A31" s="3232"/>
      <c r="B31" s="3231"/>
      <c r="C31" s="1429" t="s">
        <v>973</v>
      </c>
    </row>
    <row r="32" spans="1:3" ht="13.5">
      <c r="A32" s="3232"/>
      <c r="B32" s="3231"/>
      <c r="C32" s="1429" t="s">
        <v>974</v>
      </c>
    </row>
    <row r="33" spans="1:3" ht="13.5">
      <c r="A33" s="3232"/>
      <c r="B33" s="3231"/>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45754</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36" t="s">
        <v>2160</v>
      </c>
      <c r="B17" s="3236"/>
      <c r="C17" s="3236"/>
      <c r="D17" s="3236"/>
      <c r="E17" s="3236"/>
      <c r="F17" s="3236"/>
      <c r="G17" s="3236"/>
      <c r="H17" s="3236"/>
    </row>
    <row r="18" spans="1:8" ht="24" customHeight="1">
      <c r="A18" s="3237" t="s">
        <v>2161</v>
      </c>
      <c r="B18" s="3237"/>
      <c r="C18" s="3237"/>
      <c r="D18" s="2160"/>
      <c r="E18" s="3238" t="s">
        <v>2162</v>
      </c>
      <c r="F18" s="3237"/>
      <c r="G18" s="3237"/>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153</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抵押物清单</vt:lpstr>
      <vt:lpstr>估价对象房地状况</vt:lpstr>
      <vt:lpstr>系统读取表</vt:lpstr>
      <vt:lpstr>结果表</vt:lpstr>
      <vt:lpstr>成本法</vt:lpstr>
      <vt:lpstr>成本法 (元)</vt:lpstr>
      <vt:lpstr>假设开发法</vt:lpstr>
      <vt:lpstr>基准地价修正</vt:lpstr>
      <vt:lpstr>收益法（汇总）</vt:lpstr>
      <vt:lpstr>收益法</vt:lpstr>
      <vt:lpstr>收益法 (元)</vt:lpstr>
      <vt:lpstr>收益法-酒店模型</vt:lpstr>
      <vt:lpstr>收益法车库</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2025-04-07T03:22:21Z</dcterms:modified>
</cp:coreProperties>
</file>