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汇总）" sheetId="70"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收益法-车库" sheetId="80" r:id="rId47"/>
    <sheet name="Sheet2" sheetId="78" r:id="rId48"/>
    <sheet name="Sheet5" sheetId="81" r:id="rId49"/>
    <sheet name="Sheet3" sheetId="82"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6">'收益法-车库'!$A$1:$F$43,'收益法-车库'!$H$3:$M$29,'收益法-车库'!$A$46:$F$71</definedName>
    <definedName name="_xlnm.Print_Area" localSheetId="45">'收益法-商业'!$A$1:$F$43,'收益法-商业'!$H$3:$M$29,'收益法-商业'!$A$46:$F$71,'收益法-商业'!$I$46:$N$65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4" i="1" l="1"/>
  <c r="O8" i="77" l="1"/>
  <c r="Y24" i="1"/>
  <c r="Y23" i="1"/>
  <c r="Y22" i="1"/>
  <c r="W23" i="1"/>
  <c r="W22" i="1"/>
  <c r="W21" i="1"/>
  <c r="E163" i="77"/>
  <c r="E162" i="77"/>
  <c r="E161" i="77"/>
  <c r="E160" i="77"/>
  <c r="E159" i="77"/>
  <c r="D162" i="77"/>
  <c r="D161" i="77"/>
  <c r="D160" i="77"/>
  <c r="C160" i="77"/>
  <c r="C159" i="77"/>
  <c r="N42" i="82" l="1"/>
  <c r="N41" i="82"/>
  <c r="N40" i="82"/>
  <c r="E47" i="82"/>
  <c r="E48" i="82"/>
  <c r="E49" i="82"/>
  <c r="E50" i="82"/>
  <c r="D50" i="82"/>
  <c r="C50" i="82"/>
  <c r="D48" i="82"/>
  <c r="C48" i="82"/>
  <c r="E46" i="82"/>
  <c r="D4" i="81" l="1"/>
  <c r="N6" i="1"/>
  <c r="C15" i="82"/>
  <c r="C16" i="82"/>
  <c r="C17" i="82"/>
  <c r="C18" i="82"/>
  <c r="C19" i="82"/>
  <c r="C20" i="82"/>
  <c r="C21" i="82"/>
  <c r="C14" i="82"/>
  <c r="B22" i="82"/>
  <c r="D10" i="68"/>
  <c r="C10" i="68" s="1"/>
  <c r="B29" i="1" s="1"/>
  <c r="C8" i="68" s="1"/>
  <c r="Q16" i="1"/>
  <c r="F27" i="68"/>
  <c r="C29" i="68" s="1"/>
  <c r="D27" i="68" s="1"/>
  <c r="F34" i="68"/>
  <c r="C34" i="68" s="1"/>
  <c r="C35" i="68" s="1"/>
  <c r="D9" i="68"/>
  <c r="D19" i="68" s="1"/>
  <c r="D37" i="68" s="1"/>
  <c r="N7" i="1"/>
  <c r="N8" i="1"/>
  <c r="N9" i="1"/>
  <c r="N16" i="1"/>
  <c r="F50" i="68"/>
  <c r="R6" i="1"/>
  <c r="Y6" i="1"/>
  <c r="R7" i="1"/>
  <c r="Y7" i="1"/>
  <c r="R8" i="1"/>
  <c r="Y8" i="1"/>
  <c r="C17" i="9"/>
  <c r="D17" i="9"/>
  <c r="C18" i="9"/>
  <c r="D18" i="9" s="1"/>
  <c r="C57" i="39"/>
  <c r="C58" i="39"/>
  <c r="C63" i="39"/>
  <c r="C62" i="39"/>
  <c r="C65" i="39"/>
  <c r="C59" i="39"/>
  <c r="C60" i="39"/>
  <c r="C61" i="39"/>
  <c r="C64" i="39"/>
  <c r="F20" i="68"/>
  <c r="F21" i="68"/>
  <c r="C21" i="68"/>
  <c r="C40" i="68"/>
  <c r="F20" i="15"/>
  <c r="F21" i="15"/>
  <c r="F20" i="79"/>
  <c r="F21" i="79"/>
  <c r="F20" i="80"/>
  <c r="F21" i="80"/>
  <c r="D181" i="77"/>
  <c r="D182" i="77"/>
  <c r="D180" i="77"/>
  <c r="C180" i="77"/>
  <c r="C181" i="77"/>
  <c r="C182" i="77"/>
  <c r="C185" i="77"/>
  <c r="B182" i="77"/>
  <c r="D179" i="77"/>
  <c r="E57" i="39"/>
  <c r="M6" i="1"/>
  <c r="M7" i="1"/>
  <c r="M8" i="1"/>
  <c r="D12" i="81"/>
  <c r="D8" i="81"/>
  <c r="T24" i="1"/>
  <c r="T23" i="1"/>
  <c r="T22" i="1"/>
  <c r="T21" i="1"/>
  <c r="L24" i="9"/>
  <c r="G1" i="80"/>
  <c r="F15" i="80"/>
  <c r="F17" i="80"/>
  <c r="F18" i="80"/>
  <c r="F23" i="80"/>
  <c r="B43" i="1"/>
  <c r="B41" i="1"/>
  <c r="F28" i="80"/>
  <c r="F32" i="80"/>
  <c r="F33" i="80"/>
  <c r="B52" i="1"/>
  <c r="F34" i="80"/>
  <c r="R10" i="1"/>
  <c r="AE10" i="1"/>
  <c r="M47" i="80"/>
  <c r="J50" i="80"/>
  <c r="K59" i="80"/>
  <c r="P74" i="80"/>
  <c r="Q72" i="80"/>
  <c r="F60" i="80"/>
  <c r="F61" i="80"/>
  <c r="F62" i="80"/>
  <c r="P61" i="80"/>
  <c r="Q59" i="80"/>
  <c r="F59" i="80"/>
  <c r="Q58" i="80"/>
  <c r="Q51" i="80"/>
  <c r="D46" i="80"/>
  <c r="F31" i="80"/>
  <c r="M18" i="80"/>
  <c r="M19" i="80"/>
  <c r="M20" i="80"/>
  <c r="D24" i="80"/>
  <c r="D23" i="80"/>
  <c r="D22" i="80"/>
  <c r="M17" i="80"/>
  <c r="G1" i="79"/>
  <c r="F15" i="79"/>
  <c r="F17" i="79"/>
  <c r="F18" i="79"/>
  <c r="F23" i="79"/>
  <c r="F28" i="79"/>
  <c r="F32" i="79"/>
  <c r="F33" i="79"/>
  <c r="F34" i="79"/>
  <c r="M47" i="79"/>
  <c r="J50" i="79"/>
  <c r="K59" i="79"/>
  <c r="P74" i="79"/>
  <c r="Q72" i="79"/>
  <c r="F60" i="79"/>
  <c r="F61" i="79"/>
  <c r="F62" i="79"/>
  <c r="P61" i="79"/>
  <c r="Q59" i="79"/>
  <c r="F59" i="79"/>
  <c r="Q58" i="79"/>
  <c r="Q51" i="79"/>
  <c r="D46" i="79"/>
  <c r="F31" i="79"/>
  <c r="M18" i="79"/>
  <c r="M19" i="79"/>
  <c r="M20" i="79"/>
  <c r="D24" i="79"/>
  <c r="D23" i="79"/>
  <c r="D22" i="79"/>
  <c r="M17" i="79"/>
  <c r="I46" i="39"/>
  <c r="G46" i="39"/>
  <c r="E46" i="39"/>
  <c r="I38" i="39"/>
  <c r="G38" i="39"/>
  <c r="E38" i="39"/>
  <c r="C38" i="39"/>
  <c r="C11" i="39"/>
  <c r="I7" i="39"/>
  <c r="G7" i="39"/>
  <c r="E7" i="39"/>
  <c r="I5" i="39"/>
  <c r="G5" i="39"/>
  <c r="E5" i="39"/>
  <c r="Y9" i="1"/>
  <c r="G22" i="6"/>
  <c r="F22" i="6"/>
  <c r="G21" i="6"/>
  <c r="G20" i="6"/>
  <c r="F20" i="6"/>
  <c r="F19" i="6"/>
  <c r="S13" i="3"/>
  <c r="Q13" i="3"/>
  <c r="O13" i="3"/>
  <c r="M13" i="3"/>
  <c r="K13" i="3"/>
  <c r="I13" i="3"/>
  <c r="C162" i="77"/>
  <c r="F142" i="77"/>
  <c r="AH5" i="71"/>
  <c r="AG5" i="71"/>
  <c r="AE5" i="71"/>
  <c r="AF5" i="71"/>
  <c r="AD5" i="71"/>
  <c r="Q5" i="71"/>
  <c r="P5" i="71"/>
  <c r="O5" i="71"/>
  <c r="N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AA5" i="71"/>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AB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X5" i="71"/>
  <c r="C27" i="66"/>
  <c r="C31" i="66"/>
  <c r="H16" i="49"/>
  <c r="D16" i="49"/>
  <c r="D15" i="49"/>
  <c r="B2" i="49"/>
  <c r="F15" i="49" s="1"/>
  <c r="H15" i="49" s="1"/>
  <c r="K42" i="40"/>
  <c r="K47" i="39"/>
  <c r="K36" i="36"/>
  <c r="E59" i="9"/>
  <c r="K38" i="35"/>
  <c r="K42" i="37"/>
  <c r="K49" i="34"/>
  <c r="K48" i="33"/>
  <c r="K48" i="21"/>
  <c r="F30" i="69"/>
  <c r="F48" i="69"/>
  <c r="F21" i="69"/>
  <c r="F40" i="69"/>
  <c r="F20" i="69"/>
  <c r="F39" i="69"/>
  <c r="F30" i="68"/>
  <c r="F48" i="68"/>
  <c r="F40" i="68"/>
  <c r="F39" i="68"/>
  <c r="H104" i="9"/>
  <c r="F59" i="9"/>
  <c r="AH7" i="71"/>
  <c r="AG7" i="71"/>
  <c r="AE7" i="71"/>
  <c r="AF7" i="71"/>
  <c r="AD7" i="71"/>
  <c r="AB6" i="71"/>
  <c r="AA6" i="71"/>
  <c r="Y6" i="71"/>
  <c r="Z6" i="71"/>
  <c r="X6" i="71"/>
  <c r="E17" i="71"/>
  <c r="E16" i="71"/>
  <c r="E15" i="71"/>
  <c r="E14" i="71"/>
  <c r="E13" i="71"/>
  <c r="E12" i="71"/>
  <c r="E11" i="71"/>
  <c r="E10" i="71"/>
  <c r="E9" i="71"/>
  <c r="V9" i="71"/>
  <c r="C17" i="71"/>
  <c r="C16" i="71"/>
  <c r="C15" i="71"/>
  <c r="C14" i="71"/>
  <c r="C13" i="71"/>
  <c r="C12" i="71"/>
  <c r="C11" i="71"/>
  <c r="C10" i="71"/>
  <c r="C9" i="71"/>
  <c r="D9" i="71"/>
  <c r="D10" i="71"/>
  <c r="U9" i="71"/>
  <c r="T9" i="71"/>
  <c r="B17" i="71"/>
  <c r="B16" i="71"/>
  <c r="B15" i="71"/>
  <c r="B14" i="71"/>
  <c r="B13" i="71"/>
  <c r="B12" i="71"/>
  <c r="B11" i="71"/>
  <c r="B10" i="71"/>
  <c r="B9" i="71"/>
  <c r="S9" i="71"/>
  <c r="AH8" i="71"/>
  <c r="AG8" i="71"/>
  <c r="AE8" i="71"/>
  <c r="AF8" i="71"/>
  <c r="AD8" i="71"/>
  <c r="AB7" i="71"/>
  <c r="AA7" i="71"/>
  <c r="Y7" i="71"/>
  <c r="Z7" i="71"/>
  <c r="X7" i="71"/>
  <c r="AB11" i="71"/>
  <c r="AB10" i="71"/>
  <c r="AA10" i="71"/>
  <c r="Y10" i="71"/>
  <c r="Z10" i="71"/>
  <c r="X10" i="71"/>
  <c r="AH9" i="71"/>
  <c r="AG9" i="71"/>
  <c r="AE9" i="71"/>
  <c r="AF9" i="71"/>
  <c r="AD9" i="71"/>
  <c r="AB8" i="71"/>
  <c r="AA8" i="71"/>
  <c r="X8" i="71"/>
  <c r="F17" i="71"/>
  <c r="F16" i="71"/>
  <c r="F15" i="71"/>
  <c r="F14" i="71"/>
  <c r="F13" i="71"/>
  <c r="F12" i="71"/>
  <c r="F11" i="71"/>
  <c r="F10" i="71"/>
  <c r="E8" i="71"/>
  <c r="E7" i="71"/>
  <c r="E6" i="71"/>
  <c r="E5" i="71"/>
  <c r="C8" i="71"/>
  <c r="AH10" i="71"/>
  <c r="AG10" i="71"/>
  <c r="AE10" i="71"/>
  <c r="AF10" i="71"/>
  <c r="AD10"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L3" i="71"/>
  <c r="AH3" i="71"/>
  <c r="K3" i="71"/>
  <c r="AG3" i="71"/>
  <c r="J3" i="71"/>
  <c r="AE3" i="71"/>
  <c r="I3" i="71"/>
  <c r="AH14" i="71"/>
  <c r="AG14" i="71"/>
  <c r="AE14" i="71"/>
  <c r="AF14" i="71"/>
  <c r="AD14" i="71"/>
  <c r="AA14" i="71"/>
  <c r="X14" i="71"/>
  <c r="AH15" i="71"/>
  <c r="AG15" i="71"/>
  <c r="AE15" i="71"/>
  <c r="AF15" i="71"/>
  <c r="AD15" i="71"/>
  <c r="AB14" i="71"/>
  <c r="AA15"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7" i="71"/>
  <c r="AG17" i="71"/>
  <c r="AH17" i="71"/>
  <c r="AE17" i="71"/>
  <c r="AF17" i="71"/>
  <c r="X15" i="71"/>
  <c r="AB16" i="71"/>
  <c r="AA16" i="71"/>
  <c r="Y15" i="71"/>
  <c r="Z15" i="71"/>
  <c r="Y16" i="71"/>
  <c r="Z16"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O46" i="71"/>
  <c r="C47" i="71"/>
  <c r="Q46" i="71"/>
  <c r="F47" i="71"/>
  <c r="F48" i="71"/>
  <c r="F49" i="71"/>
  <c r="V49" i="71"/>
  <c r="P46" i="71"/>
  <c r="E47"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AB32" i="71"/>
  <c r="AA32" i="71"/>
  <c r="Y32" i="71"/>
  <c r="Z32" i="71"/>
  <c r="X32" i="71"/>
  <c r="AB31" i="71"/>
  <c r="Y31" i="71"/>
  <c r="Z31" i="71"/>
  <c r="F31" i="71"/>
  <c r="F32" i="71"/>
  <c r="F33" i="71"/>
  <c r="V33" i="71"/>
  <c r="D30" i="71"/>
  <c r="AB29" i="71"/>
  <c r="Y29" i="71"/>
  <c r="Z29" i="71"/>
  <c r="AB28" i="71"/>
  <c r="Y28" i="71"/>
  <c r="Z28" i="71"/>
  <c r="AB27" i="71"/>
  <c r="Y27" i="71"/>
  <c r="Z27" i="71"/>
  <c r="F27" i="71"/>
  <c r="F28" i="71"/>
  <c r="F29" i="71"/>
  <c r="V29" i="71"/>
  <c r="D26" i="71"/>
  <c r="AB25" i="71"/>
  <c r="Y25" i="71"/>
  <c r="Z25" i="71"/>
  <c r="AB24" i="71"/>
  <c r="Y24" i="71"/>
  <c r="Z24" i="71"/>
  <c r="AB23" i="71"/>
  <c r="Y23" i="71"/>
  <c r="Z23" i="71"/>
  <c r="F23" i="71"/>
  <c r="F24" i="71"/>
  <c r="F25" i="71"/>
  <c r="V25" i="71"/>
  <c r="D22"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E48" i="71"/>
  <c r="E49" i="71"/>
  <c r="U49" i="71"/>
  <c r="E52" i="71"/>
  <c r="E53" i="71"/>
  <c r="U53" i="71"/>
  <c r="E56" i="71"/>
  <c r="E57" i="71"/>
  <c r="U57" i="71"/>
  <c r="Q58" i="71"/>
  <c r="U61" i="71"/>
  <c r="E60"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s="1"/>
  <c r="F15" i="4"/>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H63" i="39"/>
  <c r="I63" i="39"/>
  <c r="H62" i="39"/>
  <c r="I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F9" i="1" s="1"/>
  <c r="G9" i="1" s="1"/>
  <c r="G15" i="4"/>
  <c r="F8" i="1" s="1"/>
  <c r="G8"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E19" i="6"/>
  <c r="E20" i="6"/>
  <c r="E21" i="6"/>
  <c r="K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Q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M9" i="1"/>
  <c r="M16" i="1"/>
  <c r="H86" i="43"/>
  <c r="H82" i="43"/>
  <c r="H87" i="43"/>
  <c r="K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B10" i="1"/>
  <c r="E10" i="1"/>
  <c r="D1" i="66"/>
  <c r="E10" i="66"/>
  <c r="K12" i="1"/>
  <c r="M12" i="1"/>
  <c r="O12" i="1"/>
  <c r="P12" i="1"/>
  <c r="S13" i="1"/>
  <c r="AR13" i="1"/>
  <c r="R13" i="1"/>
  <c r="S11" i="1"/>
  <c r="AQ11" i="1"/>
  <c r="R11" i="1"/>
  <c r="E27" i="6"/>
  <c r="K22" i="6"/>
  <c r="S9" i="1"/>
  <c r="AR9" i="1"/>
  <c r="M22" i="6"/>
  <c r="I22" i="6"/>
  <c r="H22" i="6"/>
  <c r="D22" i="6"/>
  <c r="R22" i="6"/>
  <c r="R9" i="1"/>
  <c r="J51" i="67"/>
  <c r="C4" i="12"/>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58" i="21" s="1"/>
  <c r="D58" i="21" s="1"/>
  <c r="C7" i="40"/>
  <c r="C63" i="40" s="1"/>
  <c r="D63" i="40" s="1"/>
  <c r="D65" i="40" s="1"/>
  <c r="M47" i="9"/>
  <c r="G19" i="43"/>
  <c r="O19" i="43"/>
  <c r="C19" i="43" s="1"/>
  <c r="L17" i="43"/>
  <c r="M17" i="43"/>
  <c r="N17" i="43"/>
  <c r="O17" i="43"/>
  <c r="G17" i="43"/>
  <c r="E17" i="43"/>
  <c r="C16" i="43"/>
  <c r="C5" i="43"/>
  <c r="G20" i="43"/>
  <c r="T35" i="4"/>
  <c r="A19" i="51"/>
  <c r="B14" i="72"/>
  <c r="C46" i="36"/>
  <c r="D46" i="36"/>
  <c r="C59" i="34"/>
  <c r="D59" i="34"/>
  <c r="E59" i="34" s="1"/>
  <c r="F59" i="34" s="1"/>
  <c r="G59" i="34" s="1"/>
  <c r="H59" i="34" s="1"/>
  <c r="I59" i="34" s="1"/>
  <c r="C52" i="37"/>
  <c r="D52" i="37"/>
  <c r="E52" i="37" s="1"/>
  <c r="A4" i="51"/>
  <c r="B6" i="72"/>
  <c r="C48" i="35"/>
  <c r="D48" i="35"/>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D10" i="11"/>
  <c r="C10" i="11"/>
  <c r="D20" i="12"/>
  <c r="C20" i="12" s="1"/>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P16" i="1"/>
  <c r="C11" i="12"/>
  <c r="C15" i="12" s="1"/>
  <c r="F34" i="11"/>
  <c r="C37" i="11"/>
  <c r="F11" i="12"/>
  <c r="C23" i="12" s="1"/>
  <c r="H19" i="6"/>
  <c r="S19" i="6"/>
  <c r="S27" i="6"/>
  <c r="I27" i="6"/>
  <c r="F50" i="11"/>
  <c r="F50" i="69"/>
  <c r="C47" i="11"/>
  <c r="D45" i="11"/>
  <c r="C29" i="11"/>
  <c r="D27" i="11"/>
  <c r="L16" i="1"/>
  <c r="R26" i="6"/>
  <c r="R23" i="6"/>
  <c r="R24" i="6"/>
  <c r="R21" i="6"/>
  <c r="D30" i="6"/>
  <c r="D16" i="6"/>
  <c r="A7" i="51"/>
  <c r="B7" i="72"/>
  <c r="C4" i="52"/>
  <c r="B45" i="72"/>
  <c r="A10" i="51"/>
  <c r="B9" i="72"/>
  <c r="D27" i="6"/>
  <c r="H27" i="6"/>
  <c r="R19" i="6"/>
  <c r="D31" i="6"/>
  <c r="I6" i="6"/>
  <c r="R27" i="6"/>
  <c r="I5" i="6"/>
  <c r="E2" i="70"/>
  <c r="C34" i="69"/>
  <c r="C35" i="69" s="1"/>
  <c r="D10" i="69"/>
  <c r="C10" i="69" s="1"/>
  <c r="S16" i="1"/>
  <c r="T16" i="1"/>
  <c r="AG6" i="1"/>
  <c r="H109" i="9"/>
  <c r="H110" i="9"/>
  <c r="D18" i="53"/>
  <c r="B35" i="72"/>
  <c r="D124" i="9"/>
  <c r="D16" i="53"/>
  <c r="B34" i="72"/>
  <c r="D10" i="52"/>
  <c r="H14" i="74"/>
  <c r="D17" i="53"/>
  <c r="B36" i="72"/>
  <c r="D125" i="9"/>
  <c r="D11" i="52"/>
  <c r="B7" i="74"/>
  <c r="D7" i="74"/>
  <c r="C7" i="74"/>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D68" i="39"/>
  <c r="D70" i="39" s="1"/>
  <c r="E46" i="36"/>
  <c r="F46" i="36" s="1"/>
  <c r="G46" i="36"/>
  <c r="H46" i="36" s="1"/>
  <c r="I46" i="36" s="1"/>
  <c r="D15" i="71"/>
  <c r="D16" i="71"/>
  <c r="D17" i="71"/>
  <c r="U17" i="71"/>
  <c r="S17" i="71"/>
  <c r="T17" i="71"/>
  <c r="AB15" i="71"/>
  <c r="X13" i="71"/>
  <c r="X12" i="71"/>
  <c r="AA13" i="71"/>
  <c r="AA12" i="71"/>
  <c r="X16" i="71"/>
  <c r="Z11" i="71"/>
  <c r="Y12" i="71"/>
  <c r="Z12" i="71"/>
  <c r="AB13" i="71"/>
  <c r="AB12" i="71"/>
  <c r="S13" i="71"/>
  <c r="C94" i="9"/>
  <c r="C92" i="9"/>
  <c r="C20" i="11"/>
  <c r="C28" i="11"/>
  <c r="C27" i="11"/>
  <c r="Y13" i="71"/>
  <c r="Z13" i="71"/>
  <c r="X3" i="71"/>
  <c r="D5" i="43"/>
  <c r="E68" i="39"/>
  <c r="F68" i="39" s="1"/>
  <c r="G68" i="39" s="1"/>
  <c r="G70" i="39" s="1"/>
  <c r="V13" i="71"/>
  <c r="D14" i="71"/>
  <c r="E41" i="43"/>
  <c r="C41" i="43"/>
  <c r="J59" i="34"/>
  <c r="K59" i="34" s="1"/>
  <c r="D11" i="71"/>
  <c r="T13" i="71"/>
  <c r="D12" i="71"/>
  <c r="D13" i="71"/>
  <c r="U13" i="71"/>
  <c r="F70" i="39"/>
  <c r="G16" i="1"/>
  <c r="D23" i="67"/>
  <c r="G25" i="12"/>
  <c r="G41" i="11"/>
  <c r="G27" i="12"/>
  <c r="G41" i="68"/>
  <c r="F52" i="37"/>
  <c r="G52" i="37" s="1"/>
  <c r="H52" i="37"/>
  <c r="I52" i="37" s="1"/>
  <c r="J52" i="37" s="1"/>
  <c r="E48" i="35"/>
  <c r="F48" i="35" s="1"/>
  <c r="C65" i="40"/>
  <c r="F10" i="40"/>
  <c r="J10" i="40"/>
  <c r="H10" i="39"/>
  <c r="F31" i="67"/>
  <c r="F31" i="15"/>
  <c r="K4" i="4"/>
  <c r="B46" i="48"/>
  <c r="B4" i="72"/>
  <c r="B4" i="62"/>
  <c r="B71" i="72"/>
  <c r="D9" i="53"/>
  <c r="B25" i="72"/>
  <c r="B24" i="72"/>
  <c r="D8" i="71"/>
  <c r="C7" i="71"/>
  <c r="T11" i="43"/>
  <c r="V11" i="43" s="1"/>
  <c r="T12" i="43"/>
  <c r="V12" i="43" s="1"/>
  <c r="Y9" i="71"/>
  <c r="Z9" i="71"/>
  <c r="Y8" i="71"/>
  <c r="AA9" i="71"/>
  <c r="AB3" i="71"/>
  <c r="C19" i="68"/>
  <c r="B8" i="71"/>
  <c r="B7" i="71"/>
  <c r="B6" i="71"/>
  <c r="B5" i="71"/>
  <c r="X9" i="71"/>
  <c r="AB9" i="71"/>
  <c r="Z8" i="71"/>
  <c r="Y3" i="71"/>
  <c r="Z3" i="71"/>
  <c r="F9" i="71"/>
  <c r="F8" i="71"/>
  <c r="F7" i="71"/>
  <c r="F6" i="71"/>
  <c r="F5" i="71"/>
  <c r="AF3" i="71"/>
  <c r="P22" i="43"/>
  <c r="C34" i="43"/>
  <c r="T16" i="43"/>
  <c r="V16" i="43" s="1"/>
  <c r="T13" i="43"/>
  <c r="V13" i="43" s="1"/>
  <c r="T8" i="43"/>
  <c r="V8" i="43" s="1"/>
  <c r="T2" i="43"/>
  <c r="V2" i="43" s="1"/>
  <c r="C38" i="43"/>
  <c r="K1" i="73"/>
  <c r="F59" i="67"/>
  <c r="H68" i="39"/>
  <c r="E63" i="40"/>
  <c r="U10" i="39"/>
  <c r="AB10" i="39"/>
  <c r="W10" i="40"/>
  <c r="AC10" i="40"/>
  <c r="AA10" i="40"/>
  <c r="S10" i="40"/>
  <c r="E58" i="21"/>
  <c r="D7" i="71"/>
  <c r="C6" i="71"/>
  <c r="M17" i="67"/>
  <c r="M17" i="15"/>
  <c r="F59" i="15"/>
  <c r="P24" i="43"/>
  <c r="B66" i="40"/>
  <c r="P21" i="43"/>
  <c r="P25" i="43"/>
  <c r="P23" i="43"/>
  <c r="B71" i="39" s="1"/>
  <c r="E38" i="43"/>
  <c r="G38" i="43"/>
  <c r="I38" i="43" s="1"/>
  <c r="G34" i="43"/>
  <c r="I34" i="43" s="1"/>
  <c r="E34" i="43"/>
  <c r="I68" i="39"/>
  <c r="H70" i="39"/>
  <c r="F58" i="21"/>
  <c r="F63" i="40"/>
  <c r="G63" i="40" s="1"/>
  <c r="E65" i="40"/>
  <c r="G48" i="35"/>
  <c r="D6" i="71"/>
  <c r="C5" i="71"/>
  <c r="I70" i="39"/>
  <c r="J68" i="39"/>
  <c r="H48" i="35"/>
  <c r="F65" i="40"/>
  <c r="G58" i="21"/>
  <c r="D5" i="71"/>
  <c r="M20" i="43"/>
  <c r="K68" i="39"/>
  <c r="J70" i="39"/>
  <c r="I48" i="35"/>
  <c r="H58" i="21"/>
  <c r="K70" i="39"/>
  <c r="L68" i="39"/>
  <c r="I58" i="21"/>
  <c r="J48" i="35"/>
  <c r="L70" i="39"/>
  <c r="M68" i="39"/>
  <c r="K48" i="35"/>
  <c r="L48" i="35" s="1"/>
  <c r="M70" i="39"/>
  <c r="N68" i="39"/>
  <c r="O68" i="39"/>
  <c r="O70" i="39" s="1"/>
  <c r="N70" i="39"/>
  <c r="D113" i="43"/>
  <c r="D59" i="9"/>
  <c r="M55" i="9"/>
  <c r="F6" i="15"/>
  <c r="F13" i="15"/>
  <c r="L48" i="15"/>
  <c r="F7" i="79"/>
  <c r="F36" i="79"/>
  <c r="F9" i="80"/>
  <c r="F4" i="73"/>
  <c r="F37" i="79"/>
  <c r="F35" i="80"/>
  <c r="F38" i="80"/>
  <c r="M9" i="80"/>
  <c r="AO12" i="1"/>
  <c r="M27" i="80"/>
  <c r="M21" i="79"/>
  <c r="M24" i="79"/>
  <c r="F40" i="15"/>
  <c r="F13" i="79"/>
  <c r="F7" i="80"/>
  <c r="F36" i="80"/>
  <c r="M26" i="80"/>
  <c r="C76" i="79"/>
  <c r="F9" i="67"/>
  <c r="M6" i="67"/>
  <c r="E9" i="76"/>
  <c r="E12" i="76"/>
  <c r="C76" i="67"/>
  <c r="M28" i="15"/>
  <c r="D2" i="35"/>
  <c r="F7" i="73"/>
  <c r="E8" i="76"/>
  <c r="J15" i="80"/>
  <c r="E11" i="76"/>
  <c r="M28" i="67"/>
  <c r="E7" i="76"/>
  <c r="J15" i="67"/>
  <c r="F13" i="67"/>
  <c r="F37" i="67"/>
  <c r="B8" i="76"/>
  <c r="F3" i="73"/>
  <c r="F5" i="73"/>
  <c r="F38" i="67"/>
  <c r="F42" i="67"/>
  <c r="D7" i="73"/>
  <c r="M29" i="67"/>
  <c r="B13" i="76"/>
  <c r="F7" i="67"/>
  <c r="F7" i="15"/>
  <c r="F37" i="15"/>
  <c r="M8" i="15"/>
  <c r="C14" i="79"/>
  <c r="F40" i="79"/>
  <c r="D5" i="73"/>
  <c r="F16" i="15"/>
  <c r="L48" i="79"/>
  <c r="F26" i="80"/>
  <c r="F42" i="80"/>
  <c r="AO9" i="1"/>
  <c r="AO13" i="1"/>
  <c r="L47" i="79"/>
  <c r="M22" i="79"/>
  <c r="C14" i="15"/>
  <c r="M6" i="15"/>
  <c r="F38" i="79"/>
  <c r="C14" i="80"/>
  <c r="F40" i="80"/>
  <c r="M21" i="80"/>
  <c r="M27" i="79"/>
  <c r="F41" i="67"/>
  <c r="D6" i="73"/>
  <c r="D2" i="34"/>
  <c r="M22" i="15"/>
  <c r="B11" i="76"/>
  <c r="F6" i="73"/>
  <c r="B12" i="76"/>
  <c r="M28" i="80"/>
  <c r="L47" i="67"/>
  <c r="M22" i="67"/>
  <c r="F26" i="67"/>
  <c r="M26" i="67"/>
  <c r="J15" i="79"/>
  <c r="F42" i="79"/>
  <c r="M6" i="80"/>
  <c r="D2" i="33"/>
  <c r="F35" i="67"/>
  <c r="E2" i="69"/>
  <c r="C76" i="15"/>
  <c r="M26" i="15"/>
  <c r="J15" i="15"/>
  <c r="M23" i="15"/>
  <c r="B9" i="76"/>
  <c r="M8" i="67"/>
  <c r="M24" i="15"/>
  <c r="M27" i="67"/>
  <c r="B10" i="76"/>
  <c r="E13" i="76"/>
  <c r="F40" i="67"/>
  <c r="F20" i="31"/>
  <c r="F6" i="79"/>
  <c r="F9" i="15"/>
  <c r="F26" i="79"/>
  <c r="F37" i="80"/>
  <c r="AO11" i="1"/>
  <c r="M23" i="79"/>
  <c r="M8" i="79"/>
  <c r="L47" i="80"/>
  <c r="M27" i="15"/>
  <c r="M21" i="15"/>
  <c r="F8" i="67"/>
  <c r="D2" i="21"/>
  <c r="D4" i="73"/>
  <c r="L47" i="15"/>
  <c r="F35" i="15"/>
  <c r="F38" i="15"/>
  <c r="M9" i="15"/>
  <c r="F16" i="79"/>
  <c r="M6" i="79"/>
  <c r="F8" i="15"/>
  <c r="F9" i="79"/>
  <c r="M9" i="79"/>
  <c r="F13" i="80"/>
  <c r="L48" i="80"/>
  <c r="AO10" i="1"/>
  <c r="C76" i="80"/>
  <c r="M28" i="79"/>
  <c r="F43" i="15"/>
  <c r="F8" i="79"/>
  <c r="F16" i="80"/>
  <c r="M22" i="80"/>
  <c r="M21" i="67"/>
  <c r="L48" i="67"/>
  <c r="D2" i="37"/>
  <c r="B7" i="76"/>
  <c r="M29" i="79"/>
  <c r="E10" i="76"/>
  <c r="E2" i="68"/>
  <c r="D2" i="36"/>
  <c r="M23" i="67"/>
  <c r="M24" i="67"/>
  <c r="D3" i="73"/>
  <c r="F26" i="15"/>
  <c r="F42" i="15"/>
  <c r="F43" i="79"/>
  <c r="F8" i="80"/>
  <c r="F6" i="80"/>
  <c r="M8" i="80"/>
  <c r="M29" i="80"/>
  <c r="M26" i="79"/>
  <c r="F36" i="15"/>
  <c r="F35" i="79"/>
  <c r="F43" i="80"/>
  <c r="M23" i="80"/>
  <c r="F16" i="67"/>
  <c r="F43" i="67"/>
  <c r="M9" i="67"/>
  <c r="F6" i="67"/>
  <c r="M24" i="80"/>
  <c r="F36" i="67"/>
  <c r="M29" i="15"/>
  <c r="F7" i="49" l="1"/>
  <c r="H7" i="49" s="1"/>
  <c r="B6" i="49"/>
  <c r="D6" i="49" s="1"/>
  <c r="F11" i="49"/>
  <c r="H11" i="49" s="1"/>
  <c r="B14" i="49"/>
  <c r="D14" i="49" s="1"/>
  <c r="B9" i="49"/>
  <c r="D9" i="49" s="1"/>
  <c r="M48" i="35"/>
  <c r="N48" i="35" s="1"/>
  <c r="O48" i="35" s="1"/>
  <c r="J7" i="35"/>
  <c r="F7" i="35"/>
  <c r="H7" i="35"/>
  <c r="H7" i="36"/>
  <c r="J46" i="36"/>
  <c r="K46" i="36" s="1"/>
  <c r="L46" i="36" s="1"/>
  <c r="M46" i="36" s="1"/>
  <c r="N46" i="36" s="1"/>
  <c r="O46" i="36" s="1"/>
  <c r="F7" i="36"/>
  <c r="J58" i="21"/>
  <c r="H63" i="40"/>
  <c r="G65" i="40"/>
  <c r="K52" i="37"/>
  <c r="L52" i="37" s="1"/>
  <c r="M52" i="37" s="1"/>
  <c r="N52" i="37" s="1"/>
  <c r="O52" i="37" s="1"/>
  <c r="J7" i="37"/>
  <c r="F7" i="37"/>
  <c r="L59" i="34"/>
  <c r="M59" i="34" s="1"/>
  <c r="N59" i="34" s="1"/>
  <c r="O59" i="34" s="1"/>
  <c r="F10" i="39"/>
  <c r="H10" i="40"/>
  <c r="J10" i="39"/>
  <c r="E70" i="39"/>
  <c r="H7" i="37"/>
  <c r="J7" i="36"/>
  <c r="T14" i="43"/>
  <c r="V14" i="43" s="1"/>
  <c r="C35" i="43"/>
  <c r="C36" i="43"/>
  <c r="T9" i="43"/>
  <c r="V9" i="43" s="1"/>
  <c r="C39" i="43"/>
  <c r="C37" i="43"/>
  <c r="T4" i="43"/>
  <c r="V4" i="43" s="1"/>
  <c r="T15" i="43"/>
  <c r="V15" i="43" s="1"/>
  <c r="T6" i="43"/>
  <c r="V6" i="43" s="1"/>
  <c r="C29" i="43"/>
  <c r="T10" i="43"/>
  <c r="V10" i="43" s="1"/>
  <c r="T7" i="43"/>
  <c r="V7" i="43" s="1"/>
  <c r="C33" i="43"/>
  <c r="T3" i="43"/>
  <c r="V3" i="43" s="1"/>
  <c r="T5" i="43"/>
  <c r="V5" i="43" s="1"/>
  <c r="D58" i="33"/>
  <c r="H7" i="34"/>
  <c r="F7" i="34"/>
  <c r="J51" i="80"/>
  <c r="J51" i="15"/>
  <c r="N59" i="15" s="1"/>
  <c r="C42" i="1"/>
  <c r="F13" i="49"/>
  <c r="H13" i="49" s="1"/>
  <c r="F9" i="49"/>
  <c r="H9" i="49" s="1"/>
  <c r="F5" i="49"/>
  <c r="H5" i="49" s="1"/>
  <c r="B10" i="49"/>
  <c r="D10" i="49" s="1"/>
  <c r="B13" i="49"/>
  <c r="D13" i="49" s="1"/>
  <c r="B5" i="49"/>
  <c r="D5" i="49" s="1"/>
  <c r="R16" i="1"/>
  <c r="C14" i="12"/>
  <c r="C47" i="69"/>
  <c r="D45" i="69" s="1"/>
  <c r="F45" i="68"/>
  <c r="C9" i="68"/>
  <c r="F14" i="49"/>
  <c r="H14" i="49" s="1"/>
  <c r="F12" i="49"/>
  <c r="H12" i="49" s="1"/>
  <c r="F10" i="49"/>
  <c r="H10" i="49" s="1"/>
  <c r="F8" i="49"/>
  <c r="H8" i="49" s="1"/>
  <c r="F6" i="49"/>
  <c r="H6" i="49" s="1"/>
  <c r="F4" i="49"/>
  <c r="H4" i="49" s="1"/>
  <c r="B12" i="49"/>
  <c r="D12" i="49" s="1"/>
  <c r="B8" i="49"/>
  <c r="D8" i="49" s="1"/>
  <c r="B4" i="49"/>
  <c r="D4" i="49" s="1"/>
  <c r="B11" i="49"/>
  <c r="D11" i="49" s="1"/>
  <c r="B7" i="49"/>
  <c r="D7" i="49" s="1"/>
  <c r="C29" i="69"/>
  <c r="D27" i="69" s="1"/>
  <c r="C37" i="68"/>
  <c r="C36" i="68"/>
  <c r="D19" i="69"/>
  <c r="C19" i="69" s="1"/>
  <c r="C12" i="12"/>
  <c r="C47" i="68"/>
  <c r="D45" i="68" s="1"/>
  <c r="B20" i="31"/>
  <c r="B21" i="31" s="1"/>
  <c r="M7" i="67"/>
  <c r="F50" i="67"/>
  <c r="M59" i="15"/>
  <c r="L58" i="15"/>
  <c r="L59" i="15"/>
  <c r="C27" i="67"/>
  <c r="F65" i="67"/>
  <c r="F64" i="67"/>
  <c r="F68" i="67"/>
  <c r="E20" i="43"/>
  <c r="L59" i="67"/>
  <c r="M59" i="67"/>
  <c r="N59" i="67"/>
  <c r="L58" i="67"/>
  <c r="F70" i="67"/>
  <c r="C6" i="67"/>
  <c r="Q71" i="15"/>
  <c r="F66" i="67"/>
  <c r="Q71" i="67"/>
  <c r="F71" i="67"/>
  <c r="F51" i="67"/>
  <c r="C34" i="67"/>
  <c r="F63" i="67"/>
  <c r="C62" i="67" s="1"/>
  <c r="J20" i="15"/>
  <c r="J57" i="67"/>
  <c r="J55" i="67" s="1"/>
  <c r="J58" i="67" s="1"/>
  <c r="Q50" i="67" s="1"/>
  <c r="L56" i="67"/>
  <c r="J53" i="67"/>
  <c r="I54" i="67"/>
  <c r="J6" i="67"/>
  <c r="J20" i="67"/>
  <c r="F69" i="67"/>
  <c r="Q71" i="79"/>
  <c r="J20" i="80"/>
  <c r="L59" i="80"/>
  <c r="L58" i="80"/>
  <c r="N59" i="80"/>
  <c r="M59" i="80"/>
  <c r="F68" i="80"/>
  <c r="F64" i="80"/>
  <c r="F71" i="80"/>
  <c r="C15" i="80"/>
  <c r="C18" i="80"/>
  <c r="F50" i="80"/>
  <c r="M7" i="80"/>
  <c r="J6" i="80" s="1"/>
  <c r="F66" i="79"/>
  <c r="C34" i="79"/>
  <c r="F63" i="79"/>
  <c r="C62" i="79" s="1"/>
  <c r="F51" i="79"/>
  <c r="F68" i="15"/>
  <c r="F64" i="15"/>
  <c r="F71" i="15"/>
  <c r="C15" i="15"/>
  <c r="C18" i="15"/>
  <c r="J20" i="79"/>
  <c r="M59" i="79"/>
  <c r="L59" i="79"/>
  <c r="L58" i="79"/>
  <c r="N59" i="79"/>
  <c r="Q71" i="80"/>
  <c r="B13" i="70"/>
  <c r="B12" i="70"/>
  <c r="B11" i="70"/>
  <c r="B10" i="70"/>
  <c r="B9" i="70"/>
  <c r="J53" i="80"/>
  <c r="L60" i="80"/>
  <c r="L57" i="80"/>
  <c r="I54" i="80"/>
  <c r="J57" i="80"/>
  <c r="J55" i="80" s="1"/>
  <c r="J58" i="80" s="1"/>
  <c r="Q50" i="80" s="1"/>
  <c r="L56" i="80"/>
  <c r="F66" i="80"/>
  <c r="F65" i="80"/>
  <c r="C27" i="80"/>
  <c r="F63" i="80"/>
  <c r="C62" i="80" s="1"/>
  <c r="C34" i="80"/>
  <c r="C6" i="80"/>
  <c r="J57" i="79"/>
  <c r="J55" i="79" s="1"/>
  <c r="J58" i="79" s="1"/>
  <c r="Q50" i="79" s="1"/>
  <c r="J53" i="79"/>
  <c r="L56" i="79"/>
  <c r="L60" i="79"/>
  <c r="L57" i="79"/>
  <c r="I54" i="79"/>
  <c r="F65" i="79"/>
  <c r="C27" i="79"/>
  <c r="I1" i="73"/>
  <c r="B39" i="1" s="1"/>
  <c r="F51" i="15"/>
  <c r="F51" i="80"/>
  <c r="F68" i="79"/>
  <c r="F64" i="79"/>
  <c r="F71" i="79"/>
  <c r="C18" i="79"/>
  <c r="C15" i="79"/>
  <c r="M7" i="79"/>
  <c r="J6" i="79" s="1"/>
  <c r="F50" i="79"/>
  <c r="C6" i="79"/>
  <c r="J53" i="15"/>
  <c r="J57" i="15"/>
  <c r="J55" i="15" s="1"/>
  <c r="J58" i="15" s="1"/>
  <c r="Q50" i="15" s="1"/>
  <c r="L56" i="15"/>
  <c r="I54" i="15"/>
  <c r="L60" i="15"/>
  <c r="L57" i="15"/>
  <c r="F66" i="15"/>
  <c r="F65" i="15"/>
  <c r="C27" i="15"/>
  <c r="C34" i="15"/>
  <c r="F63" i="15"/>
  <c r="C62" i="15" s="1"/>
  <c r="M7" i="15"/>
  <c r="J6" i="15" s="1"/>
  <c r="F50" i="15"/>
  <c r="C6" i="15"/>
  <c r="C18" i="12"/>
  <c r="D37" i="69"/>
  <c r="C37" i="69" s="1"/>
  <c r="C8" i="69"/>
  <c r="C5" i="69" s="1"/>
  <c r="C38" i="69"/>
  <c r="C33" i="69" s="1"/>
  <c r="C38" i="68"/>
  <c r="G1" i="73"/>
  <c r="C14" i="67"/>
  <c r="C17" i="79"/>
  <c r="C16" i="80"/>
  <c r="C16" i="15"/>
  <c r="C17" i="80"/>
  <c r="C17" i="15"/>
  <c r="C17" i="67"/>
  <c r="C16" i="67"/>
  <c r="C16" i="79"/>
  <c r="C49" i="67" l="1"/>
  <c r="C28" i="79"/>
  <c r="C31" i="12"/>
  <c r="C28" i="80"/>
  <c r="C48" i="69"/>
  <c r="C28" i="15"/>
  <c r="C34" i="11"/>
  <c r="C13" i="12"/>
  <c r="C16" i="12" s="1"/>
  <c r="C21" i="12" s="1"/>
  <c r="C77" i="9"/>
  <c r="C74" i="9" s="1"/>
  <c r="C28" i="67"/>
  <c r="C24" i="12"/>
  <c r="C29" i="12" s="1"/>
  <c r="D28" i="12" s="1"/>
  <c r="C36" i="11"/>
  <c r="C48" i="68"/>
  <c r="C30" i="69"/>
  <c r="C30" i="68"/>
  <c r="U7" i="34"/>
  <c r="AB7" i="34"/>
  <c r="T49" i="34" s="1"/>
  <c r="G49" i="34" s="1"/>
  <c r="E58" i="33"/>
  <c r="C30" i="43"/>
  <c r="E30" i="43" s="1"/>
  <c r="E29" i="43"/>
  <c r="E37" i="43"/>
  <c r="G37" i="43"/>
  <c r="I37" i="43" s="1"/>
  <c r="G35" i="43"/>
  <c r="I35" i="43" s="1"/>
  <c r="E35" i="43"/>
  <c r="AC7" i="36"/>
  <c r="V36" i="36" s="1"/>
  <c r="I36" i="36" s="1"/>
  <c r="W7" i="36"/>
  <c r="J7" i="39"/>
  <c r="F7" i="39"/>
  <c r="H7" i="39"/>
  <c r="U10" i="40"/>
  <c r="AB10" i="40"/>
  <c r="J7" i="34"/>
  <c r="AA7" i="37"/>
  <c r="R42" i="37" s="1"/>
  <c r="S7" i="37"/>
  <c r="H65" i="40"/>
  <c r="I63" i="40"/>
  <c r="K58" i="21"/>
  <c r="AB7" i="35"/>
  <c r="T38" i="35" s="1"/>
  <c r="G38" i="35" s="1"/>
  <c r="U7" i="35"/>
  <c r="AC7" i="35"/>
  <c r="V38" i="35" s="1"/>
  <c r="I38" i="35" s="1"/>
  <c r="W7" i="35"/>
  <c r="AA7" i="34"/>
  <c r="R49" i="34" s="1"/>
  <c r="S7" i="34"/>
  <c r="G33" i="43"/>
  <c r="I33" i="43" s="1"/>
  <c r="E33" i="43"/>
  <c r="C26" i="43" s="1"/>
  <c r="E39" i="43"/>
  <c r="G39" i="43"/>
  <c r="I39" i="43" s="1"/>
  <c r="G36" i="43"/>
  <c r="I36" i="43" s="1"/>
  <c r="E36" i="43"/>
  <c r="AB7" i="37"/>
  <c r="T42" i="37" s="1"/>
  <c r="G42" i="37" s="1"/>
  <c r="U7" i="37"/>
  <c r="W10" i="39"/>
  <c r="AC10" i="39"/>
  <c r="S10" i="39"/>
  <c r="AA10" i="39"/>
  <c r="AC7" i="37"/>
  <c r="V42" i="37" s="1"/>
  <c r="I42" i="37" s="1"/>
  <c r="W7" i="37"/>
  <c r="AA7" i="36"/>
  <c r="R36" i="36" s="1"/>
  <c r="S7" i="36"/>
  <c r="U7" i="36"/>
  <c r="AB7" i="36"/>
  <c r="T36" i="36" s="1"/>
  <c r="G36" i="36" s="1"/>
  <c r="S7" i="35"/>
  <c r="AA7" i="35"/>
  <c r="R38" i="35" s="1"/>
  <c r="B40" i="1"/>
  <c r="F22" i="68" s="1"/>
  <c r="C33" i="68"/>
  <c r="C39" i="68" s="1"/>
  <c r="C46" i="68" s="1"/>
  <c r="C45" i="68" s="1"/>
  <c r="C49" i="80"/>
  <c r="C19" i="15"/>
  <c r="C15" i="67"/>
  <c r="C18" i="67"/>
  <c r="C19" i="80"/>
  <c r="C19" i="79"/>
  <c r="J18" i="80"/>
  <c r="J18" i="15"/>
  <c r="C20" i="69"/>
  <c r="C28" i="69" s="1"/>
  <c r="C27" i="69" s="1"/>
  <c r="Q66" i="15"/>
  <c r="Q57" i="15"/>
  <c r="C32" i="79"/>
  <c r="C33" i="79"/>
  <c r="C49" i="15"/>
  <c r="C33" i="80"/>
  <c r="C32" i="80"/>
  <c r="Q52" i="80"/>
  <c r="F1" i="80"/>
  <c r="Q73" i="79"/>
  <c r="Q60" i="79"/>
  <c r="C49" i="79"/>
  <c r="Q61" i="80"/>
  <c r="Q74" i="80"/>
  <c r="J18" i="67"/>
  <c r="Q52" i="67"/>
  <c r="F1" i="67"/>
  <c r="Q74" i="67"/>
  <c r="Q61" i="67"/>
  <c r="Q73" i="15"/>
  <c r="Q60" i="15"/>
  <c r="C39" i="69"/>
  <c r="C33" i="15"/>
  <c r="C32" i="15"/>
  <c r="F1" i="15"/>
  <c r="Q52" i="15"/>
  <c r="J18" i="79"/>
  <c r="F11" i="15"/>
  <c r="C53" i="15" s="1"/>
  <c r="M11" i="15"/>
  <c r="J10" i="15" s="1"/>
  <c r="J5" i="15" s="1"/>
  <c r="F11" i="80"/>
  <c r="C53" i="80" s="1"/>
  <c r="M11" i="80"/>
  <c r="J10" i="80" s="1"/>
  <c r="J5" i="80" s="1"/>
  <c r="F11" i="79"/>
  <c r="C53" i="79" s="1"/>
  <c r="M11" i="79"/>
  <c r="J10" i="79" s="1"/>
  <c r="J5" i="79" s="1"/>
  <c r="F11" i="67"/>
  <c r="M11" i="67"/>
  <c r="J10" i="67" s="1"/>
  <c r="J5" i="67" s="1"/>
  <c r="Q66" i="79"/>
  <c r="Q57" i="79"/>
  <c r="F1" i="79"/>
  <c r="Q52" i="79"/>
  <c r="Q57" i="80"/>
  <c r="Q66" i="80"/>
  <c r="Q74" i="79"/>
  <c r="Q61" i="79"/>
  <c r="Q60" i="80"/>
  <c r="Q73" i="80"/>
  <c r="C32" i="67"/>
  <c r="Q73" i="67"/>
  <c r="Q60" i="67"/>
  <c r="N28" i="43"/>
  <c r="P28" i="43"/>
  <c r="M28" i="43"/>
  <c r="O28" i="43"/>
  <c r="Q61" i="15"/>
  <c r="Q74" i="15"/>
  <c r="AE8" i="1"/>
  <c r="AE6" i="1"/>
  <c r="AE7" i="1"/>
  <c r="R37" i="36" l="1"/>
  <c r="E36" i="36"/>
  <c r="I41" i="36" s="1"/>
  <c r="J41" i="36" s="1"/>
  <c r="B2" i="43"/>
  <c r="E42" i="37"/>
  <c r="I47" i="37" s="1"/>
  <c r="J47" i="37" s="1"/>
  <c r="R43" i="37"/>
  <c r="AB7" i="39"/>
  <c r="T47" i="39" s="1"/>
  <c r="G47" i="39" s="1"/>
  <c r="U7" i="39"/>
  <c r="AC7" i="39"/>
  <c r="V47" i="39" s="1"/>
  <c r="I47" i="39" s="1"/>
  <c r="W7" i="39"/>
  <c r="I40" i="36"/>
  <c r="J40" i="36" s="1"/>
  <c r="C27" i="43"/>
  <c r="G53" i="34"/>
  <c r="H53" i="34" s="1"/>
  <c r="C38" i="11"/>
  <c r="C35" i="11"/>
  <c r="C33" i="11" s="1"/>
  <c r="R39" i="35"/>
  <c r="E38" i="35"/>
  <c r="G40" i="36"/>
  <c r="H40" i="36" s="1"/>
  <c r="G41" i="36"/>
  <c r="H41" i="36" s="1"/>
  <c r="I46" i="37"/>
  <c r="J46" i="37" s="1"/>
  <c r="G46" i="37"/>
  <c r="H46" i="37" s="1"/>
  <c r="G47" i="37"/>
  <c r="H47" i="37" s="1"/>
  <c r="R50" i="34"/>
  <c r="E49" i="34"/>
  <c r="I43" i="35"/>
  <c r="J43" i="35" s="1"/>
  <c r="I42" i="35"/>
  <c r="J42" i="35" s="1"/>
  <c r="G42" i="35"/>
  <c r="H42" i="35" s="1"/>
  <c r="G43" i="35"/>
  <c r="H43" i="35" s="1"/>
  <c r="L58" i="21"/>
  <c r="J63" i="40"/>
  <c r="I65" i="40"/>
  <c r="AC7" i="34"/>
  <c r="V49" i="34" s="1"/>
  <c r="I49" i="34" s="1"/>
  <c r="W7" i="34"/>
  <c r="AA7" i="39"/>
  <c r="R47" i="39" s="1"/>
  <c r="S7" i="39"/>
  <c r="F58" i="33"/>
  <c r="F25" i="12"/>
  <c r="C26" i="12" s="1"/>
  <c r="D25" i="12" s="1"/>
  <c r="F24" i="79"/>
  <c r="C24" i="79" s="1"/>
  <c r="F24" i="67"/>
  <c r="C24" i="67" s="1"/>
  <c r="F24" i="15"/>
  <c r="C24" i="15" s="1"/>
  <c r="F22" i="11"/>
  <c r="C23" i="11" s="1"/>
  <c r="F22" i="69"/>
  <c r="C43" i="69" s="1"/>
  <c r="F24" i="80"/>
  <c r="C24" i="80" s="1"/>
  <c r="C48" i="80"/>
  <c r="C60" i="80" s="1"/>
  <c r="C42" i="68"/>
  <c r="C31" i="15"/>
  <c r="C19" i="67"/>
  <c r="C20" i="67" s="1"/>
  <c r="C23" i="67" s="1"/>
  <c r="C10" i="15"/>
  <c r="C5" i="15" s="1"/>
  <c r="C38" i="15" s="1"/>
  <c r="C10" i="80"/>
  <c r="C5" i="80" s="1"/>
  <c r="C38" i="80" s="1"/>
  <c r="C48" i="15"/>
  <c r="C60" i="15" s="1"/>
  <c r="J26" i="67"/>
  <c r="J29" i="67" s="1"/>
  <c r="J24" i="67"/>
  <c r="J26" i="79"/>
  <c r="J24" i="79"/>
  <c r="J24" i="80"/>
  <c r="J26" i="80"/>
  <c r="J26" i="15"/>
  <c r="J24" i="15"/>
  <c r="C10" i="67"/>
  <c r="C5" i="67" s="1"/>
  <c r="C53" i="67"/>
  <c r="C48" i="67" s="1"/>
  <c r="C44" i="11"/>
  <c r="D41" i="11" s="1"/>
  <c r="C26" i="69"/>
  <c r="D22" i="69" s="1"/>
  <c r="C24" i="68"/>
  <c r="C44" i="68"/>
  <c r="D41" i="68" s="1"/>
  <c r="C26" i="68"/>
  <c r="D22" i="68" s="1"/>
  <c r="F41" i="68"/>
  <c r="C43" i="68"/>
  <c r="C48" i="79"/>
  <c r="C31" i="80"/>
  <c r="C10" i="79"/>
  <c r="C5" i="79" s="1"/>
  <c r="C20" i="79"/>
  <c r="C46" i="69"/>
  <c r="C45" i="69" s="1"/>
  <c r="C31" i="79"/>
  <c r="C22" i="12"/>
  <c r="C20" i="80"/>
  <c r="C20" i="15"/>
  <c r="E6" i="76"/>
  <c r="F41" i="15"/>
  <c r="F41" i="79"/>
  <c r="B6" i="76"/>
  <c r="F41" i="80"/>
  <c r="C23" i="15" l="1"/>
  <c r="C23" i="69"/>
  <c r="C23" i="79"/>
  <c r="C25" i="69"/>
  <c r="C66" i="15"/>
  <c r="C42" i="69"/>
  <c r="C24" i="69"/>
  <c r="F41" i="69"/>
  <c r="B2" i="76"/>
  <c r="E2" i="76"/>
  <c r="C39" i="11"/>
  <c r="C46" i="11" s="1"/>
  <c r="C45" i="11" s="1"/>
  <c r="G58" i="33"/>
  <c r="H58" i="33" s="1"/>
  <c r="I58" i="33" s="1"/>
  <c r="J58" i="33" s="1"/>
  <c r="K58" i="33" s="1"/>
  <c r="L58" i="33" s="1"/>
  <c r="M58" i="33" s="1"/>
  <c r="N58" i="33" s="1"/>
  <c r="O58" i="33" s="1"/>
  <c r="J7" i="33"/>
  <c r="H7" i="33"/>
  <c r="E54" i="34"/>
  <c r="F54" i="34" s="1"/>
  <c r="E53" i="34"/>
  <c r="F53" i="34" s="1"/>
  <c r="E43" i="35"/>
  <c r="F43" i="35" s="1"/>
  <c r="E42" i="35"/>
  <c r="F42" i="35" s="1"/>
  <c r="C42" i="37"/>
  <c r="C43" i="37"/>
  <c r="B2" i="37" s="1"/>
  <c r="B3" i="37" s="1"/>
  <c r="B3" i="43"/>
  <c r="C36" i="36"/>
  <c r="C37" i="36"/>
  <c r="B2" i="36" s="1"/>
  <c r="B3" i="36" s="1"/>
  <c r="R48" i="39"/>
  <c r="E47" i="39"/>
  <c r="I54" i="34"/>
  <c r="J54" i="34" s="1"/>
  <c r="I53" i="34"/>
  <c r="J53" i="34" s="1"/>
  <c r="K63" i="40"/>
  <c r="J65" i="40"/>
  <c r="M58" i="21"/>
  <c r="N58" i="21" s="1"/>
  <c r="O58" i="21" s="1"/>
  <c r="F7" i="21"/>
  <c r="C50" i="34"/>
  <c r="B2" i="34" s="1"/>
  <c r="B3" i="34" s="1"/>
  <c r="C49" i="34"/>
  <c r="C39" i="35"/>
  <c r="B2" i="35" s="1"/>
  <c r="B3" i="35" s="1"/>
  <c r="C38" i="35"/>
  <c r="G54" i="34"/>
  <c r="H54" i="34" s="1"/>
  <c r="I51" i="39"/>
  <c r="J51" i="39" s="1"/>
  <c r="I52" i="39"/>
  <c r="J52" i="39" s="1"/>
  <c r="G52" i="39"/>
  <c r="H52" i="39" s="1"/>
  <c r="G51" i="39"/>
  <c r="H51" i="39" s="1"/>
  <c r="E47" i="37"/>
  <c r="F47" i="37" s="1"/>
  <c r="E46" i="37"/>
  <c r="F46" i="37" s="1"/>
  <c r="E40" i="36"/>
  <c r="F40" i="36" s="1"/>
  <c r="E41" i="36"/>
  <c r="F41" i="36" s="1"/>
  <c r="F7" i="33"/>
  <c r="C25" i="11"/>
  <c r="C27" i="12"/>
  <c r="C25" i="12" s="1"/>
  <c r="C26" i="11"/>
  <c r="D22" i="11" s="1"/>
  <c r="C41" i="68"/>
  <c r="C49" i="68" s="1"/>
  <c r="C51" i="68" s="1"/>
  <c r="C24" i="11"/>
  <c r="C22" i="11" s="1"/>
  <c r="C42" i="11"/>
  <c r="C43" i="11"/>
  <c r="C44" i="69"/>
  <c r="D41" i="69" s="1"/>
  <c r="C41" i="69"/>
  <c r="F69" i="79"/>
  <c r="F69" i="80"/>
  <c r="F69" i="15"/>
  <c r="J29" i="80"/>
  <c r="J29" i="15"/>
  <c r="J29" i="79"/>
  <c r="C66" i="80"/>
  <c r="C26" i="79"/>
  <c r="C26" i="67"/>
  <c r="C29" i="67" s="1"/>
  <c r="C26" i="15"/>
  <c r="C26" i="80"/>
  <c r="C23" i="80"/>
  <c r="C30" i="12"/>
  <c r="C28" i="12" s="1"/>
  <c r="C66" i="67"/>
  <c r="C60" i="67"/>
  <c r="C38" i="79"/>
  <c r="C60" i="79"/>
  <c r="C66" i="79"/>
  <c r="C38" i="67"/>
  <c r="C29" i="15" l="1"/>
  <c r="C36" i="15" s="1"/>
  <c r="C29" i="79"/>
  <c r="C13" i="79" s="1"/>
  <c r="C75" i="79" s="1"/>
  <c r="C22" i="69"/>
  <c r="C31" i="69" s="1"/>
  <c r="C31" i="11"/>
  <c r="B3" i="76"/>
  <c r="AA7" i="33"/>
  <c r="R48" i="33" s="1"/>
  <c r="S7" i="33"/>
  <c r="J7" i="21"/>
  <c r="E51" i="39"/>
  <c r="F51" i="39" s="1"/>
  <c r="E52" i="39"/>
  <c r="F52" i="39" s="1"/>
  <c r="AB7" i="33"/>
  <c r="T48" i="33" s="1"/>
  <c r="G48" i="33" s="1"/>
  <c r="U7" i="33"/>
  <c r="AA7" i="21"/>
  <c r="R48" i="21" s="1"/>
  <c r="S7" i="21"/>
  <c r="L63" i="40"/>
  <c r="K65" i="40"/>
  <c r="C48" i="39"/>
  <c r="C47" i="39"/>
  <c r="W7" i="33"/>
  <c r="AC7" i="33"/>
  <c r="V48" i="33" s="1"/>
  <c r="I48" i="33" s="1"/>
  <c r="H7" i="21"/>
  <c r="C32" i="12"/>
  <c r="B2" i="12" s="1"/>
  <c r="B3" i="12" s="1"/>
  <c r="C41" i="11"/>
  <c r="C49" i="11" s="1"/>
  <c r="C51" i="11" s="1"/>
  <c r="C49" i="69"/>
  <c r="C51" i="69" s="1"/>
  <c r="J19" i="15"/>
  <c r="J17" i="15" s="1"/>
  <c r="C36" i="79"/>
  <c r="C29" i="80"/>
  <c r="C36" i="80" s="1"/>
  <c r="J14" i="79"/>
  <c r="J22" i="79" s="1"/>
  <c r="C36" i="67"/>
  <c r="C13" i="67"/>
  <c r="Q49" i="67"/>
  <c r="J14" i="67"/>
  <c r="C57" i="67"/>
  <c r="C33" i="67"/>
  <c r="C31" i="67" s="1"/>
  <c r="J19" i="67"/>
  <c r="J17" i="67" s="1"/>
  <c r="J59" i="67"/>
  <c r="J60" i="67" s="1"/>
  <c r="C37" i="79"/>
  <c r="C56" i="79" l="1"/>
  <c r="C65" i="79" s="1"/>
  <c r="J19" i="79"/>
  <c r="J17" i="79" s="1"/>
  <c r="J14" i="15"/>
  <c r="J13" i="15" s="1"/>
  <c r="J23" i="15" s="1"/>
  <c r="Q70" i="79"/>
  <c r="J59" i="79"/>
  <c r="J60" i="79" s="1"/>
  <c r="L46" i="79" s="1"/>
  <c r="C57" i="15"/>
  <c r="C61" i="15" s="1"/>
  <c r="C59" i="15" s="1"/>
  <c r="J59" i="15"/>
  <c r="J60" i="15" s="1"/>
  <c r="Q48" i="15" s="1"/>
  <c r="C57" i="79"/>
  <c r="C64" i="79" s="1"/>
  <c r="Q49" i="79"/>
  <c r="C61" i="79"/>
  <c r="C59" i="79" s="1"/>
  <c r="C58" i="79" s="1"/>
  <c r="C67" i="79" s="1"/>
  <c r="C68" i="79" s="1"/>
  <c r="Q49" i="15"/>
  <c r="C13" i="15"/>
  <c r="C56" i="15" s="1"/>
  <c r="C65" i="15" s="1"/>
  <c r="C52" i="69"/>
  <c r="B2" i="69" s="1"/>
  <c r="B3" i="69" s="1"/>
  <c r="C52" i="11"/>
  <c r="B2" i="11" s="1"/>
  <c r="B3" i="11" s="1"/>
  <c r="I52" i="33"/>
  <c r="J52" i="33" s="1"/>
  <c r="W7" i="21"/>
  <c r="AC7" i="21"/>
  <c r="V48" i="21" s="1"/>
  <c r="I48" i="21" s="1"/>
  <c r="R49" i="33"/>
  <c r="E48" i="33"/>
  <c r="AB7" i="21"/>
  <c r="T48" i="21" s="1"/>
  <c r="G48" i="21" s="1"/>
  <c r="U7" i="21"/>
  <c r="B62" i="39"/>
  <c r="F62" i="39" s="1"/>
  <c r="B61" i="39"/>
  <c r="F61" i="39" s="1"/>
  <c r="B57" i="39"/>
  <c r="F57" i="39" s="1"/>
  <c r="B65" i="39"/>
  <c r="F65" i="39" s="1"/>
  <c r="B64" i="39"/>
  <c r="F64" i="39" s="1"/>
  <c r="B58" i="39"/>
  <c r="F58" i="39" s="1"/>
  <c r="B59" i="39"/>
  <c r="F59" i="39" s="1"/>
  <c r="B56" i="39"/>
  <c r="F56" i="39" s="1"/>
  <c r="B63" i="39"/>
  <c r="F63" i="39" s="1"/>
  <c r="B60" i="39"/>
  <c r="F60" i="39" s="1"/>
  <c r="M63" i="40"/>
  <c r="L65" i="40"/>
  <c r="E48" i="21"/>
  <c r="R49" i="21"/>
  <c r="G52" i="33"/>
  <c r="H52" i="33" s="1"/>
  <c r="G53" i="33"/>
  <c r="H53" i="33" s="1"/>
  <c r="J13" i="79"/>
  <c r="J23" i="79" s="1"/>
  <c r="J16" i="79" s="1"/>
  <c r="J25" i="79" s="1"/>
  <c r="J22" i="15"/>
  <c r="J16" i="15" s="1"/>
  <c r="J25" i="15" s="1"/>
  <c r="C13" i="80"/>
  <c r="C37" i="80" s="1"/>
  <c r="C30" i="80" s="1"/>
  <c r="C39" i="80" s="1"/>
  <c r="Q49" i="80"/>
  <c r="C57" i="80"/>
  <c r="C61" i="80" s="1"/>
  <c r="C59" i="80" s="1"/>
  <c r="C30" i="79"/>
  <c r="C39" i="79" s="1"/>
  <c r="Q69" i="79" s="1"/>
  <c r="J59" i="80"/>
  <c r="J60" i="80" s="1"/>
  <c r="Q48" i="80" s="1"/>
  <c r="J19" i="80"/>
  <c r="J17" i="80" s="1"/>
  <c r="J14" i="80"/>
  <c r="J22" i="80" s="1"/>
  <c r="C61" i="67"/>
  <c r="C59" i="67" s="1"/>
  <c r="C64" i="67"/>
  <c r="Q48" i="67"/>
  <c r="L46" i="67"/>
  <c r="J13" i="67"/>
  <c r="J23" i="67" s="1"/>
  <c r="J22" i="67"/>
  <c r="Q70" i="67"/>
  <c r="C56" i="67"/>
  <c r="C65" i="67" s="1"/>
  <c r="C75" i="67"/>
  <c r="C37" i="67"/>
  <c r="C30" i="67" s="1"/>
  <c r="C39" i="67" s="1"/>
  <c r="L51" i="79"/>
  <c r="Q48" i="79" l="1"/>
  <c r="C57" i="69"/>
  <c r="C56" i="69" s="1"/>
  <c r="Q68" i="79"/>
  <c r="C64" i="15"/>
  <c r="L46" i="15"/>
  <c r="C58" i="15"/>
  <c r="C67" i="15" s="1"/>
  <c r="C68" i="15" s="1"/>
  <c r="C71" i="15" s="1"/>
  <c r="C56" i="11"/>
  <c r="C57" i="11" s="1"/>
  <c r="C75" i="15"/>
  <c r="C37" i="15"/>
  <c r="C30" i="15" s="1"/>
  <c r="C39" i="15" s="1"/>
  <c r="C40" i="15" s="1"/>
  <c r="Q70" i="15"/>
  <c r="F66" i="39"/>
  <c r="B2" i="39" s="1"/>
  <c r="E53" i="33"/>
  <c r="F53" i="33" s="1"/>
  <c r="E52" i="33"/>
  <c r="F52" i="33" s="1"/>
  <c r="I52" i="21"/>
  <c r="J52" i="21" s="1"/>
  <c r="I53" i="21"/>
  <c r="J53" i="21" s="1"/>
  <c r="I53" i="33"/>
  <c r="J53" i="33" s="1"/>
  <c r="C48" i="21"/>
  <c r="C49" i="21"/>
  <c r="B2" i="21" s="1"/>
  <c r="B3" i="21" s="1"/>
  <c r="E52" i="21"/>
  <c r="F52" i="21" s="1"/>
  <c r="E53" i="21"/>
  <c r="F53" i="21" s="1"/>
  <c r="N63" i="40"/>
  <c r="M65" i="40"/>
  <c r="G52" i="21"/>
  <c r="H52" i="21" s="1"/>
  <c r="G53" i="21"/>
  <c r="H53" i="21" s="1"/>
  <c r="C48" i="33"/>
  <c r="C49" i="33"/>
  <c r="B2" i="33" s="1"/>
  <c r="B3" i="33" s="1"/>
  <c r="C80" i="79"/>
  <c r="C79" i="79" s="1"/>
  <c r="C40" i="79"/>
  <c r="B2" i="79" s="1"/>
  <c r="Q70" i="80"/>
  <c r="C75" i="80"/>
  <c r="C80" i="80" s="1"/>
  <c r="C79" i="80" s="1"/>
  <c r="C56" i="80"/>
  <c r="C65" i="80" s="1"/>
  <c r="J13" i="80"/>
  <c r="J23" i="80" s="1"/>
  <c r="J16" i="80" s="1"/>
  <c r="J25" i="80" s="1"/>
  <c r="C64" i="80"/>
  <c r="L46" i="80"/>
  <c r="J16" i="67"/>
  <c r="J25" i="67" s="1"/>
  <c r="Q67" i="79"/>
  <c r="Q69" i="67"/>
  <c r="Q68" i="67" s="1"/>
  <c r="C40" i="67"/>
  <c r="C40" i="80"/>
  <c r="Q69" i="80"/>
  <c r="C80" i="67"/>
  <c r="C79" i="67" s="1"/>
  <c r="C58" i="67"/>
  <c r="C67" i="67" s="1"/>
  <c r="C68" i="67" s="1"/>
  <c r="C71" i="79"/>
  <c r="L51" i="15"/>
  <c r="L51" i="80"/>
  <c r="L51" i="67"/>
  <c r="AO7" i="1"/>
  <c r="B2" i="15" l="1"/>
  <c r="C80" i="15"/>
  <c r="C79" i="15" s="1"/>
  <c r="C46" i="79"/>
  <c r="C83" i="79"/>
  <c r="C82" i="79" s="1"/>
  <c r="Q56" i="79"/>
  <c r="Q62" i="79" s="1"/>
  <c r="Q67" i="15"/>
  <c r="Q65" i="79"/>
  <c r="Q75" i="79" s="1"/>
  <c r="Q69" i="15"/>
  <c r="Q68" i="15" s="1"/>
  <c r="O63" i="40"/>
  <c r="O65" i="40" s="1"/>
  <c r="J7" i="40" s="1"/>
  <c r="N65" i="40"/>
  <c r="C43" i="79"/>
  <c r="Q47" i="79"/>
  <c r="Q53" i="79" s="1"/>
  <c r="C6" i="68"/>
  <c r="C7" i="68" s="1"/>
  <c r="C5" i="68" s="1"/>
  <c r="B3" i="39"/>
  <c r="C58" i="80"/>
  <c r="C67" i="80" s="1"/>
  <c r="C68" i="80" s="1"/>
  <c r="C71" i="80" s="1"/>
  <c r="C46" i="15"/>
  <c r="Q65" i="15"/>
  <c r="Q75" i="15" s="1"/>
  <c r="C83" i="15"/>
  <c r="C82" i="15" s="1"/>
  <c r="Q56" i="15"/>
  <c r="Q62" i="15" s="1"/>
  <c r="Q47" i="15"/>
  <c r="Q53" i="15" s="1"/>
  <c r="C43" i="15"/>
  <c r="Q68" i="80"/>
  <c r="B7" i="70"/>
  <c r="E8" i="81" s="1"/>
  <c r="E10" i="81" s="1"/>
  <c r="Q67" i="80"/>
  <c r="Q67" i="67"/>
  <c r="L57" i="67"/>
  <c r="L60" i="67" s="1"/>
  <c r="D2" i="67"/>
  <c r="Q65" i="67"/>
  <c r="C43" i="67"/>
  <c r="Q47" i="67"/>
  <c r="Q53" i="67" s="1"/>
  <c r="Q56" i="67"/>
  <c r="C83" i="67"/>
  <c r="C82" i="67" s="1"/>
  <c r="C45" i="67"/>
  <c r="C46" i="67" s="1"/>
  <c r="C71" i="67"/>
  <c r="B3" i="79"/>
  <c r="Q65" i="80"/>
  <c r="Q75" i="80" s="1"/>
  <c r="C43" i="80"/>
  <c r="B2" i="80"/>
  <c r="Q56" i="80"/>
  <c r="Q62" i="80" s="1"/>
  <c r="Q47" i="80"/>
  <c r="Q53" i="80" s="1"/>
  <c r="C83" i="80"/>
  <c r="C82" i="80" s="1"/>
  <c r="AO6" i="1"/>
  <c r="AO8" i="1"/>
  <c r="B6" i="70" l="1"/>
  <c r="B3" i="15"/>
  <c r="C23" i="68"/>
  <c r="C20" i="68"/>
  <c r="C25" i="68" s="1"/>
  <c r="H7" i="40"/>
  <c r="F7" i="40"/>
  <c r="W7" i="40"/>
  <c r="AC7" i="40"/>
  <c r="V42" i="40" s="1"/>
  <c r="I42" i="40" s="1"/>
  <c r="C46" i="80"/>
  <c r="B8" i="70"/>
  <c r="E12" i="81" s="1"/>
  <c r="E14" i="81" s="1"/>
  <c r="Q66" i="67"/>
  <c r="Q75" i="67" s="1"/>
  <c r="Q57" i="67"/>
  <c r="Q62" i="67" s="1"/>
  <c r="E4" i="81"/>
  <c r="E6" i="81" s="1"/>
  <c r="B3" i="80"/>
  <c r="B3" i="67"/>
  <c r="B2" i="67"/>
  <c r="C28" i="68" l="1"/>
  <c r="C27" i="68" s="1"/>
  <c r="I46" i="40"/>
  <c r="J46" i="40" s="1"/>
  <c r="AA7" i="40"/>
  <c r="R42" i="40" s="1"/>
  <c r="S7" i="40"/>
  <c r="C22" i="68"/>
  <c r="U7" i="40"/>
  <c r="AB7" i="40"/>
  <c r="T42" i="40" s="1"/>
  <c r="G42" i="40" s="1"/>
  <c r="B2" i="70"/>
  <c r="E18" i="81"/>
  <c r="D19" i="9"/>
  <c r="C31" i="68" l="1"/>
  <c r="C52" i="68" s="1"/>
  <c r="B2" i="68" s="1"/>
  <c r="G47" i="40"/>
  <c r="H47" i="40" s="1"/>
  <c r="G46" i="40"/>
  <c r="H46" i="40" s="1"/>
  <c r="E42" i="40"/>
  <c r="R43" i="40"/>
  <c r="D102" i="9"/>
  <c r="D21" i="9"/>
  <c r="B3" i="70"/>
  <c r="C19" i="9"/>
  <c r="D20" i="9"/>
  <c r="C57" i="68" l="1"/>
  <c r="C56" i="68" s="1"/>
  <c r="C102" i="9"/>
  <c r="C21" i="9"/>
  <c r="D22" i="9"/>
  <c r="G19" i="9"/>
  <c r="I2" i="70" s="1"/>
  <c r="I7" i="70" s="1"/>
  <c r="J7" i="70" s="1"/>
  <c r="E47" i="40"/>
  <c r="F47" i="40" s="1"/>
  <c r="E46" i="40"/>
  <c r="F46" i="40" s="1"/>
  <c r="I47" i="40"/>
  <c r="J47" i="40" s="1"/>
  <c r="B3" i="68"/>
  <c r="C43" i="40"/>
  <c r="C42" i="40"/>
  <c r="D103" i="9"/>
  <c r="I8" i="70"/>
  <c r="J8" i="70" s="1"/>
  <c r="D35" i="9"/>
  <c r="C20" i="9"/>
  <c r="D34" i="9"/>
  <c r="I14" i="70" l="1"/>
  <c r="C32" i="9"/>
  <c r="H118" i="9" s="1"/>
  <c r="H4" i="52" s="1"/>
  <c r="I6" i="70"/>
  <c r="J6" i="70" s="1"/>
  <c r="K26" i="9"/>
  <c r="G21" i="9"/>
  <c r="C103" i="9"/>
  <c r="G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C105" i="9" s="1"/>
  <c r="H119" i="9"/>
  <c r="H5" i="52" s="1"/>
  <c r="H101" i="9"/>
  <c r="D45" i="9" s="1"/>
  <c r="C104" i="9"/>
  <c r="D14" i="74"/>
  <c r="B5" i="74" s="1"/>
  <c r="C35" i="9"/>
  <c r="F118" i="9" s="1"/>
  <c r="G118" i="9" s="1"/>
  <c r="G4" i="52" s="1"/>
  <c r="B52" i="72" s="1"/>
  <c r="F119" i="9" l="1"/>
  <c r="F5" i="52" s="1"/>
  <c r="B53" i="72" s="1"/>
  <c r="I4" i="52"/>
  <c r="H102" i="9"/>
  <c r="D7" i="53" s="1"/>
  <c r="B21" i="72" s="1"/>
  <c r="M48" i="9"/>
  <c r="E14" i="74"/>
  <c r="H107" i="9"/>
  <c r="H108" i="9" s="1"/>
  <c r="D15" i="53" s="1"/>
  <c r="B31" i="72" s="1"/>
  <c r="F14" i="74"/>
  <c r="D5" i="53"/>
  <c r="D6" i="53" s="1"/>
  <c r="B22" i="72" s="1"/>
  <c r="E118" i="9"/>
  <c r="E4" i="52" s="1"/>
  <c r="B48" i="72" s="1"/>
  <c r="C34" i="9"/>
  <c r="D118" i="9" s="1"/>
  <c r="D119" i="9" s="1"/>
  <c r="D5" i="52" s="1"/>
  <c r="B49" i="72" s="1"/>
  <c r="F4" i="52"/>
  <c r="B51" i="72" s="1"/>
  <c r="D5" i="74"/>
  <c r="C5" i="74"/>
  <c r="D53" i="9"/>
  <c r="D48" i="9" s="1"/>
  <c r="M52" i="9" s="1"/>
  <c r="D52" i="9"/>
  <c r="D55" i="9"/>
  <c r="M53" i="9" s="1"/>
  <c r="C85" i="9"/>
  <c r="C72" i="9"/>
  <c r="C93" i="9"/>
  <c r="C86" i="9" s="1"/>
  <c r="C64" i="9"/>
  <c r="C63" i="9" s="1"/>
  <c r="C67" i="9" s="1"/>
  <c r="C68" i="9" s="1"/>
  <c r="D54" i="9" s="1"/>
  <c r="C78" i="9"/>
  <c r="C73" i="9" s="1"/>
  <c r="D13" i="53"/>
  <c r="B20" i="72" l="1"/>
  <c r="M49" i="9"/>
  <c r="L65" i="9" s="1"/>
  <c r="M65" i="9" s="1"/>
  <c r="D122" i="9"/>
  <c r="G14" i="74" s="1"/>
  <c r="B6" i="74" s="1"/>
  <c r="D4" i="52"/>
  <c r="B47" i="72" s="1"/>
  <c r="C79" i="9"/>
  <c r="C80" i="9" s="1"/>
  <c r="E80" i="9" s="1"/>
  <c r="E81" i="9" s="1"/>
  <c r="L68" i="9"/>
  <c r="M68" i="9" s="1"/>
  <c r="B30" i="72"/>
  <c r="D14" i="53"/>
  <c r="B32" i="72" s="1"/>
  <c r="D123" i="9"/>
  <c r="D9" i="52" s="1"/>
  <c r="C95" i="9"/>
  <c r="L67" i="9" l="1"/>
  <c r="M67" i="9" s="1"/>
  <c r="L66" i="9"/>
  <c r="M66" i="9" s="1"/>
  <c r="L63" i="9"/>
  <c r="M63" i="9" s="1"/>
  <c r="L64" i="9"/>
  <c r="M64" i="9" s="1"/>
  <c r="D8" i="52"/>
  <c r="C81" i="9"/>
  <c r="C6" i="74"/>
  <c r="D6" i="74"/>
  <c r="C96" i="9"/>
  <c r="E96" i="9" s="1"/>
  <c r="E97" i="9" s="1"/>
  <c r="M69" i="9" l="1"/>
  <c r="N69" i="9" s="1"/>
  <c r="C97" i="9"/>
  <c r="D58" i="9" s="1"/>
  <c r="D56" i="9" s="1"/>
  <c r="M54" i="9" s="1"/>
  <c r="N57" i="9" s="1"/>
  <c r="P57" i="9" s="1"/>
  <c r="N58" i="9" l="1"/>
  <c r="N59" i="9"/>
  <c r="H111" i="9" s="1"/>
  <c r="N60" i="9" l="1"/>
  <c r="N61" i="9"/>
  <c r="H112" i="9" s="1"/>
  <c r="D21" i="53" s="1"/>
  <c r="B39" i="72" s="1"/>
  <c r="D126" i="9"/>
  <c r="D19" i="53"/>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<sst xmlns="http://schemas.openxmlformats.org/spreadsheetml/2006/main" count="10237" uniqueCount="3738">
  <si>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</si>
  <si>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</si>
  <si>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</si>
  <si>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</si>
  <si>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</si>
  <si>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</si>
  <si>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</si>
  <si>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</si>
  <si>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</si>
  <si>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</si>
  <si>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</si>
  <si>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</si>
  <si>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</si>
  <si>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</si>
  <si>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</si>
  <si>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</si>
  <si>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</si>
  <si>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</si>
  <si>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</si>
  <si>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</si>
  <si>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</si>
  <si>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</si>
  <si>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</si>
  <si>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</si>
  <si>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</si>
  <si>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</si>
  <si>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</si>
  <si>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</si>
  <si>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</si>
  <si>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</si>
  <si>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</si>
  <si>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</si>
  <si>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</si>
  <si>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</si>
  <si>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</si>
  <si>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</si>
  <si>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</si>
  <si>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</si>
  <si>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</si>
  <si>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</si>
  <si>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</si>
  <si>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</si>
  <si>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</si>
  <si>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</si>
  <si>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</si>
  <si>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</si>
  <si>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</si>
  <si>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</si>
  <si>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</si>
  <si>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</si>
  <si>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</si>
  <si>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</si>
  <si>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</si>
  <si>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</si>
  <si>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</si>
  <si>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</si>
  <si>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</si>
  <si>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</si>
  <si>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</si>
  <si>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</si>
  <si>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</si>
  <si>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</si>
  <si>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</si>
  <si>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</si>
  <si>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</si>
  <si>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</si>
  <si>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</si>
  <si>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</si>
  <si>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</si>
  <si>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</si>
  <si>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</si>
  <si>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</si>
  <si>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</si>
  <si>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</si>
  <si>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</si>
  <si>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</si>
  <si>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</si>
  <si>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</si>
  <si>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</si>
  <si>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</si>
  <si>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</si>
  <si>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</si>
  <si>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</si>
  <si>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</si>
  <si>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</si>
  <si>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</si>
  <si>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</si>
  <si>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</si>
  <si>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</si>
  <si>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</si>
  <si>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</si>
  <si>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</si>
  <si>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</si>
  <si>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</si>
  <si>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</si>
  <si>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</si>
  <si>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</si>
  <si>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</si>
  <si>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</si>
  <si>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</si>
  <si>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</si>
  <si>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</si>
  <si>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</si>
  <si>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</si>
  <si>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</si>
  <si>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</si>
  <si>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</si>
  <si>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</si>
  <si>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</si>
  <si>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</si>
  <si>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</si>
  <si>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</si>
  <si>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</si>
  <si>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</si>
  <si>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</si>
  <si>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</si>
  <si>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</si>
  <si>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</si>
  <si>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</si>
  <si>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</si>
  <si>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</si>
  <si>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</si>
  <si>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</si>
  <si>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</si>
  <si>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</si>
  <si>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</si>
  <si>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</si>
  <si>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</si>
  <si>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</si>
  <si>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</si>
  <si>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</si>
  <si>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</si>
  <si>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</si>
  <si>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</si>
  <si>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</si>
  <si>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</si>
  <si>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</si>
  <si>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</si>
  <si>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</si>
  <si>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</si>
  <si>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</si>
  <si>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</si>
  <si>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</si>
  <si>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</si>
  <si>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</si>
  <si>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</si>
  <si>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</si>
  <si>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</si>
  <si>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</si>
  <si>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</si>
  <si>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</si>
  <si>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</si>
  <si>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</si>
  <si>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</si>
  <si>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</si>
  <si>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</si>
  <si>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</si>
  <si>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</si>
  <si>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</si>
  <si>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</si>
  <si>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</si>
  <si>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</si>
  <si>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</si>
  <si>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</si>
  <si>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</si>
  <si>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</si>
  <si>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</si>
  <si>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</si>
  <si>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</si>
  <si>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</si>
  <si>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</si>
  <si>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</si>
  <si>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</si>
  <si>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</si>
  <si>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</si>
  <si>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</si>
  <si>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</si>
  <si>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</si>
  <si>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</si>
  <si>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</si>
  <si>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</si>
  <si>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</si>
  <si>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</si>
  <si>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</si>
  <si>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</si>
  <si>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</si>
  <si>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</si>
  <si>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</si>
  <si>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</si>
  <si>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</si>
  <si>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</si>
  <si>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</si>
  <si>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</si>
  <si>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</si>
  <si>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</si>
  <si>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</si>
  <si>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</si>
  <si>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</si>
  <si>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</si>
  <si>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</si>
  <si>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</si>
  <si>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</si>
  <si>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</si>
  <si>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</si>
  <si>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</si>
  <si>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</si>
  <si>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</si>
  <si>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</si>
  <si>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</si>
  <si>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</si>
  <si>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</si>
  <si>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</si>
  <si>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</si>
  <si>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</si>
  <si>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</si>
  <si>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</si>
  <si>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</si>
  <si>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</si>
  <si>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</si>
  <si>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</si>
  <si>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</si>
  <si>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</si>
  <si>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</si>
  <si>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</si>
  <si>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</si>
  <si>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</si>
  <si>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</si>
  <si>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</si>
  <si>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</si>
  <si>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</si>
  <si>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</si>
  <si>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</si>
  <si>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</si>
  <si>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</si>
  <si>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</si>
  <si>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</si>
  <si>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</si>
  <si>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</si>
  <si>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</si>
  <si>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</si>
  <si>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</si>
  <si>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</si>
  <si>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</si>
  <si>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</si>
  <si>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</si>
  <si>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</si>
  <si>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</si>
  <si>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</si>
  <si>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</si>
  <si>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</si>
  <si>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</si>
  <si>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</si>
  <si>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</si>
  <si>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</si>
  <si>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</si>
  <si>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</si>
  <si>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</si>
  <si>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</si>
  <si>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</si>
  <si>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</si>
  <si>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</si>
  <si>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</si>
  <si>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</si>
  <si>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</si>
  <si>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</si>
  <si>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</si>
  <si>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</si>
  <si>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</si>
  <si>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</si>
  <si>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</si>
  <si>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</si>
  <si>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</si>
  <si>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</si>
  <si>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</si>
  <si>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</si>
  <si>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</si>
  <si>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</si>
  <si>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</si>
  <si>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</si>
  <si>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</si>
  <si>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</si>
  <si>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</si>
  <si>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</si>
  <si>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</si>
  <si>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</si>
  <si>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</si>
  <si>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</si>
  <si>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</si>
  <si>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</si>
  <si>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</si>
  <si>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</si>
  <si>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</si>
  <si>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</si>
  <si>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</si>
  <si>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</si>
  <si>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</si>
  <si>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</si>
  <si>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</si>
  <si>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</si>
  <si>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</si>
  <si>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</si>
  <si>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</si>
  <si>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</si>
  <si>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</si>
  <si>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</si>
  <si>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</si>
  <si>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</si>
  <si>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</si>
  <si>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</si>
  <si>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</si>
  <si>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</si>
  <si>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</si>
  <si>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</si>
  <si>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</si>
  <si>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</si>
  <si>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</si>
  <si>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</si>
  <si>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</si>
  <si>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</si>
  <si>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</si>
  <si>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</si>
  <si>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</si>
  <si>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</si>
  <si>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</si>
  <si>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</si>
  <si>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</si>
  <si>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</si>
  <si>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</si>
  <si>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</si>
  <si>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</si>
  <si>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</si>
  <si>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</si>
  <si>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</si>
  <si>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</si>
  <si>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</si>
  <si>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</si>
  <si>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</si>
  <si>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</si>
  <si>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</si>
  <si>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</si>
  <si>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</si>
  <si>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</si>
  <si>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</si>
  <si>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</si>
  <si>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</si>
  <si>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</si>
  <si>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</si>
  <si>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</si>
  <si>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</si>
  <si>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</si>
  <si>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</si>
  <si>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</si>
  <si>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</si>
  <si>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</si>
  <si>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</si>
  <si>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</si>
  <si>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</si>
  <si>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</si>
  <si>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</si>
  <si>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</si>
  <si>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</si>
  <si>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</si>
  <si>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</si>
  <si>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</si>
  <si>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</si>
  <si>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</si>
  <si>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</si>
  <si>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</si>
  <si>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</si>
  <si>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</si>
  <si>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</si>
  <si>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</si>
  <si>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</si>
  <si>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</si>
  <si>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</si>
  <si>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</si>
  <si>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</si>
  <si>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</si>
  <si>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</si>
  <si>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</si>
  <si>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</si>
  <si>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</si>
  <si>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</si>
  <si>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</si>
  <si>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</si>
  <si>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</si>
  <si>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</si>
  <si>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</si>
  <si>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</si>
  <si>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</si>
  <si>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</si>
  <si>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</si>
  <si>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</si>
  <si>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</si>
  <si>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</si>
  <si>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</si>
  <si>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</si>
  <si>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</si>
  <si>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</si>
  <si>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</si>
  <si>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</si>
  <si>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</si>
  <si>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</si>
  <si>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</si>
  <si>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</si>
  <si>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</si>
  <si>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</si>
  <si>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</si>
  <si>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</si>
  <si>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</si>
  <si>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</si>
  <si>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</si>
  <si>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</si>
  <si>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</si>
  <si>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</si>
  <si>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</si>
  <si>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</si>
  <si>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</si>
  <si>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</si>
  <si>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</si>
  <si>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</si>
  <si>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</si>
  <si>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</si>
  <si>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</si>
  <si>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</si>
  <si>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</si>
  <si>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</si>
  <si>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</si>
  <si>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</si>
  <si>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</si>
  <si>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</si>
  <si>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</si>
  <si>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</si>
  <si>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</si>
  <si>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</si>
  <si>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</si>
  <si>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</si>
  <si>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</si>
  <si>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</si>
  <si>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</si>
  <si>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</si>
  <si>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</si>
  <si>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</si>
  <si>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</si>
  <si>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</si>
  <si>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</si>
  <si>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</si>
  <si>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</si>
  <si>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</si>
  <si>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</si>
  <si>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</si>
  <si>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</si>
  <si>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</si>
  <si>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</si>
  <si>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</si>
  <si>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</si>
  <si>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</si>
  <si>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</si>
  <si>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</si>
  <si>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</si>
  <si>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</si>
  <si>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</si>
  <si>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</si>
  <si>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</si>
  <si>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</si>
  <si>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</si>
  <si>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</si>
  <si>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</si>
  <si>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</si>
  <si>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</si>
  <si>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</si>
  <si>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</si>
  <si>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</si>
  <si>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</si>
  <si>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</si>
  <si>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</si>
  <si>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</si>
  <si>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</si>
  <si>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</si>
  <si>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</si>
  <si>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</si>
  <si>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</si>
  <si>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</si>
  <si>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</si>
  <si>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</si>
  <si>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</si>
  <si>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</si>
  <si>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</si>
  <si>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</si>
  <si>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</si>
  <si>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</si>
  <si>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</si>
  <si>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</si>
  <si>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</si>
  <si>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</si>
  <si>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</si>
  <si>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</si>
  <si>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</si>
  <si>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</si>
  <si>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</si>
  <si>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</si>
  <si>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</si>
  <si>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</si>
  <si>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</si>
  <si>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</si>
  <si>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</si>
  <si>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</si>
  <si>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</si>
  <si>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</si>
  <si>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</si>
  <si>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</si>
  <si>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</si>
  <si>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</si>
  <si>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</si>
  <si>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</si>
  <si>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</si>
  <si>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</si>
  <si>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</si>
  <si>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</si>
  <si>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</si>
  <si>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</si>
  <si>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</si>
  <si>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</si>
  <si>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</si>
  <si>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</si>
  <si>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</si>
  <si>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</si>
  <si>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</si>
  <si>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</si>
  <si>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</si>
  <si>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</si>
  <si>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</si>
  <si>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</si>
  <si>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</si>
  <si>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</si>
  <si>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</si>
  <si>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</si>
  <si>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</si>
  <si>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</si>
  <si>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</si>
  <si>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</si>
  <si>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</si>
  <si>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</si>
  <si>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</si>
  <si>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</si>
  <si>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</si>
  <si>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</si>
  <si>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</si>
  <si>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</si>
  <si>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</si>
  <si>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</si>
  <si>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</si>
  <si>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</si>
  <si>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</si>
  <si>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</si>
  <si>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</si>
  <si>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</si>
  <si>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</si>
  <si>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</si>
  <si>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</si>
  <si>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</si>
  <si>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</si>
  <si>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</si>
  <si>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</si>
  <si>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</si>
  <si>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</si>
  <si>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</si>
  <si>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</si>
  <si>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</si>
  <si>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</si>
  <si>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</si>
  <si>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</si>
  <si>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</si>
  <si>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</si>
  <si>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</si>
  <si>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</si>
  <si>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</si>
  <si>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</si>
  <si>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</si>
  <si>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</si>
  <si>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</si>
  <si>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</si>
  <si>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</si>
  <si>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</si>
  <si>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</si>
  <si>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</si>
  <si>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</si>
  <si>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</si>
  <si>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</si>
  <si>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</si>
  <si>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</si>
  <si>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</si>
  <si>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</si>
  <si>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</si>
  <si>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</si>
  <si>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</si>
  <si>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</si>
  <si>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</si>
  <si>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</si>
  <si>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</si>
  <si>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</si>
  <si>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</si>
  <si>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</si>
  <si>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</si>
  <si>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</si>
  <si>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</si>
  <si>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</si>
  <si>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</si>
  <si>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</si>
  <si>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</si>
  <si>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</si>
  <si>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</si>
  <si>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</si>
  <si>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</si>
  <si>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</si>
  <si>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</si>
  <si>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</si>
  <si>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</si>
  <si>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</si>
  <si>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</si>
  <si>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</si>
  <si>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</si>
  <si>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</si>
  <si>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</si>
  <si>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</si>
  <si>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</si>
  <si>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</si>
  <si>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</si>
  <si>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</si>
  <si>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</si>
  <si>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</si>
  <si>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</si>
  <si>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</si>
  <si>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</si>
  <si>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</si>
  <si>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</si>
  <si>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</si>
  <si>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</si>
  <si>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</si>
  <si>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</si>
  <si>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</si>
  <si>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</si>
  <si>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</si>
  <si>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</si>
  <si>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</si>
  <si>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</si>
  <si>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</si>
  <si>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</si>
  <si>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</si>
  <si>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</si>
  <si>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</si>
  <si>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</si>
  <si>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</si>
  <si>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</si>
  <si>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</si>
  <si>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</si>
  <si>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</si>
  <si>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</si>
  <si>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</si>
  <si>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</si>
  <si>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</si>
  <si>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</si>
  <si>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</si>
  <si>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</si>
  <si>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</si>
  <si>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</si>
  <si>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</si>
  <si>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</si>
  <si>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</si>
  <si>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</si>
  <si>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</si>
  <si>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</si>
  <si>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</si>
  <si>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</si>
  <si>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</si>
  <si>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</si>
  <si>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</si>
  <si>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</si>
  <si>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</si>
  <si>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</si>
  <si>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</si>
  <si>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</si>
  <si>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</si>
  <si>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</si>
  <si>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</si>
  <si>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</si>
  <si>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</si>
  <si>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</si>
  <si>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</si>
  <si>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</si>
  <si>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</si>
  <si>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</si>
  <si>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</si>
  <si>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</si>
  <si>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</si>
  <si>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</si>
  <si>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</si>
  <si>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</si>
  <si>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</si>
  <si>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</si>
  <si>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</si>
  <si>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</si>
  <si>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</si>
  <si>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</si>
  <si>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</si>
  <si>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</si>
  <si>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</si>
  <si>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</si>
  <si>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</si>
  <si>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</si>
  <si>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</si>
  <si>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</si>
  <si>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</si>
  <si>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</si>
  <si>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</si>
  <si>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</si>
  <si>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</si>
  <si>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</si>
  <si>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</si>
  <si>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</si>
  <si>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</si>
  <si>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</si>
  <si>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</si>
  <si>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</si>
  <si>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</si>
  <si>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</si>
  <si>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</si>
  <si>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</si>
  <si>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</si>
  <si>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</si>
  <si>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</si>
  <si>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</si>
  <si>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</si>
  <si>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</si>
  <si>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</si>
  <si>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</si>
  <si>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</si>
  <si>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</si>
  <si>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</si>
  <si>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</si>
  <si>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</si>
  <si>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</si>
  <si>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</si>
  <si>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</si>
  <si>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</si>
  <si>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</si>
  <si>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</si>
  <si>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</si>
  <si>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</si>
  <si>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</si>
  <si>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</si>
  <si>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</si>
  <si>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</si>
  <si>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</si>
  <si>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</si>
  <si>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</si>
  <si>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</si>
  <si>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</si>
  <si>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</si>
  <si>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</si>
  <si>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</si>
  <si>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</si>
  <si>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</si>
  <si>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</si>
  <si>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</si>
  <si>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</si>
  <si>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</si>
  <si>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</si>
  <si>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</si>
  <si>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</si>
  <si>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</si>
  <si>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</si>
  <si>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</si>
  <si>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</si>
  <si>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</si>
  <si>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</si>
  <si>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</si>
  <si>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</si>
  <si>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</si>
  <si>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</si>
  <si>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</si>
  <si>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</si>
  <si>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</si>
  <si>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</si>
  <si>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</si>
  <si>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</si>
  <si>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</si>
  <si>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</si>
  <si>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</si>
  <si>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</si>
  <si>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</si>
  <si>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</si>
  <si>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</si>
  <si>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</si>
  <si>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</si>
  <si>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</si>
  <si>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</si>
  <si>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</si>
  <si>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</si>
  <si>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</si>
  <si>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</si>
  <si>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</si>
  <si>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</si>
  <si>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</si>
  <si>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</si>
  <si>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</si>
  <si>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</si>
  <si>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</si>
  <si>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</si>
  <si>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</si>
  <si>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</si>
  <si>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</si>
  <si>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</si>
  <si>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</si>
  <si>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</si>
  <si>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</si>
  <si>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</si>
  <si>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</si>
  <si>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</si>
  <si>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</si>
  <si>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</si>
  <si>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</si>
  <si>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</si>
  <si>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</si>
  <si>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</si>
  <si>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</si>
  <si>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</si>
  <si>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</si>
  <si>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</si>
  <si>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</si>
  <si>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</si>
  <si>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</si>
  <si>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</si>
  <si>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</si>
  <si>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</si>
  <si>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</si>
  <si>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</si>
  <si>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</si>
  <si>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</si>
  <si>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</si>
  <si>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</si>
  <si>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</si>
  <si>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</si>
  <si>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</si>
  <si>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</si>
  <si>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</si>
  <si>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</si>
  <si>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</si>
  <si>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</si>
  <si>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</si>
  <si>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</si>
  <si>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</si>
  <si>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</si>
  <si>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</si>
  <si>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</si>
  <si>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</si>
  <si>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</si>
  <si>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</si>
  <si>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</si>
  <si>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</si>
  <si>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</si>
  <si>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</si>
  <si>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</si>
  <si>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</si>
  <si>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</si>
  <si>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</si>
  <si>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</si>
  <si>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</si>
  <si>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</si>
  <si>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</si>
  <si>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</si>
  <si>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</si>
  <si>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</si>
  <si>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</si>
  <si>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</si>
  <si>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</si>
  <si>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</si>
  <si>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</si>
  <si>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</si>
  <si>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</si>
  <si>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</si>
  <si>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</si>
  <si>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</si>
  <si>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</si>
  <si>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</si>
  <si>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</si>
  <si>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</si>
  <si>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</si>
  <si>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</si>
  <si>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</si>
  <si>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</si>
  <si>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</si>
  <si>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</si>
  <si>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</si>
  <si>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</si>
  <si>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</si>
  <si>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</si>
  <si>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</si>
  <si>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</si>
  <si>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</si>
  <si>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</si>
  <si>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</si>
  <si>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</si>
  <si>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</si>
  <si>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</si>
  <si>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</si>
  <si>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</si>
  <si>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</si>
  <si>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</si>
  <si>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</si>
  <si>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</si>
  <si>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</si>
  <si>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</si>
  <si>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</si>
  <si>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</si>
  <si>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</si>
  <si>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</si>
  <si>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</si>
  <si>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</si>
  <si>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</si>
  <si>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</si>
  <si>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</si>
  <si>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</si>
  <si>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</si>
  <si>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</si>
  <si>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</si>
  <si>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</si>
  <si>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</si>
  <si>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</si>
  <si>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</si>
  <si>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</si>
  <si>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</si>
  <si>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</si>
  <si>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</si>
  <si>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</si>
  <si>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</si>
  <si>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</si>
  <si>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</si>
  <si>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</si>
  <si>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</si>
  <si>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</si>
  <si>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</si>
  <si>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</si>
  <si>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</si>
  <si>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</si>
  <si>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</si>
  <si>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</si>
  <si>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</si>
  <si>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</si>
  <si>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</si>
  <si>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</si>
  <si>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</si>
  <si>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</si>
  <si>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</si>
  <si>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</si>
  <si>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</si>
  <si>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</si>
  <si>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</si>
  <si>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</si>
  <si>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</si>
  <si>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</si>
  <si>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</si>
  <si>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</si>
  <si>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</si>
  <si>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</si>
  <si>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</si>
  <si>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</si>
  <si>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</si>
  <si>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</si>
  <si>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</si>
  <si>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</si>
  <si>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</si>
  <si>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</si>
  <si>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</si>
  <si>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</si>
  <si>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</si>
  <si>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</si>
  <si>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</si>
  <si>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</si>
  <si>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</si>
  <si>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</si>
  <si>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</si>
  <si>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</si>
  <si>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</si>
  <si>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</si>
  <si>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</si>
  <si>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</si>
  <si>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</si>
  <si>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</si>
  <si>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</si>
  <si>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</si>
  <si>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</si>
  <si>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</si>
  <si>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</si>
  <si>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</si>
  <si>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</si>
  <si>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</si>
  <si>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</si>
  <si>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</si>
  <si>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</si>
  <si>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</si>
  <si>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</si>
  <si>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</si>
  <si>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</si>
  <si>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</si>
  <si>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</si>
  <si>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</si>
  <si>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</si>
  <si>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</si>
  <si>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</si>
  <si>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</si>
  <si>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</si>
  <si>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</si>
  <si>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</si>
  <si>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</si>
  <si>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</si>
  <si>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</si>
  <si>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</si>
  <si>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</si>
  <si>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</si>
  <si>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</si>
  <si>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</si>
  <si>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</si>
  <si>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</si>
  <si>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</si>
  <si>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</si>
  <si>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</si>
  <si>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</si>
  <si>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</si>
  <si>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</si>
  <si>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</si>
  <si>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</si>
  <si>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</si>
  <si>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</si>
  <si>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</si>
  <si>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</si>
  <si>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</si>
  <si>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</si>
  <si>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</si>
  <si>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</si>
  <si>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</si>
  <si>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</si>
  <si>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</si>
  <si>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</si>
  <si>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</si>
  <si>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</si>
  <si>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</si>
  <si>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</si>
  <si>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</si>
  <si>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</si>
  <si>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</si>
  <si>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</si>
  <si>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</si>
  <si>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</si>
  <si>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</si>
  <si>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</si>
  <si>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</si>
  <si>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</si>
  <si>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</si>
  <si>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</si>
  <si>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</si>
  <si>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</si>
  <si>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</si>
  <si>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</si>
  <si>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</si>
  <si>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</si>
  <si>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</si>
  <si>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</si>
  <si>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</si>
  <si>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</si>
  <si>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</si>
  <si>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</si>
  <si>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</si>
  <si>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</si>
  <si>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</si>
  <si>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</si>
  <si>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</si>
  <si>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</si>
  <si>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</si>
  <si>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</si>
  <si>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</si>
  <si>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</si>
  <si>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</si>
  <si>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</si>
  <si>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</si>
  <si>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</si>
  <si>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</si>
  <si>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</si>
  <si>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</si>
  <si>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</si>
  <si>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</si>
  <si>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</si>
  <si>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</si>
  <si>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</si>
  <si>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</si>
  <si>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</si>
  <si>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</si>
  <si>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</si>
  <si>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</si>
  <si>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</si>
  <si>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</si>
  <si>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</si>
  <si>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</si>
  <si>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</si>
  <si>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</si>
  <si>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</si>
  <si>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</si>
  <si>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</si>
  <si>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</si>
  <si>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</si>
  <si>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</si>
  <si>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</si>
  <si>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</si>
  <si>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</si>
  <si>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</si>
  <si>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</si>
  <si>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</si>
  <si>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</si>
  <si>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</si>
  <si>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</si>
  <si>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</si>
  <si>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</si>
  <si>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</si>
  <si>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</si>
  <si>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</si>
  <si>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</si>
  <si>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</si>
  <si>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</si>
  <si>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</si>
  <si>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</si>
  <si>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</si>
  <si>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</si>
  <si>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</si>
  <si>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</si>
  <si>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</si>
  <si>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</si>
  <si>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</si>
  <si>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</si>
  <si>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</si>
  <si>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</si>
  <si>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</si>
  <si>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</si>
  <si>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</si>
  <si>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</si>
  <si>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</si>
  <si>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</si>
  <si>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</si>
  <si>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</si>
  <si>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</si>
  <si>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</si>
  <si>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</si>
  <si>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</si>
  <si>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</si>
  <si>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</si>
  <si>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</si>
  <si>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</si>
  <si>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</si>
  <si>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</si>
  <si>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</si>
  <si>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</si>
  <si>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</si>
  <si>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</si>
  <si>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</si>
  <si>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</si>
  <si>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</si>
  <si>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</si>
  <si>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</si>
  <si>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</si>
  <si>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</si>
  <si>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</si>
  <si>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</si>
  <si>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</si>
  <si>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</si>
  <si>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</si>
  <si>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</si>
  <si>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</si>
  <si>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</si>
  <si>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</si>
  <si>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</si>
  <si>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</si>
  <si>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</si>
  <si>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</si>
  <si>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</si>
  <si>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</si>
  <si>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</si>
  <si>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</si>
  <si>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</si>
  <si>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</si>
  <si>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</si>
  <si>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</si>
  <si>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</si>
  <si>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</si>
  <si>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</si>
  <si>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</si>
  <si>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</si>
  <si>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</si>
  <si>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</si>
  <si>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</si>
  <si>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</si>
  <si>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</si>
  <si>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</si>
  <si>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</si>
  <si>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</si>
  <si>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</si>
  <si>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</si>
  <si>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</si>
  <si>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</si>
  <si>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</si>
  <si>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</si>
  <si>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</si>
  <si>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</si>
  <si>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</si>
  <si>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</si>
  <si>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</si>
  <si>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</si>
  <si>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</si>
  <si>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</si>
  <si>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</si>
  <si>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</si>
  <si>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</si>
  <si>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</si>
  <si>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</si>
  <si>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</si>
  <si>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</si>
  <si>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</si>
  <si>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</si>
  <si>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</si>
  <si>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</si>
  <si>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</si>
  <si>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</si>
  <si>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</si>
  <si>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</si>
  <si>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</si>
  <si>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</si>
  <si>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</si>
  <si>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</si>
  <si>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</si>
  <si>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</si>
  <si>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</si>
  <si>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</si>
  <si>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</si>
  <si>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</si>
  <si>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</si>
  <si>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</si>
  <si>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</si>
  <si>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</si>
  <si>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</si>
  <si>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</si>
  <si>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</si>
  <si>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</si>
  <si>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</si>
  <si>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</si>
  <si>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</si>
  <si>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</si>
  <si>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</si>
  <si>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</si>
  <si>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</si>
  <si>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</si>
  <si>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</si>
  <si>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</si>
  <si>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</si>
  <si>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</si>
  <si>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</si>
  <si>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</si>
  <si>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</si>
  <si>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</si>
  <si>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</si>
  <si>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</si>
  <si>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</si>
  <si>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</si>
  <si>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</si>
  <si>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</si>
  <si>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</si>
  <si>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</si>
  <si>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</si>
  <si>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</si>
  <si>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</si>
  <si>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</si>
  <si>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</si>
  <si>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</si>
  <si>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</si>
  <si>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</si>
  <si>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</si>
  <si>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</si>
  <si>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</si>
  <si>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</si>
  <si>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</si>
  <si>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</si>
  <si>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</si>
  <si>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</si>
  <si>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</si>
  <si>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</si>
  <si>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</si>
  <si>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</si>
  <si>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</si>
  <si>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</si>
  <si>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</si>
  <si>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</si>
  <si>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</si>
  <si>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</si>
  <si>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</si>
  <si>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</si>
  <si>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</si>
  <si>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</si>
  <si>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</si>
  <si>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</si>
  <si>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</si>
  <si>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</si>
  <si>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</si>
  <si>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</si>
  <si>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</si>
  <si>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</si>
  <si>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</si>
  <si>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</si>
  <si>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</si>
  <si>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</si>
  <si>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</si>
  <si>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</si>
  <si>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</si>
  <si>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</si>
  <si>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</si>
  <si>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</si>
  <si>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</si>
  <si>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</si>
  <si>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</si>
  <si>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</si>
  <si>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</si>
  <si>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</si>
  <si>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</si>
  <si>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</si>
  <si>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</si>
  <si>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</si>
  <si>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</si>
  <si>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</si>
  <si>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</si>
  <si>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</si>
  <si>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</si>
  <si>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</si>
  <si>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</si>
  <si>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</si>
  <si>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</si>
  <si>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</si>
  <si>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</si>
  <si>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</si>
  <si>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</si>
  <si>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</si>
  <si>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</si>
  <si>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</si>
  <si>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</si>
  <si>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</si>
  <si>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</si>
  <si>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</si>
  <si>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</si>
  <si>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</si>
  <si>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</si>
  <si>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</si>
  <si>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</si>
  <si>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</si>
  <si>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</si>
  <si>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</si>
  <si>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</si>
  <si>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</si>
  <si>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</si>
  <si>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</si>
  <si>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</si>
  <si>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</si>
  <si>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</si>
  <si>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</si>
  <si>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</si>
  <si>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</si>
  <si>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</si>
  <si>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</si>
  <si>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</si>
  <si>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</si>
  <si>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</si>
  <si>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</si>
  <si>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</si>
  <si>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</si>
  <si>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</si>
  <si>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</si>
  <si>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</si>
  <si>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</si>
  <si>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</si>
  <si>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</si>
  <si>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</si>
  <si>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</si>
  <si>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</si>
  <si>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</si>
  <si>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</si>
  <si>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</si>
  <si>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</si>
  <si>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</si>
  <si>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</si>
  <si>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</si>
  <si>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</si>
  <si>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</si>
  <si>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</si>
  <si>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</si>
  <si>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</si>
  <si>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</si>
  <si>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</si>
  <si>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</si>
  <si>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</si>
  <si>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</si>
  <si>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</si>
  <si>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</si>
  <si>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</si>
  <si>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</si>
  <si>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</si>
  <si>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</si>
  <si>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</si>
  <si>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</si>
  <si>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</si>
  <si>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</si>
  <si>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</si>
  <si>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</si>
  <si>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</si>
  <si>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</si>
  <si>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</si>
  <si>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</si>
  <si>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</si>
  <si>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</si>
  <si>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</si>
  <si>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</si>
  <si>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</si>
  <si>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</si>
  <si>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</si>
  <si>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</si>
  <si>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</si>
  <si>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</si>
  <si>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</si>
  <si>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</si>
  <si>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</si>
  <si>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</si>
  <si>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</si>
  <si>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</si>
  <si>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</si>
  <si>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</si>
  <si>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</si>
  <si>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</si>
  <si>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</si>
  <si>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</si>
  <si>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</si>
  <si>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</si>
  <si>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</si>
  <si>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</si>
  <si>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</si>
  <si>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</si>
  <si>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</si>
  <si>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</si>
  <si>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</si>
  <si>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</si>
  <si>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</si>
  <si>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</si>
  <si>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</si>
  <si>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</si>
  <si>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</si>
  <si>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</si>
  <si>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</si>
  <si>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</si>
  <si>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</si>
  <si>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</si>
  <si>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</si>
  <si>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</si>
  <si>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</si>
  <si>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</si>
  <si>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</si>
  <si>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</si>
  <si>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</si>
  <si>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</si>
  <si>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</si>
  <si>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</si>
  <si>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</si>
  <si>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</si>
  <si>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</si>
  <si>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</si>
  <si>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</si>
  <si>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</si>
  <si>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</si>
  <si>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</si>
  <si>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</si>
  <si>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</si>
  <si>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</si>
  <si>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</si>
  <si>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</si>
  <si>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</si>
  <si>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</si>
  <si>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</si>
  <si>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</si>
  <si>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</si>
  <si>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</si>
  <si>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</si>
  <si>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</si>
  <si>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</si>
  <si>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</si>
  <si>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</si>
  <si>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</si>
  <si>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</si>
  <si>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</si>
  <si>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</si>
  <si>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</si>
  <si>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</si>
  <si>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</si>
  <si>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</si>
  <si>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</si>
  <si>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</si>
  <si>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</si>
  <si>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</si>
  <si>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</si>
  <si>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</si>
  <si>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</si>
  <si>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</si>
  <si>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</si>
  <si>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</si>
  <si>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</si>
  <si>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</si>
  <si>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</si>
  <si>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</si>
  <si>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</si>
  <si>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</si>
  <si>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</si>
  <si>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</si>
  <si>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</si>
  <si>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</si>
  <si>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</si>
  <si>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</si>
  <si>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</si>
  <si>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</si>
  <si>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</si>
  <si>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</si>
  <si>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</si>
  <si>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</si>
  <si>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</si>
  <si>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</si>
  <si>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</si>
  <si>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</si>
  <si>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</si>
  <si>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</si>
  <si>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</si>
  <si>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</si>
  <si>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</si>
  <si>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</si>
  <si>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</si>
  <si>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</si>
  <si>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</si>
  <si>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</si>
  <si>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</si>
  <si>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</si>
  <si>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</si>
  <si>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</si>
  <si>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</si>
  <si>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</si>
  <si>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</si>
  <si>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</si>
  <si>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</si>
  <si>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</si>
  <si>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</si>
  <si>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</si>
  <si>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</si>
  <si>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</si>
  <si>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</si>
  <si>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</si>
  <si>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</si>
  <si>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</si>
  <si>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</si>
  <si>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</si>
  <si>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</si>
  <si>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</si>
  <si>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</si>
  <si>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</si>
  <si>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</si>
  <si>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</si>
  <si>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</si>
  <si>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</si>
  <si>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</si>
  <si>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</si>
  <si>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</si>
  <si>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</si>
  <si>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</si>
  <si>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</si>
  <si>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</si>
  <si>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</si>
  <si>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</si>
  <si>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</si>
  <si>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</si>
  <si>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</si>
  <si>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</si>
  <si>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</si>
  <si>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</si>
  <si>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</si>
  <si>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</si>
  <si>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</si>
  <si>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</si>
  <si>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</si>
  <si>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</si>
  <si>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</si>
  <si>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</si>
  <si>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</si>
  <si>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</si>
  <si>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</si>
  <si>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</si>
  <si>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</si>
  <si>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</si>
  <si>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</si>
  <si>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</si>
  <si>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</si>
  <si>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</si>
  <si>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</si>
  <si>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</si>
  <si>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</si>
  <si>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</si>
  <si>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</si>
  <si>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</si>
  <si>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</si>
  <si>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</si>
  <si>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</si>
  <si>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</si>
  <si>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</si>
  <si>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</si>
  <si>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</si>
  <si>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</si>
  <si>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</si>
  <si>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</si>
  <si>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</si>
  <si>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</si>
  <si>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</si>
  <si>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</si>
  <si>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</si>
  <si>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</si>
  <si>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</si>
  <si>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</si>
  <si>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</si>
  <si>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</si>
  <si>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</si>
  <si>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</si>
  <si>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</si>
  <si>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</si>
  <si>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</si>
  <si>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</si>
  <si>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</si>
  <si>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</si>
  <si>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</si>
  <si>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</si>
  <si>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</si>
  <si>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</si>
  <si>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</si>
  <si>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</si>
  <si>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</si>
  <si>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</si>
  <si>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</si>
  <si>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</si>
  <si>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</si>
  <si>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</si>
  <si>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</si>
  <si>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</si>
  <si>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</si>
  <si>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</si>
  <si>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</si>
  <si>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</si>
  <si>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</si>
  <si>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</si>
  <si>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</si>
  <si>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</si>
  <si>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</si>
  <si>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</si>
  <si>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</si>
  <si>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</si>
  <si>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</si>
  <si>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</si>
  <si>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</si>
  <si>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</si>
  <si>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</si>
  <si>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</si>
  <si>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</si>
  <si>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</si>
  <si>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</si>
  <si>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</si>
  <si>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</si>
  <si>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</si>
  <si>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</si>
  <si>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</si>
  <si>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</si>
  <si>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</si>
  <si>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</si>
  <si>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</si>
  <si>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</si>
  <si>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</si>
  <si>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</si>
  <si>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</si>
  <si>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</si>
  <si>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</si>
  <si>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</si>
  <si>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</si>
  <si>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</si>
  <si>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</si>
  <si>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</si>
  <si>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</si>
  <si>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</si>
  <si>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</si>
  <si>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</si>
  <si>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</si>
  <si>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</si>
  <si>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</si>
  <si>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</si>
  <si>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</si>
  <si>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</si>
  <si>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</si>
  <si>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</si>
  <si>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</si>
  <si>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</si>
  <si>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</si>
  <si>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</si>
  <si>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</si>
  <si>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</si>
  <si>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</si>
  <si>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</si>
  <si>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</si>
  <si>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</si>
  <si>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</si>
  <si>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</si>
  <si>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</si>
  <si>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</si>
  <si>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</si>
  <si>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</si>
  <si>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</si>
  <si>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</si>
  <si>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</si>
  <si>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</si>
  <si>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</si>
  <si>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</si>
  <si>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</si>
  <si>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</si>
  <si>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</si>
  <si>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</si>
  <si>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</si>
  <si>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</si>
  <si>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</si>
  <si>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</si>
  <si>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</si>
  <si>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</si>
  <si>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</si>
  <si>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</si>
  <si>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</si>
  <si>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</si>
  <si>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</si>
  <si>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</si>
  <si>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</si>
  <si>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</si>
  <si>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</si>
  <si>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</si>
  <si>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</si>
  <si>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</si>
  <si>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</si>
  <si>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</si>
  <si>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</si>
  <si>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</si>
  <si>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</si>
  <si>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</si>
  <si>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</si>
  <si>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</si>
  <si>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</si>
  <si>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</si>
  <si>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</si>
  <si>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</si>
  <si>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</si>
  <si>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</si>
  <si>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</si>
  <si>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</si>
  <si>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</si>
  <si>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</si>
  <si>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</si>
  <si>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</si>
  <si>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</si>
  <si>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</si>
  <si>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</si>
  <si>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</si>
  <si>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</si>
  <si>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</si>
  <si>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</si>
  <si>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</si>
  <si>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</si>
  <si>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</si>
  <si>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</si>
  <si>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</si>
  <si>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</si>
  <si>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</si>
  <si>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</si>
  <si>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</si>
  <si>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</si>
  <si>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</si>
  <si>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</si>
  <si>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</si>
  <si>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</si>
  <si>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</si>
  <si>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</si>
  <si>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</si>
  <si>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</si>
  <si>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</si>
  <si>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</si>
  <si>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</si>
  <si>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</si>
  <si>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</si>
  <si>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</si>
  <si>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</si>
  <si>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</si>
  <si>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</si>
  <si>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</si>
  <si>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</si>
  <si>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</si>
  <si>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</si>
  <si>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</si>
  <si>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</si>
  <si>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</si>
  <si>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</si>
  <si>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</si>
  <si>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</si>
  <si>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</si>
  <si>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</si>
  <si>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</si>
  <si>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</si>
  <si>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</si>
  <si>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</si>
  <si>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</si>
  <si>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</si>
  <si>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</si>
  <si>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</si>
  <si>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</si>
  <si>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</si>
  <si>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</si>
  <si>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</si>
  <si>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</si>
  <si>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</si>
  <si>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</si>
  <si>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</si>
  <si>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</si>
  <si>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</si>
  <si>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</si>
  <si>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</si>
  <si>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</si>
  <si>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</si>
  <si>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</si>
  <si>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</si>
  <si>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</si>
  <si>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</si>
  <si>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</si>
  <si>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</si>
  <si>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</si>
  <si>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</si>
  <si>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</si>
  <si>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</si>
  <si>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</si>
  <si>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</si>
  <si>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</si>
  <si>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</si>
  <si>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</si>
  <si>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</si>
  <si>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</si>
  <si>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</si>
  <si>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</si>
  <si>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</si>
  <si>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</si>
  <si>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</si>
  <si>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</si>
  <si>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</si>
  <si>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</si>
  <si>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</si>
  <si>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</si>
  <si>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</si>
  <si>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</si>
  <si>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</si>
  <si>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</si>
  <si>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</si>
  <si>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</si>
  <si>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</si>
  <si>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</si>
  <si>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</si>
  <si>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</si>
  <si>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</si>
  <si>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</si>
  <si>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</si>
  <si>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</si>
  <si>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</si>
  <si>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</si>
  <si>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</si>
  <si>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</si>
  <si>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</si>
  <si>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</si>
  <si>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</si>
  <si>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</si>
  <si>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</si>
  <si>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</si>
  <si>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</si>
  <si>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</si>
  <si>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</si>
  <si>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</si>
  <si>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</si>
  <si>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</si>
  <si>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</si>
  <si>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</si>
  <si>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</si>
  <si>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</si>
  <si>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</si>
  <si>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</si>
  <si>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</si>
  <si>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</si>
  <si>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</si>
  <si>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</si>
  <si>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</si>
  <si>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</si>
  <si>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</si>
  <si>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</si>
  <si>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</si>
  <si>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</si>
  <si>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</si>
  <si>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</si>
  <si>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</si>
  <si>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</si>
  <si>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</si>
  <si>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</si>
  <si>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</si>
  <si>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</si>
  <si>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</si>
  <si>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</si>
  <si>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</si>
  <si>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</si>
  <si>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</si>
  <si>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</si>
  <si>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</si>
  <si>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</si>
  <si>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</si>
  <si>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</si>
  <si>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</si>
  <si>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</si>
  <si>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</si>
  <si>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</si>
  <si>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</si>
  <si>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</si>
  <si>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</si>
  <si>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</si>
  <si>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</si>
  <si>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</si>
  <si>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</si>
  <si>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</si>
  <si>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</si>
  <si>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</si>
  <si>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</si>
  <si>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</si>
  <si>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</si>
  <si>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</si>
  <si>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</si>
  <si>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</si>
  <si>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</si>
  <si>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</si>
  <si>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</si>
  <si>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</si>
  <si>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</si>
  <si>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</si>
  <si>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</si>
  <si>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</si>
  <si>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</si>
  <si>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</si>
  <si>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</si>
  <si>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</si>
  <si>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</si>
  <si>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</si>
  <si>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</si>
  <si>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</si>
  <si>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</si>
  <si>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</si>
  <si>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</si>
  <si>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</si>
  <si>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</si>
  <si>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</si>
  <si>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</si>
  <si>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</si>
  <si>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</si>
  <si>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</si>
  <si>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</si>
  <si>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</si>
  <si>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</si>
  <si>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</si>
  <si>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</si>
  <si>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</si>
  <si>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</si>
  <si>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</si>
  <si>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</si>
  <si>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</si>
  <si>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</si>
  <si>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</si>
  <si>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</si>
  <si>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</si>
  <si>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</si>
  <si>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</si>
  <si>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</si>
  <si>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</si>
  <si>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</si>
  <si>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</si>
  <si>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</si>
  <si>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</si>
  <si>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</si>
  <si>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</si>
  <si>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</si>
  <si>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</si>
  <si>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</si>
  <si>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</si>
  <si>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</si>
  <si>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</si>
  <si>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</si>
  <si>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</si>
  <si>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</si>
  <si>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</si>
  <si>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</si>
  <si>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</si>
  <si>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</si>
  <si>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</si>
  <si>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</si>
  <si>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</si>
  <si>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</si>
  <si>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</si>
  <si>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</si>
  <si>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</si>
  <si>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</si>
  <si>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</si>
  <si>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</si>
  <si>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</si>
  <si>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</si>
  <si>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</si>
  <si>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</si>
  <si>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</si>
  <si>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</si>
  <si>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</si>
  <si>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</si>
  <si>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</si>
  <si>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</si>
  <si>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</si>
  <si>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</si>
  <si>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</si>
  <si>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</si>
  <si>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</si>
  <si>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</si>
  <si>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</si>
  <si>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</si>
  <si>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</si>
  <si>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</si>
  <si>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</si>
  <si>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</si>
  <si>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</si>
  <si>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</si>
  <si>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</si>
  <si>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</si>
  <si>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</si>
  <si>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</si>
  <si>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</si>
  <si>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</si>
  <si>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</si>
  <si>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</si>
  <si>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</si>
  <si>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</si>
  <si>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</si>
  <si>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</si>
  <si>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</si>
  <si>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</si>
  <si>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</si>
  <si>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</si>
  <si>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</si>
  <si>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</si>
  <si>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</si>
  <si>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</si>
  <si>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</si>
  <si>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</si>
  <si>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</si>
  <si>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</si>
  <si>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</si>
  <si>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</si>
  <si>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</si>
  <si>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</si>
  <si>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</si>
  <si>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</si>
  <si>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</si>
  <si>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</si>
  <si>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</si>
  <si>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</si>
  <si>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</si>
  <si>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</si>
  <si>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</si>
  <si>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</si>
  <si>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</si>
  <si>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</si>
  <si>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</si>
  <si>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</si>
  <si>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</si>
  <si>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</si>
  <si>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</si>
  <si>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</si>
  <si>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</si>
  <si>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</si>
  <si>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</si>
  <si>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</si>
  <si>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</si>
  <si>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</si>
  <si>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</si>
  <si>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</si>
  <si>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</si>
  <si>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</si>
  <si>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</si>
  <si>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</si>
  <si>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</si>
  <si>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</si>
  <si>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</si>
  <si>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</si>
  <si>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</si>
  <si>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</si>
  <si>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</si>
  <si>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</si>
  <si>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</si>
  <si>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</si>
  <si>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</si>
  <si>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</si>
  <si>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</si>
  <si>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</si>
  <si>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</si>
  <si>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</si>
  <si>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</si>
  <si>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</si>
  <si>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</si>
  <si>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</si>
  <si>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</si>
  <si>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</si>
  <si>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</si>
  <si>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</si>
  <si>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</si>
  <si>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</si>
  <si>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</si>
  <si>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</si>
  <si>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</si>
  <si>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</si>
  <si>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</si>
  <si>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</si>
  <si>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</si>
  <si>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</si>
  <si>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</si>
  <si>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</si>
  <si>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</si>
  <si>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</si>
  <si>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</si>
  <si>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</si>
  <si>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</si>
  <si>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</si>
  <si>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</si>
  <si>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</si>
  <si>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</si>
  <si>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</si>
  <si>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</si>
  <si>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</si>
  <si>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</si>
  <si>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</si>
  <si>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</si>
  <si>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</si>
  <si>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</si>
  <si>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</si>
  <si>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</si>
  <si>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</si>
  <si>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</si>
  <si>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</si>
  <si>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</si>
  <si>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</si>
  <si>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</si>
  <si>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</si>
  <si>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</si>
  <si>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</si>
  <si>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</si>
  <si>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</si>
  <si>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</si>
  <si>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</si>
  <si>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</si>
  <si>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</si>
  <si>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</si>
  <si>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</si>
  <si>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</si>
  <si>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</si>
  <si>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</si>
  <si>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</si>
  <si>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</si>
  <si>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</si>
  <si>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</si>
  <si>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</si>
  <si>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</si>
  <si>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</si>
  <si>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</si>
  <si>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</si>
  <si>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</si>
  <si>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</si>
  <si>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</si>
  <si>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</si>
  <si>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</si>
  <si>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</si>
  <si>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</si>
  <si>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</si>
  <si>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</si>
  <si>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</si>
  <si>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</si>
  <si>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</si>
  <si>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</si>
  <si>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</si>
  <si>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</si>
  <si>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</si>
  <si>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</si>
  <si>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</si>
  <si>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</si>
  <si>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</si>
  <si>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</si>
  <si>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</si>
  <si>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</si>
  <si>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</si>
  <si>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</si>
  <si>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</si>
  <si>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</si>
  <si>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</si>
  <si>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</si>
  <si>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</si>
  <si>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</si>
  <si>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</si>
  <si>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</si>
  <si>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</si>
  <si>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</si>
  <si>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</si>
  <si>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</si>
  <si>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</si>
  <si>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</si>
  <si>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</si>
  <si>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</si>
  <si>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</si>
  <si>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</si>
  <si>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</si>
  <si>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</si>
  <si>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</si>
  <si>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</si>
  <si>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</si>
  <si>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</si>
  <si>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</si>
  <si>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</si>
  <si>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</si>
  <si>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</si>
  <si>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</si>
  <si>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</si>
  <si>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</si>
  <si>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</si>
  <si>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</si>
  <si>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</si>
  <si>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</si>
  <si>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</si>
  <si>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</si>
  <si>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</si>
  <si>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</si>
  <si>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</si>
  <si>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</si>
  <si>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</si>
  <si>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</si>
  <si>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</si>
  <si>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</si>
  <si>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</si>
  <si>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</si>
  <si>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</si>
  <si>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</si>
  <si>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</si>
  <si>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</si>
  <si>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</si>
  <si>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</si>
  <si>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</si>
  <si>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</si>
  <si>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</si>
  <si>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</si>
  <si>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</si>
  <si>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</si>
  <si>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</si>
  <si>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</si>
  <si>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</si>
  <si>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</si>
  <si>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</si>
  <si>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</si>
  <si>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</si>
  <si>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</si>
  <si>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</si>
  <si>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</si>
  <si>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</si>
  <si>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</si>
  <si>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</si>
  <si>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</si>
  <si>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</si>
  <si>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</si>
  <si>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</si>
  <si>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</si>
  <si>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</si>
  <si>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</si>
  <si>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</si>
  <si>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</si>
  <si>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</si>
  <si>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</si>
  <si>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</si>
  <si>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</si>
  <si>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</si>
  <si>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</si>
  <si>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</si>
  <si>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</si>
  <si>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</si>
  <si>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</si>
  <si>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</si>
  <si>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</si>
  <si>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</si>
  <si>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</si>
  <si>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</si>
  <si>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</si>
  <si>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</si>
  <si>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</si>
  <si>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</si>
  <si>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</si>
  <si>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</si>
  <si>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</si>
  <si>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</si>
  <si>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</si>
  <si>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</si>
  <si>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</si>
  <si>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</si>
  <si>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</si>
  <si>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</si>
  <si>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</si>
  <si>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</si>
  <si>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</si>
  <si>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</si>
  <si>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</si>
  <si>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</si>
  <si>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</si>
  <si>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</si>
  <si>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</si>
  <si>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</si>
  <si>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</si>
  <si>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</si>
  <si>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</si>
  <si>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</si>
  <si>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</si>
  <si>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</si>
  <si>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</si>
  <si>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</si>
  <si>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</si>
  <si>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</si>
  <si>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</si>
  <si>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</si>
  <si>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</si>
  <si>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</si>
  <si>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</si>
  <si>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</si>
  <si>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</si>
  <si>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</si>
  <si>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</si>
  <si>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</si>
  <si>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</si>
  <si>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</si>
  <si>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</si>
  <si>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</si>
  <si>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</si>
  <si>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</si>
  <si>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</si>
  <si>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</si>
  <si>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</si>
  <si>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</si>
  <si>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</si>
  <si>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</si>
  <si>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</si>
  <si>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</si>
  <si>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</si>
  <si>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</si>
  <si>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</si>
  <si>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</si>
  <si>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</si>
  <si>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</si>
  <si>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</si>
  <si>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</si>
  <si>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</si>
  <si>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</si>
  <si>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</si>
  <si>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</si>
  <si>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</si>
  <si>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</si>
  <si>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</si>
  <si>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</si>
  <si>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</si>
  <si>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</si>
  <si>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</si>
  <si>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</si>
  <si>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</si>
  <si>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</si>
  <si>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</si>
  <si>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</si>
  <si>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</si>
  <si>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</si>
  <si>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</si>
  <si>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</si>
  <si>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</si>
  <si>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</si>
  <si>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</si>
  <si>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</si>
  <si>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</si>
  <si>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</si>
  <si>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</si>
  <si>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</si>
  <si>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</si>
  <si>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</si>
  <si>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</si>
  <si>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</si>
  <si>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</si>
  <si>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</si>
  <si>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</si>
  <si>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</si>
  <si>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</si>
  <si>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</si>
  <si>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</si>
  <si>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</si>
  <si>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</si>
  <si>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</si>
  <si>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</si>
  <si>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</si>
  <si>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</si>
  <si>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</si>
  <si>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</si>
  <si>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</si>
  <si>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</si>
  <si>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</si>
  <si>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</si>
  <si>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</si>
  <si>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</si>
  <si>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</si>
  <si>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</si>
  <si>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</si>
  <si>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</si>
  <si>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</si>
  <si>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</si>
  <si>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</si>
  <si>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</si>
  <si>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</si>
  <si>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</si>
  <si>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</si>
  <si>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</si>
  <si>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</si>
  <si>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</si>
  <si>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</si>
  <si>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</si>
  <si>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</si>
  <si>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</si>
  <si>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</si>
  <si>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</si>
  <si>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</si>
  <si>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</si>
  <si>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</si>
  <si>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</si>
  <si>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</si>
  <si>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</si>
  <si>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</si>
  <si>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</si>
  <si>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</si>
  <si>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</si>
  <si>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</si>
  <si>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</si>
  <si>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</si>
  <si>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</si>
  <si>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</si>
  <si>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</si>
  <si>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</si>
  <si>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</si>
  <si>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</si>
  <si>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</si>
  <si>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</si>
  <si>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</si>
  <si>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</si>
  <si>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</si>
  <si>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</si>
  <si>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</si>
  <si>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</si>
  <si>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</si>
  <si>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</si>
  <si>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</si>
  <si>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</si>
  <si>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</si>
  <si>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</si>
  <si>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</si>
  <si>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</si>
  <si>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</si>
  <si>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</si>
  <si>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</si>
  <si>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</si>
  <si>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</si>
  <si>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</si>
  <si>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</si>
  <si>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</si>
  <si>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</si>
  <si>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</si>
  <si>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</si>
  <si>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</si>
  <si>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</si>
  <si>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</si>
  <si>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</si>
  <si>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</si>
  <si>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</si>
  <si>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</si>
  <si>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</si>
  <si>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</si>
  <si>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</si>
  <si>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</si>
  <si>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</si>
  <si>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</si>
  <si>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</si>
  <si>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</si>
  <si>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</si>
  <si>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</si>
  <si>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</si>
  <si>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</si>
  <si>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</si>
  <si>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</si>
  <si>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</si>
  <si>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</si>
  <si>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</si>
  <si>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</si>
  <si>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</si>
  <si>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</si>
  <si>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</si>
  <si>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</si>
  <si>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</si>
  <si>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</si>
  <si>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</si>
  <si>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</si>
  <si>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</si>
  <si>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</si>
  <si>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</si>
  <si>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</si>
  <si>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</si>
  <si>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</si>
  <si>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</si>
  <si>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</si>
  <si>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</si>
  <si>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</si>
  <si>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</si>
  <si>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</si>
  <si>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</si>
  <si>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</si>
  <si>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</si>
  <si>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</si>
  <si>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</si>
  <si>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</si>
  <si>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</si>
  <si>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</si>
  <si>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</si>
  <si>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</si>
  <si>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</si>
  <si>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</si>
  <si>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</si>
  <si>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</si>
  <si>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</si>
  <si>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</si>
  <si>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</si>
  <si>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</si>
  <si>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</si>
  <si>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</si>
  <si>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</si>
  <si>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</si>
  <si>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</si>
  <si>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</si>
  <si>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</si>
  <si>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</si>
  <si>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</si>
  <si>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</si>
  <si>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</si>
  <si>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</si>
  <si>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</si>
  <si>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</si>
  <si>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</si>
  <si>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</si>
  <si>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</si>
  <si>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</si>
  <si>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</si>
  <si>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</si>
  <si>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</si>
  <si>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</si>
  <si>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</si>
  <si>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</si>
  <si>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</si>
  <si>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</si>
  <si>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</si>
  <si>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</si>
  <si>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</si>
  <si>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</si>
  <si>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</si>
  <si>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</si>
  <si>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</si>
  <si>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</si>
  <si>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</si>
  <si>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</si>
  <si>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</si>
  <si>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</si>
  <si>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</si>
  <si>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</si>
  <si>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</si>
  <si>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</si>
  <si>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</si>
  <si>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</si>
  <si>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</si>
  <si>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</si>
  <si>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</si>
  <si>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</si>
  <si>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</si>
  <si>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</si>
  <si>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</si>
  <si>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</si>
  <si>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</si>
  <si>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</si>
  <si>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</si>
  <si>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</si>
  <si>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</si>
  <si>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</si>
  <si>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</si>
  <si>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</si>
  <si>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</si>
  <si>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</si>
  <si>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</si>
  <si>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</si>
  <si>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</si>
  <si>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</si>
  <si>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</si>
  <si>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</si>
  <si>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</si>
  <si>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</si>
  <si>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</si>
  <si>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</si>
  <si>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</si>
  <si>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</si>
  <si>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</si>
  <si>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</si>
  <si>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</si>
  <si>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</si>
  <si>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</si>
  <si>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</si>
  <si>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</si>
  <si>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</si>
  <si>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</si>
  <si>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</si>
  <si>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</si>
  <si>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</si>
  <si>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</si>
  <si>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</si>
  <si>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</si>
  <si>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</si>
  <si>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</si>
  <si>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</si>
  <si>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</si>
  <si>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</si>
  <si>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</si>
  <si>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</si>
  <si>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</si>
  <si>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</si>
  <si>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</si>
  <si>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</si>
  <si>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</si>
  <si>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</si>
  <si>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</si>
  <si>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</si>
  <si>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</si>
  <si>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</si>
  <si>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</si>
  <si>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</si>
  <si>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</si>
  <si>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</si>
  <si>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</si>
  <si>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</si>
  <si>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</si>
  <si>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</si>
  <si>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</si>
  <si>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</si>
  <si>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</si>
  <si>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</si>
  <si>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</si>
  <si>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</si>
  <si>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</si>
  <si>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</si>
  <si>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</si>
  <si>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</si>
  <si>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</si>
  <si>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</si>
  <si>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</si>
  <si>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</si>
  <si>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</si>
  <si>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</si>
  <si>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</si>
  <si>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</si>
  <si>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</si>
  <si>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</si>
  <si>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</si>
  <si>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</si>
  <si>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</si>
  <si>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</si>
  <si>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</si>
  <si>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</si>
  <si>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</si>
  <si>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</si>
  <si>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</si>
  <si>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</si>
  <si>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</si>
  <si>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</si>
  <si>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</si>
  <si>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</si>
  <si>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</si>
  <si>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</si>
  <si>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</si>
  <si>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</si>
  <si>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</si>
  <si>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</si>
  <si>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</si>
  <si>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</si>
  <si>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</si>
  <si>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</si>
  <si>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</si>
  <si>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</si>
  <si>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</si>
  <si>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</si>
  <si>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</si>
  <si>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</si>
  <si>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</si>
  <si>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</si>
  <si>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</si>
  <si>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</si>
  <si>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</si>
  <si>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</si>
  <si>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</si>
  <si>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</si>
  <si>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</si>
  <si>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</si>
  <si>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</si>
  <si>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</si>
  <si>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</si>
  <si>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</si>
  <si>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</si>
  <si>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</si>
  <si>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</si>
  <si>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</si>
  <si>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</si>
  <si>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</si>
  <si>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</si>
  <si>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</si>
  <si>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</si>
  <si>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</si>
  <si>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</si>
  <si>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</si>
  <si>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</si>
  <si>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</si>
  <si>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</si>
  <si>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</si>
  <si>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</si>
  <si>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</si>
  <si>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</si>
  <si>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</si>
  <si>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</si>
  <si>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</si>
  <si>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</si>
  <si>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</si>
  <si>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</si>
  <si>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</si>
  <si>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</si>
  <si>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</si>
  <si>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</si>
  <si>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</si>
  <si>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</si>
  <si>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</si>
  <si>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</si>
  <si>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</si>
  <si>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</si>
  <si>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</si>
  <si>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</si>
  <si>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</si>
  <si>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</si>
  <si>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</si>
  <si>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</si>
  <si>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</si>
  <si>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</si>
  <si>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</si>
  <si>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</si>
  <si>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</si>
  <si>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</si>
  <si>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</si>
  <si>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</si>
  <si>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</si>
  <si>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</si>
  <si>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</si>
  <si>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</si>
  <si>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</si>
  <si>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</si>
  <si>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</si>
  <si>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</si>
  <si>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</si>
  <si>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</si>
  <si>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</si>
  <si>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</si>
  <si>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</si>
  <si>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</si>
  <si>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</si>
  <si>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</si>
  <si>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</si>
  <si>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</si>
  <si>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</si>
  <si>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</si>
  <si>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</si>
  <si>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</si>
  <si>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</si>
  <si>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</si>
  <si>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</si>
  <si>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</si>
  <si>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</si>
  <si>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</si>
  <si>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</si>
  <si>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</si>
  <si>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</si>
  <si>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</si>
  <si>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</si>
  <si>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</si>
  <si>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</si>
  <si>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</si>
  <si>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</si>
  <si>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</si>
  <si>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</si>
  <si>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</si>
  <si>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</si>
  <si>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</si>
  <si>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</si>
  <si>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</si>
  <si>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</si>
  <si>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</si>
  <si>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</si>
  <si>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</si>
  <si>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</si>
  <si>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</si>
  <si>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</si>
  <si>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</si>
  <si>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</si>
  <si>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</si>
  <si>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</si>
  <si>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</si>
  <si>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</si>
  <si>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</si>
  <si>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</si>
  <si>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</si>
  <si>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</si>
  <si>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</si>
  <si>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</si>
  <si>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</si>
  <si>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</si>
  <si>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</si>
  <si>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</si>
  <si>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</si>
  <si>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</si>
  <si>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</si>
  <si>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</si>
  <si>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</si>
  <si>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</si>
  <si>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</si>
  <si>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</si>
  <si>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</si>
  <si>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</si>
  <si>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</si>
  <si>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</si>
  <si>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</si>
  <si>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</si>
  <si>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</si>
  <si>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</si>
  <si>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</si>
  <si>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</si>
  <si>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</si>
  <si>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</si>
  <si>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</si>
  <si>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</si>
  <si>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</si>
  <si>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</si>
  <si>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</si>
  <si>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</si>
  <si>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</si>
  <si>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</si>
  <si>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</si>
  <si>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</si>
  <si>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</si>
  <si>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</si>
  <si>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</si>
  <si>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</si>
  <si>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</si>
  <si>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</si>
  <si>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</si>
  <si>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</si>
  <si>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</si>
  <si>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</si>
  <si>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</si>
  <si>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</si>
  <si>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</si>
  <si>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</si>
  <si>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</si>
  <si>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</si>
  <si>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</si>
  <si>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</si>
  <si>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</si>
  <si>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</si>
  <si>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</si>
  <si>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</si>
  <si>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</si>
  <si>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</si>
  <si>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</si>
  <si>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</si>
  <si>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</si>
  <si>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</si>
  <si>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</si>
  <si>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</si>
  <si>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</si>
  <si>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</si>
  <si>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</si>
  <si>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</si>
  <si>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</si>
  <si>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</si>
  <si>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</si>
  <si>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</si>
  <si>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</si>
  <si>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</si>
  <si>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</si>
  <si>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</si>
  <si>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</si>
  <si>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</si>
  <si>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</si>
  <si>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</si>
  <si>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</si>
  <si>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</si>
  <si>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</si>
  <si>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</si>
  <si>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</si>
  <si>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</si>
  <si>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</si>
  <si>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</si>
  <si>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</si>
  <si>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</si>
  <si>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</si>
  <si>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</si>
  <si>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</si>
  <si>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</si>
  <si>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</si>
  <si>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</si>
  <si>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</si>
  <si>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</si>
  <si>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</si>
  <si>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</si>
  <si>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</si>
  <si>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</si>
  <si>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</si>
  <si>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</si>
  <si>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</si>
  <si>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</si>
  <si>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</si>
  <si>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</si>
  <si>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</si>
  <si>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</si>
  <si>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</si>
  <si>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</si>
  <si>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</si>
  <si>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</si>
  <si>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</si>
  <si>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</si>
  <si>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</si>
  <si>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</si>
  <si>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</si>
  <si>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</si>
  <si>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</si>
  <si>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</si>
  <si>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</si>
  <si>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</si>
  <si>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</si>
  <si>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</si>
  <si>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</si>
  <si>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</si>
  <si>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</si>
  <si>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</si>
  <si>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</si>
  <si>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</si>
  <si>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</si>
  <si>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</si>
  <si>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</si>
  <si>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</si>
  <si>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</si>
  <si>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</si>
  <si>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</si>
  <si>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</si>
  <si>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</si>
  <si>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</si>
  <si>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</si>
  <si>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</si>
  <si>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</si>
  <si>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</si>
  <si>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</si>
  <si>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</si>
  <si>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</si>
  <si>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</si>
  <si>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</si>
  <si>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</si>
  <si>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</si>
  <si>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</si>
  <si>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</si>
  <si>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</si>
  <si>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</si>
  <si>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</si>
  <si>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</si>
  <si>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</si>
  <si>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</si>
  <si>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</si>
  <si>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</si>
  <si>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</si>
  <si>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</si>
  <si>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</si>
  <si>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</si>
  <si>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</si>
  <si>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</si>
  <si>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</si>
  <si>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</si>
  <si>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</si>
  <si>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</si>
  <si>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</si>
  <si>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</si>
  <si>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</si>
  <si>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</si>
  <si>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</si>
  <si>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</si>
  <si>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</si>
  <si>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</si>
  <si>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</si>
  <si>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</si>
  <si>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</si>
  <si>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</si>
  <si>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</si>
  <si>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</si>
  <si>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</si>
  <si>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</si>
  <si>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</si>
  <si>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</si>
  <si>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</si>
  <si>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</si>
  <si>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</si>
  <si>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</si>
  <si>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</si>
  <si>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</si>
  <si>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</si>
  <si>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</si>
  <si>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</si>
  <si>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</si>
  <si>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</si>
  <si>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</si>
  <si>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</si>
  <si>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</si>
  <si>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</si>
  <si>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</si>
  <si>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</si>
  <si>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</si>
  <si>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</si>
  <si>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</si>
  <si>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</si>
  <si>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</si>
  <si>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</si>
  <si>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</si>
  <si>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</si>
  <si>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其他：</t>
  </si>
  <si>
    <t>企业</t>
  </si>
  <si>
    <t>出让</t>
  </si>
  <si>
    <t>序号</t>
  </si>
  <si>
    <t>幢号</t>
    <phoneticPr fontId="3" type="noConversion"/>
  </si>
  <si>
    <t>门牌号</t>
    <phoneticPr fontId="3" type="noConversion"/>
  </si>
  <si>
    <t>部位</t>
    <phoneticPr fontId="3" type="noConversion"/>
  </si>
  <si>
    <t>类型</t>
    <phoneticPr fontId="3" type="noConversion"/>
  </si>
  <si>
    <t>建筑面积</t>
  </si>
  <si>
    <t>1幢</t>
    <phoneticPr fontId="3" type="noConversion"/>
  </si>
  <si>
    <t>民生路1188号</t>
    <phoneticPr fontId="3" type="noConversion"/>
  </si>
  <si>
    <t>商业</t>
    <phoneticPr fontId="3" type="noConversion"/>
  </si>
  <si>
    <t>1幢</t>
  </si>
  <si>
    <t>民生路1188号</t>
  </si>
  <si>
    <t>办公</t>
    <phoneticPr fontId="3" type="noConversion"/>
  </si>
  <si>
    <t>商业</t>
    <phoneticPr fontId="3" type="noConversion"/>
  </si>
  <si>
    <t>办公</t>
    <phoneticPr fontId="3" type="noConversion"/>
  </si>
  <si>
    <t>办公</t>
    <phoneticPr fontId="3" type="noConversion"/>
  </si>
  <si>
    <t>办公</t>
    <phoneticPr fontId="3" type="noConversion"/>
  </si>
  <si>
    <t>合计</t>
    <phoneticPr fontId="3" type="noConversion"/>
  </si>
  <si>
    <r>
      <rPr>
        <sz val="10"/>
        <rFont val="宋体"/>
        <family val="3"/>
        <charset val="134"/>
      </rPr>
      <t>序号</t>
    </r>
  </si>
  <si>
    <r>
      <rPr>
        <sz val="10"/>
        <rFont val="宋体"/>
        <family val="3"/>
        <charset val="134"/>
      </rPr>
      <t>幢号/门牌号</t>
    </r>
  </si>
  <si>
    <r>
      <rPr>
        <sz val="10"/>
        <rFont val="宋体"/>
        <family val="3"/>
        <charset val="134"/>
      </rPr>
      <t>层数</t>
    </r>
  </si>
  <si>
    <r>
      <rPr>
        <sz val="10"/>
        <rFont val="宋体"/>
        <family val="3"/>
        <charset val="134"/>
      </rPr>
      <t>室号部位</t>
    </r>
  </si>
  <si>
    <r>
      <rPr>
        <sz val="10"/>
        <rFont val="宋体"/>
        <family val="3"/>
        <charset val="134"/>
      </rPr>
      <t>房屋用途</t>
    </r>
  </si>
  <si>
    <r>
      <rPr>
        <sz val="10"/>
        <rFont val="宋体"/>
        <family val="3"/>
        <charset val="134"/>
      </rPr>
      <t>备案类型</t>
    </r>
  </si>
  <si>
    <t>商业</t>
    <phoneticPr fontId="3" type="noConversion"/>
  </si>
  <si>
    <t>地下3层车位(人防)(无障碍)234</t>
    <phoneticPr fontId="140" type="noConversion"/>
  </si>
  <si>
    <t>地下3层车位(人防)(微型)193</t>
    <phoneticPr fontId="140" type="noConversion"/>
  </si>
  <si>
    <t>地下3层车位(人防)(微型)170</t>
    <phoneticPr fontId="140" type="noConversion"/>
  </si>
  <si>
    <t>地下3层车位(人防)167</t>
    <phoneticPr fontId="140" type="noConversion"/>
  </si>
  <si>
    <t>地下3层车位(人防)171</t>
    <phoneticPr fontId="140" type="noConversion"/>
  </si>
  <si>
    <t>6层604室</t>
  </si>
  <si>
    <t>6层605室</t>
  </si>
  <si>
    <t>6层606室</t>
  </si>
  <si>
    <t>地下3层车位(人防)177</t>
  </si>
  <si>
    <t>6层607室</t>
  </si>
  <si>
    <t>6层608室</t>
  </si>
  <si>
    <t>6层609室</t>
  </si>
  <si>
    <t>地下3层车位(人防)180</t>
  </si>
  <si>
    <t>6层610室</t>
  </si>
  <si>
    <t>7层701室</t>
  </si>
  <si>
    <t>7层702室</t>
  </si>
  <si>
    <t>7层703室</t>
  </si>
  <si>
    <t>7层704室</t>
  </si>
  <si>
    <t>地下3层车位(人防)186</t>
  </si>
  <si>
    <t>7层705室</t>
  </si>
  <si>
    <t>7层706室</t>
  </si>
  <si>
    <t>7层707室</t>
  </si>
  <si>
    <t>地下3层车位(人防)190</t>
  </si>
  <si>
    <t>7层708室</t>
  </si>
  <si>
    <t>7层709室</t>
  </si>
  <si>
    <t>7层710室</t>
  </si>
  <si>
    <t>地下3层车位(人防)194</t>
  </si>
  <si>
    <t>8层801室</t>
  </si>
  <si>
    <t>8层802室</t>
  </si>
  <si>
    <t>地下3层车位(人防)196</t>
  </si>
  <si>
    <t>8层803室</t>
  </si>
  <si>
    <t>地下3层车位(人防)197</t>
  </si>
  <si>
    <t>8层804室</t>
  </si>
  <si>
    <t>8层805室</t>
  </si>
  <si>
    <t>8层806室</t>
  </si>
  <si>
    <t>地下3层车位(人防)200</t>
  </si>
  <si>
    <t>8层807室</t>
  </si>
  <si>
    <t>8层808室</t>
  </si>
  <si>
    <t>8层809室</t>
  </si>
  <si>
    <t>8层810室</t>
  </si>
  <si>
    <t>9层901室</t>
  </si>
  <si>
    <t>地下3层车位(人防)206</t>
  </si>
  <si>
    <t>9层902室</t>
  </si>
  <si>
    <t>9层903室</t>
  </si>
  <si>
    <t>9层904室</t>
  </si>
  <si>
    <t>地下3层车位(人防)210</t>
  </si>
  <si>
    <t>9层905室</t>
  </si>
  <si>
    <t>9层906室</t>
  </si>
  <si>
    <t>9层907室</t>
  </si>
  <si>
    <t>9层908室</t>
  </si>
  <si>
    <t>9层909室</t>
  </si>
  <si>
    <t>地下3层车位(人防)220</t>
  </si>
  <si>
    <t>9层910室</t>
  </si>
  <si>
    <t>10层1001室</t>
  </si>
  <si>
    <t>10层1002室</t>
  </si>
  <si>
    <t>地下3层车位(人防)223</t>
  </si>
  <si>
    <t>10层1003室</t>
  </si>
  <si>
    <t>10层1004室</t>
  </si>
  <si>
    <t>10层1005室</t>
  </si>
  <si>
    <t>地下3层车位(人防)226</t>
  </si>
  <si>
    <t>10层1006室</t>
  </si>
  <si>
    <t>10层1007室</t>
  </si>
  <si>
    <t>地下3层车位(人防)228</t>
  </si>
  <si>
    <t>10层1008室</t>
  </si>
  <si>
    <t>地下3层车位(人防)229</t>
  </si>
  <si>
    <t>10层1009室</t>
  </si>
  <si>
    <t>10层1010室</t>
  </si>
  <si>
    <t>11层1101室</t>
  </si>
  <si>
    <t>地下3层车位(人防)232</t>
  </si>
  <si>
    <t>11层1103室</t>
  </si>
  <si>
    <t>11层1104室</t>
  </si>
  <si>
    <t>11层1105室</t>
  </si>
  <si>
    <t>11层1106室</t>
  </si>
  <si>
    <t>地下3层车位(人防)241</t>
  </si>
  <si>
    <t>11层1107室</t>
  </si>
  <si>
    <t>11层1108室</t>
  </si>
  <si>
    <t>11层1109室</t>
  </si>
  <si>
    <t>地下3层车位(人防)249</t>
  </si>
  <si>
    <t>11层1110室</t>
  </si>
  <si>
    <t>12层1201室</t>
  </si>
  <si>
    <t>12层1202室</t>
  </si>
  <si>
    <t>12层1203室</t>
  </si>
  <si>
    <t>12层1204室</t>
  </si>
  <si>
    <t>地下3层车位(人防)334</t>
  </si>
  <si>
    <t>12层1205室</t>
  </si>
  <si>
    <t>12层1206室</t>
  </si>
  <si>
    <t>12层1207室</t>
  </si>
  <si>
    <t>地下3层车位(微型)289</t>
  </si>
  <si>
    <t>12层1208室</t>
  </si>
  <si>
    <t>12层1209室</t>
  </si>
  <si>
    <t>12层1210室</t>
  </si>
  <si>
    <t>地下3层车位(微型)305</t>
  </si>
  <si>
    <t>15层1501室</t>
  </si>
  <si>
    <t>15层1502室</t>
  </si>
  <si>
    <t>地下3层车位(子母)272,272-1</t>
  </si>
  <si>
    <t>15层1503室</t>
  </si>
  <si>
    <t>地下3层车位(子母)273,273-1</t>
  </si>
  <si>
    <t>15层1504室</t>
  </si>
  <si>
    <t>15层1505室</t>
  </si>
  <si>
    <t>15层1506室</t>
  </si>
  <si>
    <t>15层1507室</t>
  </si>
  <si>
    <t>15层1508室</t>
  </si>
  <si>
    <t>15层1509室</t>
  </si>
  <si>
    <t>15层1510室</t>
  </si>
  <si>
    <t>16层1601室</t>
  </si>
  <si>
    <t>16层1602室</t>
  </si>
  <si>
    <t>16层1603室</t>
  </si>
  <si>
    <t>16层1604室</t>
  </si>
  <si>
    <t>16层1605室</t>
  </si>
  <si>
    <t>16层1606室</t>
  </si>
  <si>
    <t>16层1607室</t>
  </si>
  <si>
    <t>16层1608室</t>
  </si>
  <si>
    <t>16层1609室</t>
  </si>
  <si>
    <t>16层1610室</t>
  </si>
  <si>
    <t>17层1701室</t>
  </si>
  <si>
    <t>17层1702室</t>
  </si>
  <si>
    <t>17层1703室</t>
  </si>
  <si>
    <t>17层1704室</t>
  </si>
  <si>
    <t>17层1705室</t>
  </si>
  <si>
    <t>17层1706室</t>
  </si>
  <si>
    <t>17层1707室</t>
  </si>
  <si>
    <t>17层1708室</t>
  </si>
  <si>
    <t>17层1709室</t>
  </si>
  <si>
    <t>17层1710室</t>
  </si>
  <si>
    <t>18层1801室</t>
  </si>
  <si>
    <t>1层101室</t>
  </si>
  <si>
    <t>1层102室</t>
  </si>
  <si>
    <t>1层103室</t>
  </si>
  <si>
    <t>1层104室</t>
  </si>
  <si>
    <t>2层202室</t>
  </si>
  <si>
    <t>2层203室</t>
  </si>
  <si>
    <t>2层204室</t>
  </si>
  <si>
    <t>2层205室</t>
  </si>
  <si>
    <t>2层206室</t>
  </si>
  <si>
    <t>3层301室</t>
  </si>
  <si>
    <t>3层302室</t>
  </si>
  <si>
    <t>3层303室</t>
  </si>
  <si>
    <t>5层501室</t>
  </si>
  <si>
    <t>5层502室</t>
  </si>
  <si>
    <t>地下3层车位(人防)(子母)173,173-1</t>
  </si>
  <si>
    <t>5层503室</t>
  </si>
  <si>
    <t>地下3层车位(人防)(子母)209,209-1</t>
  </si>
  <si>
    <t>5层504室</t>
  </si>
  <si>
    <t>地下3层车位(人防)(子母)211,211-1</t>
  </si>
  <si>
    <t>5层505室</t>
  </si>
  <si>
    <t>地下3层车位(人防)(子母)213,213-1</t>
  </si>
  <si>
    <t>5层506室</t>
  </si>
  <si>
    <t>地下3层车位(人防)(子母)214,214-1</t>
  </si>
  <si>
    <t>5层507室</t>
  </si>
  <si>
    <t>地下3层车位(人防)(子母)215,215-1</t>
  </si>
  <si>
    <t>5层508室</t>
  </si>
  <si>
    <t>5层509室</t>
  </si>
  <si>
    <t>5层510室</t>
  </si>
  <si>
    <t>6层601室</t>
  </si>
  <si>
    <t>6层602室</t>
  </si>
  <si>
    <t>6层603室</t>
  </si>
  <si>
    <t>11层1102室</t>
  </si>
  <si>
    <t>18层1802室</t>
  </si>
  <si>
    <t>18层1803室</t>
  </si>
  <si>
    <t>18层1804室</t>
  </si>
  <si>
    <t>18层1805室</t>
  </si>
  <si>
    <t>18层1806室</t>
  </si>
  <si>
    <t>18层1807室</t>
  </si>
  <si>
    <t>18层1808室</t>
  </si>
  <si>
    <t>18层1809室</t>
  </si>
  <si>
    <t>18层1810室</t>
  </si>
  <si>
    <t>19层1901室</t>
  </si>
  <si>
    <t>19层1902室</t>
  </si>
  <si>
    <t>19层1903室</t>
  </si>
  <si>
    <t>19层1904室</t>
  </si>
  <si>
    <t>19层1905室</t>
  </si>
  <si>
    <t>19层1906室</t>
  </si>
  <si>
    <t>19层1907室</t>
  </si>
  <si>
    <t>19层1908室</t>
  </si>
  <si>
    <t>地下2层车位(微型)020</t>
  </si>
  <si>
    <t>地下2层车位(微型)051</t>
  </si>
  <si>
    <t>地下2层车位(微型)087</t>
  </si>
  <si>
    <t>地下2层车位(微型)153</t>
  </si>
  <si>
    <t>地下2层车位(无障碍)027</t>
  </si>
  <si>
    <t>地下2层车位(无障碍)064</t>
  </si>
  <si>
    <t>地下3层车位(人防)(微型)184</t>
    <phoneticPr fontId="140" type="noConversion"/>
  </si>
  <si>
    <t>地下3层车位(人防)(微型)189</t>
    <phoneticPr fontId="140" type="noConversion"/>
  </si>
  <si>
    <t>地下3层车位(人防)(微型)239</t>
    <phoneticPr fontId="140" type="noConversion"/>
  </si>
  <si>
    <t>地下3层车位(人防)(无障碍)235</t>
    <phoneticPr fontId="140" type="noConversion"/>
  </si>
  <si>
    <t>地下3层车位(人防)(无障碍)326</t>
    <phoneticPr fontId="140" type="noConversion"/>
  </si>
  <si>
    <t>地下3层车位(人防)168</t>
    <phoneticPr fontId="140" type="noConversion"/>
  </si>
  <si>
    <t>地下3层车位(人防)169</t>
    <phoneticPr fontId="140" type="noConversion"/>
  </si>
  <si>
    <t>地下3层车位(人防)172</t>
    <phoneticPr fontId="140" type="noConversion"/>
  </si>
  <si>
    <t>地下3层车位(人防)174</t>
    <phoneticPr fontId="140" type="noConversion"/>
  </si>
  <si>
    <t>地下3层车位(人防)175</t>
    <phoneticPr fontId="140" type="noConversion"/>
  </si>
  <si>
    <t>地下3层车位(人防)176</t>
    <phoneticPr fontId="140" type="noConversion"/>
  </si>
  <si>
    <t>地下3层车位(人防)178</t>
    <phoneticPr fontId="140" type="noConversion"/>
  </si>
  <si>
    <t>地下3层车位(人防)179</t>
    <phoneticPr fontId="140" type="noConversion"/>
  </si>
  <si>
    <t>地下3层车位(人防)181</t>
    <phoneticPr fontId="140" type="noConversion"/>
  </si>
  <si>
    <t>地下3层车位(人防)182</t>
    <phoneticPr fontId="140" type="noConversion"/>
  </si>
  <si>
    <t>地下3层车位(人防)183</t>
    <phoneticPr fontId="140" type="noConversion"/>
  </si>
  <si>
    <t>地下3层车位(人防)185</t>
    <phoneticPr fontId="140" type="noConversion"/>
  </si>
  <si>
    <t>地下3层车位(人防)187</t>
    <phoneticPr fontId="140" type="noConversion"/>
  </si>
  <si>
    <t>地下3层车位(人防)188</t>
    <phoneticPr fontId="140" type="noConversion"/>
  </si>
  <si>
    <t>地下3层车位(人防)191</t>
    <phoneticPr fontId="140" type="noConversion"/>
  </si>
  <si>
    <t>地下3层车位(人防)192</t>
    <phoneticPr fontId="140" type="noConversion"/>
  </si>
  <si>
    <t>地下3层车位(人防)195</t>
    <phoneticPr fontId="140" type="noConversion"/>
  </si>
  <si>
    <t>地下3层车位(人防)198</t>
    <phoneticPr fontId="140" type="noConversion"/>
  </si>
  <si>
    <t>地下3层车位(人防)199</t>
    <phoneticPr fontId="140" type="noConversion"/>
  </si>
  <si>
    <t>地下3层车位(人防)201</t>
    <phoneticPr fontId="140" type="noConversion"/>
  </si>
  <si>
    <t>地下3层车位(人防)202</t>
    <phoneticPr fontId="140" type="noConversion"/>
  </si>
  <si>
    <t>地下3层车位(人防)203</t>
    <phoneticPr fontId="140" type="noConversion"/>
  </si>
  <si>
    <t>地下3层车位(人防)204</t>
    <phoneticPr fontId="140" type="noConversion"/>
  </si>
  <si>
    <t>地下3层车位(人防)207</t>
    <phoneticPr fontId="140" type="noConversion"/>
  </si>
  <si>
    <t>地下3层车位(人防)208</t>
    <phoneticPr fontId="140" type="noConversion"/>
  </si>
  <si>
    <t>地下3层车位(人防)212</t>
    <phoneticPr fontId="140" type="noConversion"/>
  </si>
  <si>
    <t>地下3层车位(人防)217</t>
    <phoneticPr fontId="140" type="noConversion"/>
  </si>
  <si>
    <t>地下3层车位(人防)218</t>
    <phoneticPr fontId="140" type="noConversion"/>
  </si>
  <si>
    <t>地下3层车位(人防)219</t>
    <phoneticPr fontId="140" type="noConversion"/>
  </si>
  <si>
    <t>地下3层车位(人防)221</t>
    <phoneticPr fontId="140" type="noConversion"/>
  </si>
  <si>
    <t>地下3层车位(人防)222</t>
    <phoneticPr fontId="140" type="noConversion"/>
  </si>
  <si>
    <t>地下3层车位(人防)224</t>
    <phoneticPr fontId="140" type="noConversion"/>
  </si>
  <si>
    <t>地下3层车位(人防)225</t>
    <phoneticPr fontId="140" type="noConversion"/>
  </si>
  <si>
    <t>地下3层车位(人防)227</t>
    <phoneticPr fontId="140" type="noConversion"/>
  </si>
  <si>
    <t>地下3层车位(人防)230</t>
    <phoneticPr fontId="140" type="noConversion"/>
  </si>
  <si>
    <t>地下3层车位(人防)231</t>
    <phoneticPr fontId="140" type="noConversion"/>
  </si>
  <si>
    <t>地下3层车位(人防)233</t>
    <phoneticPr fontId="140" type="noConversion"/>
  </si>
  <si>
    <t>地下3层车位(人防)237</t>
    <phoneticPr fontId="140" type="noConversion"/>
  </si>
  <si>
    <t>地下3层车位(人防)238</t>
    <phoneticPr fontId="140" type="noConversion"/>
  </si>
  <si>
    <t>地下3层车位(人防)240</t>
    <phoneticPr fontId="140" type="noConversion"/>
  </si>
  <si>
    <t>地下3层车位(人防)242</t>
    <phoneticPr fontId="140" type="noConversion"/>
  </si>
  <si>
    <t>地下3层车位(人防)248</t>
    <phoneticPr fontId="140" type="noConversion"/>
  </si>
  <si>
    <t>地下3层车位(人防)250</t>
    <phoneticPr fontId="140" type="noConversion"/>
  </si>
  <si>
    <t>地下3层车位(人防)252</t>
    <phoneticPr fontId="140" type="noConversion"/>
  </si>
  <si>
    <t>地下3层车位(人防)324</t>
    <phoneticPr fontId="140" type="noConversion"/>
  </si>
  <si>
    <t>地下3层车位(人防)325</t>
    <phoneticPr fontId="140" type="noConversion"/>
  </si>
  <si>
    <t>地下3层车位(微型)287</t>
    <phoneticPr fontId="140" type="noConversion"/>
  </si>
  <si>
    <t>地下3层车位(微型)288</t>
    <phoneticPr fontId="140" type="noConversion"/>
  </si>
  <si>
    <t>地下3层车位(微型)294</t>
    <phoneticPr fontId="140" type="noConversion"/>
  </si>
  <si>
    <t>地下3层车位(微型)304</t>
    <phoneticPr fontId="140" type="noConversion"/>
  </si>
  <si>
    <t>地下3层车位(无障碍)270</t>
    <phoneticPr fontId="140" type="noConversion"/>
  </si>
  <si>
    <t>地下3层车位(子母)274,274-1</t>
    <phoneticPr fontId="140" type="noConversion"/>
  </si>
  <si>
    <t>地下2层车位(微型)019</t>
    <phoneticPr fontId="140" type="noConversion"/>
  </si>
  <si>
    <t>地下2层车位(微型)021</t>
    <phoneticPr fontId="140" type="noConversion"/>
  </si>
  <si>
    <t>地下2层车位(微型)022</t>
    <phoneticPr fontId="140" type="noConversion"/>
  </si>
  <si>
    <t>地下2层车位(微型)043</t>
    <phoneticPr fontId="140" type="noConversion"/>
  </si>
  <si>
    <t>地下2层车位(微型)047</t>
    <phoneticPr fontId="140" type="noConversion"/>
  </si>
  <si>
    <t>地下2层车位(微型)077</t>
    <phoneticPr fontId="140" type="noConversion"/>
  </si>
  <si>
    <t>地下2层车位(微型)083</t>
    <phoneticPr fontId="140" type="noConversion"/>
  </si>
  <si>
    <t>地下2层车位(微型)144</t>
    <phoneticPr fontId="140" type="noConversion"/>
  </si>
  <si>
    <t>地下2层车位(微型)148</t>
    <phoneticPr fontId="140" type="noConversion"/>
  </si>
  <si>
    <t>地下2层车位(微型)161</t>
    <phoneticPr fontId="140" type="noConversion"/>
  </si>
  <si>
    <t>地下2层车位(无障碍)061</t>
    <phoneticPr fontId="140" type="noConversion"/>
  </si>
  <si>
    <t>地下2层车位(无障碍)062</t>
    <phoneticPr fontId="140" type="noConversion"/>
  </si>
  <si>
    <t>地下2层车位(子母)100,100-1</t>
    <phoneticPr fontId="140" type="noConversion"/>
  </si>
  <si>
    <r>
      <rPr>
        <sz val="10"/>
        <rFont val="宋体"/>
        <family val="3"/>
        <charset val="134"/>
      </rPr>
      <t>杨高中路2829号</t>
    </r>
  </si>
  <si>
    <r>
      <rPr>
        <sz val="10"/>
        <rFont val="宋体"/>
        <family val="3"/>
        <charset val="134"/>
      </rPr>
      <t>1层</t>
    </r>
  </si>
  <si>
    <r>
      <rPr>
        <sz val="10"/>
        <rFont val="宋体"/>
        <family val="3"/>
        <charset val="134"/>
      </rPr>
      <t>商业</t>
    </r>
  </si>
  <si>
    <r>
      <rPr>
        <sz val="10"/>
        <rFont val="宋体"/>
        <family val="3"/>
        <charset val="134"/>
      </rPr>
      <t>用于租赁</t>
    </r>
  </si>
  <si>
    <r>
      <rPr>
        <sz val="10"/>
        <rFont val="宋体"/>
        <family val="3"/>
        <charset val="134"/>
      </rPr>
      <t>杨高中路2819号</t>
    </r>
  </si>
  <si>
    <r>
      <rPr>
        <sz val="10"/>
        <rFont val="宋体"/>
        <family val="3"/>
        <charset val="134"/>
      </rPr>
      <t>杨高中路2815号</t>
    </r>
  </si>
  <si>
    <r>
      <rPr>
        <sz val="10"/>
        <rFont val="宋体"/>
        <family val="3"/>
        <charset val="134"/>
      </rPr>
      <t>杨高中路2825号</t>
    </r>
  </si>
  <si>
    <r>
      <rPr>
        <sz val="10"/>
        <rFont val="宋体"/>
        <family val="3"/>
        <charset val="134"/>
      </rPr>
      <t>杨高中路2839号</t>
    </r>
  </si>
  <si>
    <r>
      <rPr>
        <sz val="10"/>
        <rFont val="宋体"/>
        <family val="3"/>
        <charset val="134"/>
      </rPr>
      <t>地下1层01</t>
    </r>
  </si>
  <si>
    <r>
      <rPr>
        <sz val="10"/>
        <rFont val="宋体"/>
        <family val="3"/>
        <charset val="134"/>
      </rPr>
      <t>特种用途</t>
    </r>
  </si>
  <si>
    <r>
      <rPr>
        <sz val="10"/>
        <rFont val="宋体"/>
        <family val="3"/>
        <charset val="134"/>
      </rPr>
      <t>地下3层车位243</t>
    </r>
  </si>
  <si>
    <r>
      <rPr>
        <sz val="10"/>
        <rFont val="宋体"/>
        <family val="3"/>
        <charset val="134"/>
      </rPr>
      <t>地下3层车位244</t>
    </r>
  </si>
  <si>
    <r>
      <rPr>
        <sz val="10"/>
        <rFont val="宋体"/>
        <family val="3"/>
        <charset val="134"/>
      </rPr>
      <t>地下3层车位245</t>
    </r>
  </si>
  <si>
    <r>
      <rPr>
        <sz val="10"/>
        <rFont val="宋体"/>
        <family val="3"/>
        <charset val="134"/>
      </rPr>
      <t>地下3层车位246</t>
    </r>
  </si>
  <si>
    <r>
      <rPr>
        <sz val="10"/>
        <rFont val="宋体"/>
        <family val="3"/>
        <charset val="134"/>
      </rPr>
      <t>地下3层车位247</t>
    </r>
  </si>
  <si>
    <r>
      <rPr>
        <sz val="10"/>
        <rFont val="宋体"/>
        <family val="3"/>
        <charset val="134"/>
      </rPr>
      <t>地下3层车位253</t>
    </r>
  </si>
  <si>
    <r>
      <rPr>
        <sz val="10"/>
        <rFont val="宋体"/>
        <family val="3"/>
        <charset val="134"/>
      </rPr>
      <t>地下3层车位254</t>
    </r>
  </si>
  <si>
    <r>
      <rPr>
        <sz val="10"/>
        <rFont val="宋体"/>
        <family val="3"/>
        <charset val="134"/>
      </rPr>
      <t>地下3层车位255</t>
    </r>
  </si>
  <si>
    <r>
      <rPr>
        <sz val="10"/>
        <rFont val="宋体"/>
        <family val="3"/>
        <charset val="134"/>
      </rPr>
      <t>地下3层车位256</t>
    </r>
  </si>
  <si>
    <r>
      <rPr>
        <sz val="10"/>
        <rFont val="宋体"/>
        <family val="3"/>
        <charset val="134"/>
      </rPr>
      <t>地下3层车位257</t>
    </r>
  </si>
  <si>
    <r>
      <rPr>
        <sz val="10"/>
        <rFont val="宋体"/>
        <family val="3"/>
        <charset val="134"/>
      </rPr>
      <t>地下3层车位258</t>
    </r>
  </si>
  <si>
    <r>
      <rPr>
        <sz val="10"/>
        <rFont val="宋体"/>
        <family val="3"/>
        <charset val="134"/>
      </rPr>
      <t>地下3层车位259</t>
    </r>
  </si>
  <si>
    <r>
      <rPr>
        <sz val="10"/>
        <rFont val="宋体"/>
        <family val="3"/>
        <charset val="134"/>
      </rPr>
      <t>地下3层车位260</t>
    </r>
  </si>
  <si>
    <r>
      <rPr>
        <sz val="10"/>
        <rFont val="宋体"/>
        <family val="3"/>
        <charset val="134"/>
      </rPr>
      <t>地下3层车位261</t>
    </r>
  </si>
  <si>
    <r>
      <rPr>
        <sz val="10"/>
        <rFont val="宋体"/>
        <family val="3"/>
        <charset val="134"/>
      </rPr>
      <t>地下3层车位262</t>
    </r>
  </si>
  <si>
    <r>
      <rPr>
        <sz val="10"/>
        <rFont val="宋体"/>
        <family val="3"/>
        <charset val="134"/>
      </rPr>
      <t>地下3层车位263</t>
    </r>
  </si>
  <si>
    <r>
      <rPr>
        <sz val="10"/>
        <rFont val="宋体"/>
        <family val="3"/>
        <charset val="134"/>
      </rPr>
      <t>地下3层车位265</t>
    </r>
  </si>
  <si>
    <r>
      <rPr>
        <sz val="10"/>
        <rFont val="宋体"/>
        <family val="3"/>
        <charset val="134"/>
      </rPr>
      <t>地下3层车位266</t>
    </r>
  </si>
  <si>
    <r>
      <rPr>
        <sz val="10"/>
        <rFont val="宋体"/>
        <family val="3"/>
        <charset val="134"/>
      </rPr>
      <t>地下3层车位267</t>
    </r>
  </si>
  <si>
    <r>
      <rPr>
        <sz val="10"/>
        <rFont val="宋体"/>
        <family val="3"/>
        <charset val="134"/>
      </rPr>
      <t>地下3层车位268</t>
    </r>
  </si>
  <si>
    <r>
      <rPr>
        <sz val="10"/>
        <rFont val="宋体"/>
        <family val="3"/>
        <charset val="134"/>
      </rPr>
      <t>地下3层车位269</t>
    </r>
  </si>
  <si>
    <r>
      <rPr>
        <sz val="10"/>
        <rFont val="宋体"/>
        <family val="3"/>
        <charset val="134"/>
      </rPr>
      <t>地下3层车位271</t>
    </r>
  </si>
  <si>
    <r>
      <rPr>
        <sz val="10"/>
        <rFont val="宋体"/>
        <family val="3"/>
        <charset val="134"/>
      </rPr>
      <t>地下3层车位275</t>
    </r>
  </si>
  <si>
    <r>
      <rPr>
        <sz val="10"/>
        <rFont val="宋体"/>
        <family val="3"/>
        <charset val="134"/>
      </rPr>
      <t>地下3层车位276</t>
    </r>
  </si>
  <si>
    <r>
      <rPr>
        <sz val="10"/>
        <rFont val="宋体"/>
        <family val="3"/>
        <charset val="134"/>
      </rPr>
      <t>地下3层车位277</t>
    </r>
  </si>
  <si>
    <r>
      <rPr>
        <sz val="10"/>
        <rFont val="宋体"/>
        <family val="3"/>
        <charset val="134"/>
      </rPr>
      <t>地下3层车位278</t>
    </r>
  </si>
  <si>
    <r>
      <rPr>
        <sz val="10"/>
        <rFont val="宋体"/>
        <family val="3"/>
        <charset val="134"/>
      </rPr>
      <t>地下3层车位279</t>
    </r>
  </si>
  <si>
    <r>
      <rPr>
        <sz val="10"/>
        <rFont val="宋体"/>
        <family val="3"/>
        <charset val="134"/>
      </rPr>
      <t>地下3层车位280</t>
    </r>
  </si>
  <si>
    <r>
      <rPr>
        <sz val="10"/>
        <rFont val="宋体"/>
        <family val="3"/>
        <charset val="134"/>
      </rPr>
      <t>地下3层车位281</t>
    </r>
  </si>
  <si>
    <r>
      <rPr>
        <sz val="10"/>
        <rFont val="宋体"/>
        <family val="3"/>
        <charset val="134"/>
      </rPr>
      <t>地下3层车位282</t>
    </r>
  </si>
  <si>
    <r>
      <rPr>
        <sz val="10"/>
        <rFont val="宋体"/>
        <family val="3"/>
        <charset val="134"/>
      </rPr>
      <t>地下3层车位283</t>
    </r>
  </si>
  <si>
    <r>
      <rPr>
        <sz val="10"/>
        <rFont val="宋体"/>
        <family val="3"/>
        <charset val="134"/>
      </rPr>
      <t>地下3层车位284</t>
    </r>
  </si>
  <si>
    <r>
      <rPr>
        <sz val="10"/>
        <rFont val="宋体"/>
        <family val="3"/>
        <charset val="134"/>
      </rPr>
      <t>地下3层车位285</t>
    </r>
  </si>
  <si>
    <r>
      <rPr>
        <sz val="10"/>
        <rFont val="宋体"/>
        <family val="3"/>
        <charset val="134"/>
      </rPr>
      <t>地下3层车位286</t>
    </r>
  </si>
  <si>
    <r>
      <rPr>
        <sz val="10"/>
        <rFont val="宋体"/>
        <family val="3"/>
        <charset val="134"/>
      </rPr>
      <t>地下3层车位290</t>
    </r>
  </si>
  <si>
    <r>
      <rPr>
        <sz val="10"/>
        <rFont val="宋体"/>
        <family val="3"/>
        <charset val="134"/>
      </rPr>
      <t>地下3层车位291</t>
    </r>
  </si>
  <si>
    <r>
      <rPr>
        <sz val="10"/>
        <rFont val="宋体"/>
        <family val="3"/>
        <charset val="134"/>
      </rPr>
      <t>地下3层车位292</t>
    </r>
  </si>
  <si>
    <r>
      <rPr>
        <sz val="10"/>
        <rFont val="宋体"/>
        <family val="3"/>
        <charset val="134"/>
      </rPr>
      <t>地下3层车位293</t>
    </r>
  </si>
  <si>
    <r>
      <rPr>
        <sz val="10"/>
        <rFont val="宋体"/>
        <family val="3"/>
        <charset val="134"/>
      </rPr>
      <t>地下3层车位295</t>
    </r>
  </si>
  <si>
    <r>
      <rPr>
        <sz val="10"/>
        <rFont val="宋体"/>
        <family val="3"/>
        <charset val="134"/>
      </rPr>
      <t>地下3层车位296</t>
    </r>
  </si>
  <si>
    <r>
      <rPr>
        <sz val="10"/>
        <rFont val="宋体"/>
        <family val="3"/>
        <charset val="134"/>
      </rPr>
      <t>地下3层车位297</t>
    </r>
  </si>
  <si>
    <r>
      <rPr>
        <sz val="10"/>
        <rFont val="宋体"/>
        <family val="3"/>
        <charset val="134"/>
      </rPr>
      <t>地下3层车位298</t>
    </r>
  </si>
  <si>
    <r>
      <rPr>
        <sz val="10"/>
        <rFont val="宋体"/>
        <family val="3"/>
        <charset val="134"/>
      </rPr>
      <t>地下3层车位299</t>
    </r>
  </si>
  <si>
    <r>
      <rPr>
        <sz val="10"/>
        <rFont val="宋体"/>
        <family val="3"/>
        <charset val="134"/>
      </rPr>
      <t>地下3层车位300</t>
    </r>
  </si>
  <si>
    <r>
      <rPr>
        <sz val="10"/>
        <rFont val="宋体"/>
        <family val="3"/>
        <charset val="134"/>
      </rPr>
      <t>地下3层车位301</t>
    </r>
  </si>
  <si>
    <r>
      <rPr>
        <sz val="10"/>
        <rFont val="宋体"/>
        <family val="3"/>
        <charset val="134"/>
      </rPr>
      <t>地下3层车位302</t>
    </r>
  </si>
  <si>
    <r>
      <rPr>
        <sz val="10"/>
        <rFont val="宋体"/>
        <family val="3"/>
        <charset val="134"/>
      </rPr>
      <t>地下3层车位306</t>
    </r>
  </si>
  <si>
    <r>
      <rPr>
        <sz val="10"/>
        <rFont val="宋体"/>
        <family val="3"/>
        <charset val="134"/>
      </rPr>
      <t>地下3层车位307</t>
    </r>
  </si>
  <si>
    <r>
      <rPr>
        <sz val="10"/>
        <rFont val="宋体"/>
        <family val="3"/>
        <charset val="134"/>
      </rPr>
      <t>地下3层车位308</t>
    </r>
  </si>
  <si>
    <r>
      <rPr>
        <sz val="10"/>
        <rFont val="宋体"/>
        <family val="3"/>
        <charset val="134"/>
      </rPr>
      <t>地下3层车位309</t>
    </r>
  </si>
  <si>
    <r>
      <rPr>
        <sz val="10"/>
        <rFont val="宋体"/>
        <family val="3"/>
        <charset val="134"/>
      </rPr>
      <t>地下3层车位310</t>
    </r>
  </si>
  <si>
    <r>
      <rPr>
        <sz val="10"/>
        <rFont val="宋体"/>
        <family val="3"/>
        <charset val="134"/>
      </rPr>
      <t>地下3层车位311</t>
    </r>
  </si>
  <si>
    <r>
      <rPr>
        <sz val="10"/>
        <rFont val="宋体"/>
        <family val="3"/>
        <charset val="134"/>
      </rPr>
      <t>地下3层车位312</t>
    </r>
  </si>
  <si>
    <r>
      <rPr>
        <sz val="10"/>
        <rFont val="宋体"/>
        <family val="3"/>
        <charset val="134"/>
      </rPr>
      <t>地下3层车位313</t>
    </r>
  </si>
  <si>
    <r>
      <rPr>
        <sz val="10"/>
        <rFont val="宋体"/>
        <family val="3"/>
        <charset val="134"/>
      </rPr>
      <t>地下3层车位314</t>
    </r>
  </si>
  <si>
    <r>
      <rPr>
        <sz val="10"/>
        <rFont val="宋体"/>
        <family val="3"/>
        <charset val="134"/>
      </rPr>
      <t>地下3层车位315</t>
    </r>
  </si>
  <si>
    <r>
      <rPr>
        <sz val="10"/>
        <rFont val="宋体"/>
        <family val="3"/>
        <charset val="134"/>
      </rPr>
      <t>地下3层车位316</t>
    </r>
  </si>
  <si>
    <r>
      <rPr>
        <sz val="10"/>
        <rFont val="宋体"/>
        <family val="3"/>
        <charset val="134"/>
      </rPr>
      <t>地下3层车位317</t>
    </r>
  </si>
  <si>
    <r>
      <rPr>
        <sz val="10"/>
        <rFont val="宋体"/>
        <family val="3"/>
        <charset val="134"/>
      </rPr>
      <t>地下3层车位318</t>
    </r>
  </si>
  <si>
    <r>
      <rPr>
        <sz val="10"/>
        <rFont val="宋体"/>
        <family val="3"/>
        <charset val="134"/>
      </rPr>
      <t>地下3层车位319</t>
    </r>
  </si>
  <si>
    <r>
      <rPr>
        <sz val="10"/>
        <rFont val="宋体"/>
        <family val="3"/>
        <charset val="134"/>
      </rPr>
      <t>地下3层车位320</t>
    </r>
  </si>
  <si>
    <r>
      <rPr>
        <sz val="10"/>
        <rFont val="宋体"/>
        <family val="3"/>
        <charset val="134"/>
      </rPr>
      <t>地下3层车位321</t>
    </r>
  </si>
  <si>
    <r>
      <rPr>
        <sz val="10"/>
        <rFont val="宋体"/>
        <family val="3"/>
        <charset val="134"/>
      </rPr>
      <t>地下3层车位322</t>
    </r>
  </si>
  <si>
    <r>
      <rPr>
        <sz val="10"/>
        <rFont val="宋体"/>
        <family val="3"/>
        <charset val="134"/>
      </rPr>
      <t>地下3层车位323</t>
    </r>
  </si>
  <si>
    <r>
      <rPr>
        <sz val="10"/>
        <rFont val="宋体"/>
        <family val="3"/>
        <charset val="134"/>
      </rPr>
      <t>地下3层车位327</t>
    </r>
  </si>
  <si>
    <r>
      <rPr>
        <sz val="10"/>
        <rFont val="宋体"/>
        <family val="3"/>
        <charset val="134"/>
      </rPr>
      <t>地下3层车位328</t>
    </r>
  </si>
  <si>
    <r>
      <rPr>
        <sz val="10"/>
        <rFont val="宋体"/>
        <family val="3"/>
        <charset val="134"/>
      </rPr>
      <t>地下3层车位329</t>
    </r>
  </si>
  <si>
    <r>
      <rPr>
        <sz val="10"/>
        <rFont val="宋体"/>
        <family val="3"/>
        <charset val="134"/>
      </rPr>
      <t>地下3层车位330-1</t>
    </r>
  </si>
  <si>
    <r>
      <rPr>
        <sz val="10"/>
        <rFont val="宋体"/>
        <family val="3"/>
        <charset val="134"/>
      </rPr>
      <t>地下3层车位331</t>
    </r>
  </si>
  <si>
    <r>
      <rPr>
        <sz val="10"/>
        <rFont val="宋体"/>
        <family val="3"/>
        <charset val="134"/>
      </rPr>
      <t>地下3层车位332</t>
    </r>
  </si>
  <si>
    <r>
      <rPr>
        <sz val="10"/>
        <rFont val="宋体"/>
        <family val="3"/>
        <charset val="134"/>
      </rPr>
      <t>地下3层车位333</t>
    </r>
  </si>
  <si>
    <r>
      <rPr>
        <sz val="10"/>
        <rFont val="宋体"/>
        <family val="3"/>
        <charset val="134"/>
      </rPr>
      <t>地下3层车位335</t>
    </r>
  </si>
  <si>
    <r>
      <rPr>
        <sz val="10"/>
        <rFont val="宋体"/>
        <family val="3"/>
        <charset val="134"/>
      </rPr>
      <t>地下3层车位336</t>
    </r>
  </si>
  <si>
    <r>
      <rPr>
        <sz val="10"/>
        <rFont val="宋体"/>
        <family val="3"/>
        <charset val="134"/>
      </rPr>
      <t>地下3层车位337</t>
    </r>
  </si>
  <si>
    <r>
      <rPr>
        <sz val="10"/>
        <rFont val="宋体"/>
        <family val="3"/>
        <charset val="134"/>
      </rPr>
      <t>地下3层车位338</t>
    </r>
  </si>
  <si>
    <r>
      <rPr>
        <sz val="10"/>
        <rFont val="宋体"/>
        <family val="3"/>
        <charset val="134"/>
      </rPr>
      <t>地下2层车位001</t>
    </r>
  </si>
  <si>
    <r>
      <rPr>
        <sz val="10"/>
        <rFont val="宋体"/>
        <family val="3"/>
        <charset val="134"/>
      </rPr>
      <t>地下2层车位002</t>
    </r>
  </si>
  <si>
    <r>
      <rPr>
        <sz val="10"/>
        <rFont val="宋体"/>
        <family val="3"/>
        <charset val="134"/>
      </rPr>
      <t>地下2层车位003</t>
    </r>
  </si>
  <si>
    <r>
      <rPr>
        <sz val="10"/>
        <rFont val="宋体"/>
        <family val="3"/>
        <charset val="134"/>
      </rPr>
      <t>地下2层车位004</t>
    </r>
  </si>
  <si>
    <r>
      <rPr>
        <sz val="10"/>
        <rFont val="宋体"/>
        <family val="3"/>
        <charset val="134"/>
      </rPr>
      <t>地下2层车位005</t>
    </r>
  </si>
  <si>
    <r>
      <rPr>
        <sz val="10"/>
        <rFont val="宋体"/>
        <family val="3"/>
        <charset val="134"/>
      </rPr>
      <t>地下2层车位006</t>
    </r>
  </si>
  <si>
    <r>
      <rPr>
        <sz val="10"/>
        <rFont val="宋体"/>
        <family val="3"/>
        <charset val="134"/>
      </rPr>
      <t>地下2层车位007</t>
    </r>
  </si>
  <si>
    <r>
      <rPr>
        <sz val="10"/>
        <rFont val="宋体"/>
        <family val="3"/>
        <charset val="134"/>
      </rPr>
      <t>地下2层车位008</t>
    </r>
  </si>
  <si>
    <r>
      <rPr>
        <sz val="10"/>
        <rFont val="宋体"/>
        <family val="3"/>
        <charset val="134"/>
      </rPr>
      <t>地下2层车位009</t>
    </r>
  </si>
  <si>
    <r>
      <rPr>
        <sz val="10"/>
        <rFont val="宋体"/>
        <family val="3"/>
        <charset val="134"/>
      </rPr>
      <t>地下2层车位010</t>
    </r>
  </si>
  <si>
    <r>
      <rPr>
        <sz val="10"/>
        <rFont val="宋体"/>
        <family val="3"/>
        <charset val="134"/>
      </rPr>
      <t>地下2层车位011</t>
    </r>
  </si>
  <si>
    <r>
      <rPr>
        <sz val="10"/>
        <rFont val="宋体"/>
        <family val="3"/>
        <charset val="134"/>
      </rPr>
      <t>地下2层车位012</t>
    </r>
  </si>
  <si>
    <r>
      <rPr>
        <sz val="10"/>
        <rFont val="宋体"/>
        <family val="3"/>
        <charset val="134"/>
      </rPr>
      <t>地下2层车位013</t>
    </r>
  </si>
  <si>
    <r>
      <rPr>
        <sz val="10"/>
        <rFont val="宋体"/>
        <family val="3"/>
        <charset val="134"/>
      </rPr>
      <t>地下2层车位014</t>
    </r>
  </si>
  <si>
    <r>
      <rPr>
        <sz val="10"/>
        <rFont val="宋体"/>
        <family val="3"/>
        <charset val="134"/>
      </rPr>
      <t>地下2层车位015</t>
    </r>
  </si>
  <si>
    <r>
      <rPr>
        <sz val="10"/>
        <rFont val="宋体"/>
        <family val="3"/>
        <charset val="134"/>
      </rPr>
      <t>地下2层车位016</t>
    </r>
  </si>
  <si>
    <r>
      <rPr>
        <sz val="10"/>
        <rFont val="宋体"/>
        <family val="3"/>
        <charset val="134"/>
      </rPr>
      <t>地下2层车位017</t>
    </r>
  </si>
  <si>
    <r>
      <rPr>
        <sz val="10"/>
        <rFont val="宋体"/>
        <family val="3"/>
        <charset val="134"/>
      </rPr>
      <t>地下2层车位023</t>
    </r>
  </si>
  <si>
    <r>
      <rPr>
        <sz val="10"/>
        <rFont val="宋体"/>
        <family val="3"/>
        <charset val="134"/>
      </rPr>
      <t>地下2层车位024</t>
    </r>
  </si>
  <si>
    <r>
      <rPr>
        <sz val="10"/>
        <rFont val="宋体"/>
        <family val="3"/>
        <charset val="134"/>
      </rPr>
      <t>地下2层车位025</t>
    </r>
  </si>
  <si>
    <r>
      <rPr>
        <sz val="10"/>
        <rFont val="宋体"/>
        <family val="3"/>
        <charset val="134"/>
      </rPr>
      <t>地下2层车位029</t>
    </r>
  </si>
  <si>
    <r>
      <rPr>
        <sz val="10"/>
        <rFont val="宋体"/>
        <family val="3"/>
        <charset val="134"/>
      </rPr>
      <t>地下2层车位030</t>
    </r>
  </si>
  <si>
    <r>
      <rPr>
        <sz val="10"/>
        <rFont val="宋体"/>
        <family val="3"/>
        <charset val="134"/>
      </rPr>
      <t>地下2层车位031</t>
    </r>
  </si>
  <si>
    <r>
      <rPr>
        <sz val="10"/>
        <rFont val="宋体"/>
        <family val="3"/>
        <charset val="134"/>
      </rPr>
      <t>地下2层车位032</t>
    </r>
  </si>
  <si>
    <r>
      <rPr>
        <sz val="10"/>
        <rFont val="宋体"/>
        <family val="3"/>
        <charset val="134"/>
      </rPr>
      <t>地下2层车位033</t>
    </r>
  </si>
  <si>
    <r>
      <rPr>
        <sz val="10"/>
        <rFont val="宋体"/>
        <family val="3"/>
        <charset val="134"/>
      </rPr>
      <t>地下2层车位034</t>
    </r>
  </si>
  <si>
    <r>
      <rPr>
        <sz val="10"/>
        <rFont val="宋体"/>
        <family val="3"/>
        <charset val="134"/>
      </rPr>
      <t>地下2层车位035</t>
    </r>
  </si>
  <si>
    <r>
      <rPr>
        <sz val="10"/>
        <rFont val="宋体"/>
        <family val="3"/>
        <charset val="134"/>
      </rPr>
      <t>地下2层车位036</t>
    </r>
  </si>
  <si>
    <r>
      <rPr>
        <sz val="10"/>
        <rFont val="宋体"/>
        <family val="3"/>
        <charset val="134"/>
      </rPr>
      <t>地下2层车位037</t>
    </r>
  </si>
  <si>
    <r>
      <rPr>
        <sz val="10"/>
        <rFont val="宋体"/>
        <family val="3"/>
        <charset val="134"/>
      </rPr>
      <t>地下2层车位038</t>
    </r>
  </si>
  <si>
    <r>
      <rPr>
        <sz val="10"/>
        <rFont val="宋体"/>
        <family val="3"/>
        <charset val="134"/>
      </rPr>
      <t>地下2层车位039</t>
    </r>
  </si>
  <si>
    <r>
      <rPr>
        <sz val="10"/>
        <rFont val="宋体"/>
        <family val="3"/>
        <charset val="134"/>
      </rPr>
      <t>地下2层车位040</t>
    </r>
  </si>
  <si>
    <r>
      <rPr>
        <sz val="10"/>
        <rFont val="宋体"/>
        <family val="3"/>
        <charset val="134"/>
      </rPr>
      <t>地下2层车位041</t>
    </r>
  </si>
  <si>
    <r>
      <rPr>
        <sz val="10"/>
        <rFont val="宋体"/>
        <family val="3"/>
        <charset val="134"/>
      </rPr>
      <t>地下2层车位044</t>
    </r>
  </si>
  <si>
    <r>
      <rPr>
        <sz val="10"/>
        <rFont val="宋体"/>
        <family val="3"/>
        <charset val="134"/>
      </rPr>
      <t>地下2层车位045</t>
    </r>
  </si>
  <si>
    <r>
      <rPr>
        <sz val="10"/>
        <rFont val="宋体"/>
        <family val="3"/>
        <charset val="134"/>
      </rPr>
      <t>地下2层车位046</t>
    </r>
  </si>
  <si>
    <r>
      <rPr>
        <sz val="10"/>
        <rFont val="宋体"/>
        <family val="3"/>
        <charset val="134"/>
      </rPr>
      <t>地下2层车位048</t>
    </r>
  </si>
  <si>
    <r>
      <rPr>
        <sz val="10"/>
        <rFont val="宋体"/>
        <family val="3"/>
        <charset val="134"/>
      </rPr>
      <t>地下2层车位049</t>
    </r>
  </si>
  <si>
    <r>
      <rPr>
        <sz val="10"/>
        <rFont val="宋体"/>
        <family val="3"/>
        <charset val="134"/>
      </rPr>
      <t>地下2层车位050</t>
    </r>
  </si>
  <si>
    <r>
      <rPr>
        <sz val="10"/>
        <rFont val="宋体"/>
        <family val="3"/>
        <charset val="134"/>
      </rPr>
      <t>地下2层车位052</t>
    </r>
  </si>
  <si>
    <r>
      <rPr>
        <sz val="10"/>
        <rFont val="宋体"/>
        <family val="3"/>
        <charset val="134"/>
      </rPr>
      <t>地下2层车位053</t>
    </r>
  </si>
  <si>
    <r>
      <rPr>
        <sz val="10"/>
        <rFont val="宋体"/>
        <family val="3"/>
        <charset val="134"/>
      </rPr>
      <t>地下2层车位054</t>
    </r>
  </si>
  <si>
    <r>
      <rPr>
        <sz val="10"/>
        <rFont val="宋体"/>
        <family val="3"/>
        <charset val="134"/>
      </rPr>
      <t>地下2层车位055</t>
    </r>
  </si>
  <si>
    <r>
      <rPr>
        <sz val="10"/>
        <rFont val="宋体"/>
        <family val="3"/>
        <charset val="134"/>
      </rPr>
      <t>地下2层车位056</t>
    </r>
  </si>
  <si>
    <r>
      <rPr>
        <sz val="10"/>
        <rFont val="宋体"/>
        <family val="3"/>
        <charset val="134"/>
      </rPr>
      <t>地下2层车位057</t>
    </r>
  </si>
  <si>
    <r>
      <rPr>
        <sz val="10"/>
        <rFont val="宋体"/>
        <family val="3"/>
        <charset val="134"/>
      </rPr>
      <t>地下2层车位058</t>
    </r>
  </si>
  <si>
    <r>
      <rPr>
        <sz val="10"/>
        <rFont val="宋体"/>
        <family val="3"/>
        <charset val="134"/>
      </rPr>
      <t>地下2层车位059</t>
    </r>
  </si>
  <si>
    <r>
      <rPr>
        <sz val="10"/>
        <rFont val="宋体"/>
        <family val="3"/>
        <charset val="134"/>
      </rPr>
      <t>地下2层车位060</t>
    </r>
  </si>
  <si>
    <r>
      <rPr>
        <sz val="10"/>
        <rFont val="宋体"/>
        <family val="3"/>
        <charset val="134"/>
      </rPr>
      <t>地下2层车位063</t>
    </r>
  </si>
  <si>
    <r>
      <rPr>
        <sz val="10"/>
        <rFont val="宋体"/>
        <family val="3"/>
        <charset val="134"/>
      </rPr>
      <t>地下2层车位065</t>
    </r>
  </si>
  <si>
    <r>
      <rPr>
        <sz val="10"/>
        <rFont val="宋体"/>
        <family val="3"/>
        <charset val="134"/>
      </rPr>
      <t>地下2层车位066</t>
    </r>
  </si>
  <si>
    <r>
      <rPr>
        <sz val="10"/>
        <rFont val="宋体"/>
        <family val="3"/>
        <charset val="134"/>
      </rPr>
      <t>地下2层车位067</t>
    </r>
  </si>
  <si>
    <r>
      <rPr>
        <sz val="10"/>
        <rFont val="宋体"/>
        <family val="3"/>
        <charset val="134"/>
      </rPr>
      <t>地下2层车位068</t>
    </r>
  </si>
  <si>
    <r>
      <rPr>
        <sz val="10"/>
        <rFont val="宋体"/>
        <family val="3"/>
        <charset val="134"/>
      </rPr>
      <t>地下2层车位069</t>
    </r>
  </si>
  <si>
    <r>
      <rPr>
        <sz val="10"/>
        <rFont val="宋体"/>
        <family val="3"/>
        <charset val="134"/>
      </rPr>
      <t>地下2层车位070</t>
    </r>
  </si>
  <si>
    <r>
      <rPr>
        <sz val="10"/>
        <rFont val="宋体"/>
        <family val="3"/>
        <charset val="134"/>
      </rPr>
      <t>地下2层车位071</t>
    </r>
  </si>
  <si>
    <r>
      <rPr>
        <sz val="10"/>
        <rFont val="宋体"/>
        <family val="3"/>
        <charset val="134"/>
      </rPr>
      <t>地下2层车位072</t>
    </r>
  </si>
  <si>
    <r>
      <rPr>
        <sz val="10"/>
        <rFont val="宋体"/>
        <family val="3"/>
        <charset val="134"/>
      </rPr>
      <t>地下2层车位073</t>
    </r>
  </si>
  <si>
    <r>
      <rPr>
        <sz val="10"/>
        <rFont val="宋体"/>
        <family val="3"/>
        <charset val="134"/>
      </rPr>
      <t>地下2层车位074</t>
    </r>
  </si>
  <si>
    <r>
      <rPr>
        <sz val="10"/>
        <rFont val="宋体"/>
        <family val="3"/>
        <charset val="134"/>
      </rPr>
      <t>地下2层车位075</t>
    </r>
  </si>
  <si>
    <r>
      <rPr>
        <sz val="10"/>
        <rFont val="宋体"/>
        <family val="3"/>
        <charset val="134"/>
      </rPr>
      <t>地下2层车位076</t>
    </r>
  </si>
  <si>
    <r>
      <rPr>
        <sz val="10"/>
        <rFont val="宋体"/>
        <family val="3"/>
        <charset val="134"/>
      </rPr>
      <t>地下2层车位078</t>
    </r>
  </si>
  <si>
    <r>
      <rPr>
        <sz val="10"/>
        <rFont val="宋体"/>
        <family val="3"/>
        <charset val="134"/>
      </rPr>
      <t>地下2层车位079</t>
    </r>
  </si>
  <si>
    <r>
      <rPr>
        <sz val="10"/>
        <rFont val="宋体"/>
        <family val="3"/>
        <charset val="134"/>
      </rPr>
      <t>地下2层车位080</t>
    </r>
  </si>
  <si>
    <r>
      <rPr>
        <sz val="10"/>
        <rFont val="宋体"/>
        <family val="3"/>
        <charset val="134"/>
      </rPr>
      <t>地下2层车位081</t>
    </r>
  </si>
  <si>
    <r>
      <rPr>
        <sz val="10"/>
        <rFont val="宋体"/>
        <family val="3"/>
        <charset val="134"/>
      </rPr>
      <t>地下2层车位082</t>
    </r>
  </si>
  <si>
    <r>
      <rPr>
        <sz val="10"/>
        <rFont val="宋体"/>
        <family val="3"/>
        <charset val="134"/>
      </rPr>
      <t>地下2层车位084</t>
    </r>
  </si>
  <si>
    <r>
      <rPr>
        <sz val="10"/>
        <rFont val="宋体"/>
        <family val="3"/>
        <charset val="134"/>
      </rPr>
      <t>地下2层车位085</t>
    </r>
  </si>
  <si>
    <r>
      <rPr>
        <sz val="10"/>
        <rFont val="宋体"/>
        <family val="3"/>
        <charset val="134"/>
      </rPr>
      <t>地下2层车位086</t>
    </r>
  </si>
  <si>
    <r>
      <rPr>
        <sz val="10"/>
        <rFont val="宋体"/>
        <family val="3"/>
        <charset val="134"/>
      </rPr>
      <t>地下2层车位088</t>
    </r>
  </si>
  <si>
    <r>
      <rPr>
        <sz val="10"/>
        <rFont val="宋体"/>
        <family val="3"/>
        <charset val="134"/>
      </rPr>
      <t>地下2层车位089</t>
    </r>
  </si>
  <si>
    <r>
      <rPr>
        <sz val="10"/>
        <rFont val="宋体"/>
        <family val="3"/>
        <charset val="134"/>
      </rPr>
      <t>地下2层车位090</t>
    </r>
  </si>
  <si>
    <r>
      <rPr>
        <sz val="10"/>
        <rFont val="宋体"/>
        <family val="3"/>
        <charset val="134"/>
      </rPr>
      <t>地下2层车位091</t>
    </r>
  </si>
  <si>
    <r>
      <rPr>
        <sz val="10"/>
        <rFont val="宋体"/>
        <family val="3"/>
        <charset val="134"/>
      </rPr>
      <t>地下2层车位092</t>
    </r>
  </si>
  <si>
    <r>
      <rPr>
        <sz val="10"/>
        <rFont val="宋体"/>
        <family val="3"/>
        <charset val="134"/>
      </rPr>
      <t>地下2层车位093</t>
    </r>
  </si>
  <si>
    <r>
      <rPr>
        <sz val="10"/>
        <rFont val="宋体"/>
        <family val="3"/>
        <charset val="134"/>
      </rPr>
      <t>地下2层车位094</t>
    </r>
  </si>
  <si>
    <r>
      <rPr>
        <sz val="10"/>
        <rFont val="宋体"/>
        <family val="3"/>
        <charset val="134"/>
      </rPr>
      <t>地下2层车位095</t>
    </r>
  </si>
  <si>
    <r>
      <rPr>
        <sz val="10"/>
        <rFont val="宋体"/>
        <family val="3"/>
        <charset val="134"/>
      </rPr>
      <t>地下2层车位096</t>
    </r>
  </si>
  <si>
    <r>
      <rPr>
        <sz val="10"/>
        <rFont val="宋体"/>
        <family val="3"/>
        <charset val="134"/>
      </rPr>
      <t>地下2层车位097</t>
    </r>
  </si>
  <si>
    <r>
      <rPr>
        <sz val="10"/>
        <rFont val="宋体"/>
        <family val="3"/>
        <charset val="134"/>
      </rPr>
      <t>地下2层车位098</t>
    </r>
  </si>
  <si>
    <r>
      <rPr>
        <sz val="10"/>
        <rFont val="宋体"/>
        <family val="3"/>
        <charset val="134"/>
      </rPr>
      <t>地下2层车位099</t>
    </r>
  </si>
  <si>
    <r>
      <rPr>
        <sz val="10"/>
        <rFont val="宋体"/>
        <family val="3"/>
        <charset val="134"/>
      </rPr>
      <t>地下2层车位101</t>
    </r>
  </si>
  <si>
    <r>
      <rPr>
        <sz val="10"/>
        <rFont val="宋体"/>
        <family val="3"/>
        <charset val="134"/>
      </rPr>
      <t>地下2层车位102</t>
    </r>
  </si>
  <si>
    <r>
      <rPr>
        <sz val="10"/>
        <rFont val="宋体"/>
        <family val="3"/>
        <charset val="134"/>
      </rPr>
      <t>地下2层车位103</t>
    </r>
  </si>
  <si>
    <r>
      <rPr>
        <sz val="10"/>
        <rFont val="宋体"/>
        <family val="3"/>
        <charset val="134"/>
      </rPr>
      <t>地下2层车位104</t>
    </r>
  </si>
  <si>
    <r>
      <rPr>
        <sz val="10"/>
        <rFont val="宋体"/>
        <family val="3"/>
        <charset val="134"/>
      </rPr>
      <t>地下2层车位105</t>
    </r>
  </si>
  <si>
    <r>
      <rPr>
        <sz val="10"/>
        <rFont val="宋体"/>
        <family val="3"/>
        <charset val="134"/>
      </rPr>
      <t>地下2层车位106</t>
    </r>
  </si>
  <si>
    <r>
      <rPr>
        <sz val="10"/>
        <rFont val="宋体"/>
        <family val="3"/>
        <charset val="134"/>
      </rPr>
      <t>地下2层车位107</t>
    </r>
  </si>
  <si>
    <r>
      <rPr>
        <sz val="10"/>
        <rFont val="宋体"/>
        <family val="3"/>
        <charset val="134"/>
      </rPr>
      <t>地下2层车位108</t>
    </r>
  </si>
  <si>
    <r>
      <rPr>
        <sz val="10"/>
        <rFont val="宋体"/>
        <family val="3"/>
        <charset val="134"/>
      </rPr>
      <t>地下2层车位110</t>
    </r>
  </si>
  <si>
    <r>
      <rPr>
        <sz val="10"/>
        <rFont val="宋体"/>
        <family val="3"/>
        <charset val="134"/>
      </rPr>
      <t>地下2层车位111</t>
    </r>
  </si>
  <si>
    <r>
      <rPr>
        <sz val="10"/>
        <rFont val="宋体"/>
        <family val="3"/>
        <charset val="134"/>
      </rPr>
      <t>地下2层车位112</t>
    </r>
  </si>
  <si>
    <r>
      <rPr>
        <sz val="10"/>
        <rFont val="宋体"/>
        <family val="3"/>
        <charset val="134"/>
      </rPr>
      <t>地下2层车位113</t>
    </r>
  </si>
  <si>
    <r>
      <rPr>
        <sz val="10"/>
        <rFont val="宋体"/>
        <family val="3"/>
        <charset val="134"/>
      </rPr>
      <t>地下2层车位114</t>
    </r>
  </si>
  <si>
    <r>
      <rPr>
        <sz val="10"/>
        <rFont val="宋体"/>
        <family val="3"/>
        <charset val="134"/>
      </rPr>
      <t>地下2层车位115</t>
    </r>
  </si>
  <si>
    <r>
      <rPr>
        <sz val="10"/>
        <rFont val="宋体"/>
        <family val="3"/>
        <charset val="134"/>
      </rPr>
      <t>地下2层车位116</t>
    </r>
  </si>
  <si>
    <r>
      <rPr>
        <sz val="10"/>
        <rFont val="宋体"/>
        <family val="3"/>
        <charset val="134"/>
      </rPr>
      <t>地下2层车位117</t>
    </r>
  </si>
  <si>
    <r>
      <rPr>
        <sz val="10"/>
        <rFont val="宋体"/>
        <family val="3"/>
        <charset val="134"/>
      </rPr>
      <t>地下2层车位118</t>
    </r>
  </si>
  <si>
    <r>
      <rPr>
        <sz val="10"/>
        <rFont val="宋体"/>
        <family val="3"/>
        <charset val="134"/>
      </rPr>
      <t>地下2层车位119</t>
    </r>
  </si>
  <si>
    <r>
      <rPr>
        <sz val="10"/>
        <rFont val="宋体"/>
        <family val="3"/>
        <charset val="134"/>
      </rPr>
      <t>地下2层车位120</t>
    </r>
  </si>
  <si>
    <r>
      <rPr>
        <sz val="10"/>
        <rFont val="宋体"/>
        <family val="3"/>
        <charset val="134"/>
      </rPr>
      <t>地下2层车位121</t>
    </r>
  </si>
  <si>
    <r>
      <rPr>
        <sz val="10"/>
        <rFont val="宋体"/>
        <family val="3"/>
        <charset val="134"/>
      </rPr>
      <t>地下2层车位122</t>
    </r>
  </si>
  <si>
    <r>
      <rPr>
        <sz val="10"/>
        <rFont val="宋体"/>
        <family val="3"/>
        <charset val="134"/>
      </rPr>
      <t>地下2层车位123</t>
    </r>
  </si>
  <si>
    <r>
      <rPr>
        <sz val="10"/>
        <rFont val="宋体"/>
        <family val="3"/>
        <charset val="134"/>
      </rPr>
      <t>地下2层车位124</t>
    </r>
  </si>
  <si>
    <r>
      <rPr>
        <sz val="10"/>
        <rFont val="宋体"/>
        <family val="3"/>
        <charset val="134"/>
      </rPr>
      <t>地下2层车位125</t>
    </r>
  </si>
  <si>
    <r>
      <rPr>
        <sz val="10"/>
        <rFont val="宋体"/>
        <family val="3"/>
        <charset val="134"/>
      </rPr>
      <t>地下2层车位126</t>
    </r>
  </si>
  <si>
    <r>
      <rPr>
        <sz val="10"/>
        <rFont val="宋体"/>
        <family val="3"/>
        <charset val="134"/>
      </rPr>
      <t>地下2层车位127</t>
    </r>
  </si>
  <si>
    <r>
      <rPr>
        <sz val="10"/>
        <rFont val="宋体"/>
        <family val="3"/>
        <charset val="134"/>
      </rPr>
      <t>地下2层车位128</t>
    </r>
  </si>
  <si>
    <r>
      <rPr>
        <sz val="10"/>
        <rFont val="宋体"/>
        <family val="3"/>
        <charset val="134"/>
      </rPr>
      <t>地下2层车位129</t>
    </r>
  </si>
  <si>
    <r>
      <rPr>
        <sz val="10"/>
        <rFont val="宋体"/>
        <family val="3"/>
        <charset val="134"/>
      </rPr>
      <t>地下2层车位130</t>
    </r>
  </si>
  <si>
    <r>
      <rPr>
        <sz val="10"/>
        <rFont val="宋体"/>
        <family val="3"/>
        <charset val="134"/>
      </rPr>
      <t>地下2层车位132</t>
    </r>
  </si>
  <si>
    <r>
      <rPr>
        <sz val="10"/>
        <rFont val="宋体"/>
        <family val="3"/>
        <charset val="134"/>
      </rPr>
      <t>地下2层车位133</t>
    </r>
  </si>
  <si>
    <r>
      <rPr>
        <sz val="10"/>
        <rFont val="宋体"/>
        <family val="3"/>
        <charset val="134"/>
      </rPr>
      <t>地下2层车位134</t>
    </r>
  </si>
  <si>
    <r>
      <rPr>
        <sz val="10"/>
        <rFont val="宋体"/>
        <family val="3"/>
        <charset val="134"/>
      </rPr>
      <t>地下2层车位135</t>
    </r>
  </si>
  <si>
    <r>
      <rPr>
        <sz val="10"/>
        <rFont val="宋体"/>
        <family val="3"/>
        <charset val="134"/>
      </rPr>
      <t>地下2层车位136</t>
    </r>
  </si>
  <si>
    <r>
      <rPr>
        <sz val="10"/>
        <rFont val="宋体"/>
        <family val="3"/>
        <charset val="134"/>
      </rPr>
      <t>地下2层车位137</t>
    </r>
  </si>
  <si>
    <r>
      <rPr>
        <sz val="10"/>
        <rFont val="宋体"/>
        <family val="3"/>
        <charset val="134"/>
      </rPr>
      <t>地下2层车位138</t>
    </r>
  </si>
  <si>
    <r>
      <rPr>
        <sz val="10"/>
        <rFont val="宋体"/>
        <family val="3"/>
        <charset val="134"/>
      </rPr>
      <t>地下2层车位139</t>
    </r>
  </si>
  <si>
    <r>
      <rPr>
        <sz val="10"/>
        <rFont val="宋体"/>
        <family val="3"/>
        <charset val="134"/>
      </rPr>
      <t>地下2层车位140</t>
    </r>
  </si>
  <si>
    <r>
      <rPr>
        <sz val="10"/>
        <rFont val="宋体"/>
        <family val="3"/>
        <charset val="134"/>
      </rPr>
      <t>地下2层车位141</t>
    </r>
  </si>
  <si>
    <r>
      <rPr>
        <sz val="10"/>
        <rFont val="宋体"/>
        <family val="3"/>
        <charset val="134"/>
      </rPr>
      <t>地下2层车位142</t>
    </r>
  </si>
  <si>
    <r>
      <rPr>
        <sz val="10"/>
        <rFont val="宋体"/>
        <family val="3"/>
        <charset val="134"/>
      </rPr>
      <t>地下2层车位143</t>
    </r>
  </si>
  <si>
    <r>
      <rPr>
        <sz val="10"/>
        <rFont val="宋体"/>
        <family val="3"/>
        <charset val="134"/>
      </rPr>
      <t>地下2层车位145</t>
    </r>
  </si>
  <si>
    <r>
      <rPr>
        <sz val="10"/>
        <rFont val="宋体"/>
        <family val="3"/>
        <charset val="134"/>
      </rPr>
      <t>地下2层车位146</t>
    </r>
  </si>
  <si>
    <r>
      <rPr>
        <sz val="10"/>
        <rFont val="宋体"/>
        <family val="3"/>
        <charset val="134"/>
      </rPr>
      <t>地下2层车位147</t>
    </r>
  </si>
  <si>
    <r>
      <rPr>
        <sz val="10"/>
        <rFont val="宋体"/>
        <family val="3"/>
        <charset val="134"/>
      </rPr>
      <t>地下2层车位149-1</t>
    </r>
  </si>
  <si>
    <r>
      <rPr>
        <sz val="10"/>
        <rFont val="宋体"/>
        <family val="3"/>
        <charset val="134"/>
      </rPr>
      <t>地下2层车位150</t>
    </r>
  </si>
  <si>
    <r>
      <rPr>
        <sz val="10"/>
        <rFont val="宋体"/>
        <family val="3"/>
        <charset val="134"/>
      </rPr>
      <t>地下2层车位151</t>
    </r>
  </si>
  <si>
    <r>
      <rPr>
        <sz val="10"/>
        <rFont val="宋体"/>
        <family val="3"/>
        <charset val="134"/>
      </rPr>
      <t>地下2层车位152</t>
    </r>
  </si>
  <si>
    <r>
      <rPr>
        <sz val="10"/>
        <rFont val="宋体"/>
        <family val="3"/>
        <charset val="134"/>
      </rPr>
      <t>地下2层车位154</t>
    </r>
  </si>
  <si>
    <r>
      <rPr>
        <sz val="10"/>
        <rFont val="宋体"/>
        <family val="3"/>
        <charset val="134"/>
      </rPr>
      <t>地下2层车位155</t>
    </r>
  </si>
  <si>
    <r>
      <rPr>
        <sz val="10"/>
        <rFont val="宋体"/>
        <family val="3"/>
        <charset val="134"/>
      </rPr>
      <t>地下2层车位156</t>
    </r>
  </si>
  <si>
    <r>
      <rPr>
        <sz val="10"/>
        <rFont val="宋体"/>
        <family val="3"/>
        <charset val="134"/>
      </rPr>
      <t>地下2层车位157</t>
    </r>
  </si>
  <si>
    <r>
      <rPr>
        <sz val="10"/>
        <rFont val="宋体"/>
        <family val="3"/>
        <charset val="134"/>
      </rPr>
      <t>地下2层车位158</t>
    </r>
  </si>
  <si>
    <r>
      <rPr>
        <sz val="10"/>
        <rFont val="宋体"/>
        <family val="3"/>
        <charset val="134"/>
      </rPr>
      <t>地下2层车位159</t>
    </r>
  </si>
  <si>
    <r>
      <rPr>
        <sz val="10"/>
        <rFont val="宋体"/>
        <family val="3"/>
        <charset val="134"/>
      </rPr>
      <t>地下2层车位160</t>
    </r>
  </si>
  <si>
    <r>
      <rPr>
        <sz val="10"/>
        <rFont val="宋体"/>
        <family val="3"/>
        <charset val="134"/>
      </rPr>
      <t>地下2层车位162</t>
    </r>
  </si>
  <si>
    <r>
      <rPr>
        <sz val="10"/>
        <rFont val="宋体"/>
        <family val="3"/>
        <charset val="134"/>
      </rPr>
      <t>地下2层车位163</t>
    </r>
  </si>
  <si>
    <r>
      <rPr>
        <sz val="10"/>
        <rFont val="宋体"/>
        <family val="3"/>
        <charset val="134"/>
      </rPr>
      <t>地下2层车位164</t>
    </r>
  </si>
  <si>
    <r>
      <rPr>
        <sz val="10"/>
        <rFont val="宋体"/>
        <family val="3"/>
        <charset val="134"/>
      </rPr>
      <t>地下2层车位165</t>
    </r>
  </si>
  <si>
    <r>
      <rPr>
        <sz val="10"/>
        <rFont val="宋体"/>
        <family val="3"/>
        <charset val="134"/>
      </rPr>
      <t>地下2层车位166</t>
    </r>
  </si>
  <si>
    <r>
      <rPr>
        <sz val="10"/>
        <rFont val="宋体"/>
        <family val="3"/>
        <charset val="134"/>
      </rPr>
      <t>民生路1188号</t>
    </r>
  </si>
  <si>
    <r>
      <rPr>
        <sz val="10"/>
        <rFont val="宋体"/>
        <family val="3"/>
        <charset val="134"/>
      </rPr>
      <t>1111储藏</t>
    </r>
  </si>
  <si>
    <r>
      <rPr>
        <sz val="10"/>
        <rFont val="宋体"/>
        <family val="3"/>
        <charset val="134"/>
      </rPr>
      <t>1211储藏</t>
    </r>
  </si>
  <si>
    <r>
      <rPr>
        <sz val="10"/>
        <rFont val="宋体"/>
        <family val="3"/>
        <charset val="134"/>
      </rPr>
      <t>1511储藏</t>
    </r>
  </si>
  <si>
    <r>
      <rPr>
        <sz val="10"/>
        <rFont val="宋体"/>
        <family val="3"/>
        <charset val="134"/>
      </rPr>
      <t>1611储藏</t>
    </r>
  </si>
  <si>
    <r>
      <rPr>
        <sz val="10"/>
        <rFont val="宋体"/>
        <family val="3"/>
        <charset val="134"/>
      </rPr>
      <t>1711储藏</t>
    </r>
  </si>
  <si>
    <r>
      <rPr>
        <sz val="10"/>
        <rFont val="宋体"/>
        <family val="3"/>
        <charset val="134"/>
      </rPr>
      <t>1811储藏</t>
    </r>
  </si>
  <si>
    <r>
      <rPr>
        <sz val="10"/>
        <rFont val="宋体"/>
        <family val="3"/>
        <charset val="134"/>
      </rPr>
      <t>地下1层储藏室</t>
    </r>
  </si>
  <si>
    <r>
      <rPr>
        <sz val="10"/>
        <rFont val="宋体"/>
        <family val="3"/>
        <charset val="134"/>
      </rPr>
      <t>地下2层储藏室</t>
    </r>
  </si>
  <si>
    <r>
      <rPr>
        <sz val="10"/>
        <rFont val="宋体"/>
        <family val="3"/>
        <charset val="134"/>
      </rPr>
      <t>地下3层储藏室</t>
    </r>
  </si>
  <si>
    <t>建筑面积</t>
    <phoneticPr fontId="140" type="noConversion"/>
  </si>
  <si>
    <t>是</t>
  </si>
  <si>
    <t>地上</t>
  </si>
  <si>
    <t>地下</t>
  </si>
  <si>
    <t>车库—办公</t>
  </si>
  <si>
    <t>办公</t>
    <phoneticPr fontId="140" type="noConversion"/>
  </si>
  <si>
    <t>商业</t>
    <phoneticPr fontId="140" type="noConversion"/>
  </si>
  <si>
    <t>地上</t>
    <phoneticPr fontId="140" type="noConversion"/>
  </si>
  <si>
    <t>地下</t>
    <phoneticPr fontId="140" type="noConversion"/>
  </si>
  <si>
    <t>车库</t>
  </si>
  <si>
    <t>车库</t>
    <phoneticPr fontId="140" type="noConversion"/>
  </si>
  <si>
    <t>仓储</t>
  </si>
  <si>
    <t>仓储</t>
    <phoneticPr fontId="140" type="noConversion"/>
  </si>
  <si>
    <t>合计</t>
    <phoneticPr fontId="140" type="noConversion"/>
  </si>
  <si>
    <t>办公</t>
    <phoneticPr fontId="7" type="noConversion"/>
  </si>
  <si>
    <t>商业</t>
    <phoneticPr fontId="7" type="noConversion"/>
  </si>
  <si>
    <t>车库</t>
    <phoneticPr fontId="7" type="noConversion"/>
  </si>
  <si>
    <t>仓储</t>
    <phoneticPr fontId="7" type="noConversion"/>
  </si>
  <si>
    <t>地上超容积率</t>
    <phoneticPr fontId="140" type="noConversion"/>
  </si>
  <si>
    <t>地下是否补缴出让金</t>
    <phoneticPr fontId="140" type="noConversion"/>
  </si>
  <si>
    <t>造价费用</t>
    <phoneticPr fontId="140" type="noConversion"/>
  </si>
  <si>
    <t>成新度</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</si>
  <si>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</si>
  <si>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</si>
  <si>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</si>
  <si>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</si>
  <si>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</si>
  <si>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</si>
  <si>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</si>
  <si>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</si>
  <si>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</si>
  <si>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</si>
  <si>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</si>
  <si>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</si>
  <si>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</si>
  <si>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虹口区北外滩HK323-01、HK323-05,HK323-02(部分地下)地块</t>
  </si>
  <si>
    <t>上海市</t>
  </si>
  <si>
    <t>商业/办公用地</t>
  </si>
  <si>
    <t>hk323-01:11.3*hk323-05:2.2</t>
  </si>
  <si>
    <t>挂牌</t>
  </si>
  <si>
    <t>2020-12-17</t>
  </si>
  <si>
    <t>上海锐珏商务咨询有限公司</t>
  </si>
  <si>
    <t>浦东新区联洋社区C000302单元11-02地块</t>
  </si>
  <si>
    <t>2020-12-01</t>
  </si>
  <si>
    <t>上海昕鑫油品经营有限公司</t>
  </si>
  <si>
    <t>杨浦区定海社区N090603单元M4-01、M5-01、N1-01、N2-01地块(大桥街道119街坊)</t>
  </si>
  <si>
    <t>m4-01:6.8,m5-01:3.2,n1-01:8.9,n2-01:4.8</t>
  </si>
  <si>
    <t>2020-11-20</t>
  </si>
  <si>
    <t>汉海信息技术(上海)有限公司</t>
  </si>
  <si>
    <t>黄浦区淮海社区C020102单元055-2地块(黄浦区淮海中路街道130街坊地块)</t>
  </si>
  <si>
    <t>2020-08-11</t>
  </si>
  <si>
    <t>新世代上海黄浦物业发展有限公司</t>
  </si>
  <si>
    <t>静安区江宁社区C050201单元023-7地块</t>
  </si>
  <si>
    <t>2020-04-21</t>
  </si>
  <si>
    <t>览海控股(集团)有限公司,上海览佑企业管理合伙企业(有限合伙)</t>
  </si>
  <si>
    <t>浦东新区周家渡社区Z000203编制单元16-07、16-10、16-11地块</t>
  </si>
  <si>
    <t>16-07地块:2.5;16-10地块:3.0;16-11地块:3.0</t>
  </si>
  <si>
    <t>2019-12-26</t>
  </si>
  <si>
    <t>上海浦兴投资发展有限公司,上海浦兴路桥建设工程有限公司</t>
  </si>
  <si>
    <t>杨浦区平凉社区C090102单元02I8-01地块(原84街坊东)</t>
  </si>
  <si>
    <t>2019-12-06</t>
  </si>
  <si>
    <t>中节能实业发展有限公司,上海华谊集团房地产有限公司,上海杨树浦置业有限公司</t>
  </si>
  <si>
    <t>静安区南西社区C050401单元077-10地块</t>
  </si>
  <si>
    <t>2019-09-06</t>
  </si>
  <si>
    <t>上海科技创业投资(集团)有限公司</t>
  </si>
  <si>
    <t>静安区南西社区C050401单元115-12地块</t>
  </si>
  <si>
    <t>2019-01-24</t>
  </si>
  <si>
    <t>上海泓喆房地产开发有限公司,宁波梅山保税港区盛石投资中心(有限合伙),上海万法信息技术有限公司</t>
  </si>
  <si>
    <t>杨浦区平凉社区03G3-01地块(平凉街道1街坊北块)</t>
  </si>
  <si>
    <t>2018-10-25</t>
  </si>
  <si>
    <t>中国交通建设集团有限公司,上海绿城泓盛建设发展有限公司,上海杨浦滨江投资开发有限公司</t>
  </si>
  <si>
    <t>浦东新区上海世博会地区会展及其商务区A片区A13B-02地块</t>
  </si>
  <si>
    <t>2018-09-25</t>
  </si>
  <si>
    <t>上海世实石油发展有限公司</t>
  </si>
  <si>
    <t>普陀区长寿社区C060102单元F1-1地块</t>
  </si>
  <si>
    <t>2018-09-05</t>
  </si>
  <si>
    <t>上海城投资产管理(集团)有限公司</t>
  </si>
  <si>
    <t>虹口区四川北路街道HK194-01地块</t>
  </si>
  <si>
    <t>2018-07-24</t>
  </si>
  <si>
    <t>明康企业有限公司</t>
  </si>
  <si>
    <t>黄浦区淮海中路街道123、124、132街坊地块</t>
  </si>
  <si>
    <t>2018-07-05</t>
  </si>
  <si>
    <t>中国太平洋人寿保险股份有限公司,Shui*On*Development(Holding)Limited,上海永业企业(集团)有限公司</t>
  </si>
  <si>
    <t>杨浦区定海社区C2-2a地块(定海街道138街坊东块)</t>
  </si>
  <si>
    <t>2018-06-21</t>
  </si>
  <si>
    <t>上海杨浦滨江投资开发有限公司</t>
  </si>
  <si>
    <t>正常</t>
  </si>
  <si>
    <t>正常</t>
    <phoneticPr fontId="31" type="noConversion"/>
  </si>
  <si>
    <t>正常</t>
    <phoneticPr fontId="31" type="noConversion"/>
  </si>
  <si>
    <t>楼面地价</t>
  </si>
  <si>
    <t>押一</t>
  </si>
  <si>
    <t>按租金收入计税</t>
  </si>
  <si>
    <t>钢混</t>
  </si>
  <si>
    <t>非生产用房</t>
  </si>
  <si>
    <t>否</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</si>
  <si>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</si>
  <si>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</si>
  <si>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</si>
  <si>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</si>
  <si>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</si>
  <si>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</si>
  <si>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</si>
  <si>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</si>
  <si>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</si>
  <si>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收益法（汇总）</t>
  </si>
  <si>
    <t>总价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</si>
  <si>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</si>
  <si>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</si>
  <si>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</si>
  <si>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办公</t>
    <phoneticPr fontId="140" type="noConversion"/>
  </si>
  <si>
    <t>地下车库</t>
    <phoneticPr fontId="140" type="noConversion"/>
  </si>
  <si>
    <t>比较法</t>
    <phoneticPr fontId="140" type="noConversion"/>
  </si>
  <si>
    <t>收益法</t>
    <phoneticPr fontId="140" type="noConversion"/>
  </si>
  <si>
    <t>情况3</t>
  </si>
  <si>
    <t>自行开发建设</t>
  </si>
  <si>
    <t>非个人房产</t>
  </si>
  <si>
    <t>出让金+开发费</t>
  </si>
  <si>
    <t>企业提供（在右侧录入）</t>
  </si>
  <si>
    <t>其他省市系数</t>
  </si>
  <si>
    <t>询价链家</t>
    <phoneticPr fontId="140" type="noConversion"/>
  </si>
  <si>
    <t>办公一般40000-45000，自持品质好的高一些50000左右</t>
    <phoneticPr fontId="140" type="noConversion"/>
  </si>
  <si>
    <t>租金正常5-7，自持品质高能到10+</t>
    <phoneticPr fontId="140" type="noConversion"/>
  </si>
  <si>
    <t>询价百盛</t>
    <phoneticPr fontId="140" type="noConversion"/>
  </si>
  <si>
    <t>一层商铺建面租金能到10+</t>
    <phoneticPr fontId="140" type="noConversion"/>
  </si>
  <si>
    <t>售价不明确，出售较少</t>
    <phoneticPr fontId="140" type="noConversion"/>
  </si>
  <si>
    <t>面积</t>
    <phoneticPr fontId="3" type="noConversion"/>
  </si>
  <si>
    <t>租金</t>
    <phoneticPr fontId="3" type="noConversion"/>
  </si>
  <si>
    <t>系数</t>
    <phoneticPr fontId="3" type="noConversion"/>
  </si>
  <si>
    <t>占比</t>
    <phoneticPr fontId="3" type="noConversion"/>
  </si>
  <si>
    <t>售价</t>
    <phoneticPr fontId="3" type="noConversion"/>
  </si>
  <si>
    <t>一方大厦</t>
    <phoneticPr fontId="140" type="noConversion"/>
  </si>
  <si>
    <t>租金8</t>
    <phoneticPr fontId="140" type="noConversion"/>
  </si>
  <si>
    <t>楼层     面积(m2) 套数 登记类型 使用现状</t>
  </si>
  <si>
    <t>    地下二层 1,937.45 车位56,库房,机房 其他 车位,机房,仓库</t>
  </si>
  <si>
    <t>    地下一层 2,411.19 12 商场 商场</t>
  </si>
  <si>
    <t>    地上一层 2,137.91 9 商场 商场</t>
  </si>
  <si>
    <t>    地上二层 2,506.13 16 商场 商场</t>
  </si>
  <si>
    <t>    地上三层 2,506.13 16 商场 商场</t>
  </si>
  <si>
    <t>    地上四层 2,019.75 12 办公楼 商场</t>
  </si>
  <si>
    <t>    地上五层 1,600.54 12 办公楼 商场</t>
  </si>
  <si>
    <t>    地上六层 1,664.09 12 办公楼 办公楼</t>
  </si>
  <si>
    <t>    合 计 16,783.19</t>
  </si>
  <si>
    <t>晶耀前滩</t>
    <phoneticPr fontId="140" type="noConversion"/>
  </si>
  <si>
    <t>歌斐中心</t>
    <phoneticPr fontId="140" type="noConversion"/>
  </si>
  <si>
    <t>绿地外滩中心</t>
    <phoneticPr fontId="140" type="noConversion"/>
  </si>
  <si>
    <t>杨浦滨江国际广场</t>
    <phoneticPr fontId="140" type="noConversion"/>
  </si>
  <si>
    <t>悦耀兰苑</t>
    <phoneticPr fontId="140" type="noConversion"/>
  </si>
  <si>
    <t>自定义</t>
  </si>
  <si>
    <t>六通</t>
    <phoneticPr fontId="31" type="noConversion"/>
  </si>
  <si>
    <t>三通</t>
    <phoneticPr fontId="31" type="noConversion"/>
  </si>
  <si>
    <t>五通</t>
    <phoneticPr fontId="31" type="noConversion"/>
  </si>
  <si>
    <t>四通</t>
    <phoneticPr fontId="31" type="noConversion"/>
  </si>
  <si>
    <t>成本比率</t>
  </si>
  <si>
    <r>
      <t>1</t>
    </r>
    <r>
      <rPr>
        <sz val="11"/>
        <color theme="1"/>
        <rFont val="宋体"/>
        <family val="3"/>
        <charset val="134"/>
        <scheme val="minor"/>
      </rPr>
      <t>.登记用途与实际用途不一致？登记-1</t>
    </r>
    <r>
      <rPr>
        <sz val="11"/>
        <color theme="1"/>
        <rFont val="宋体"/>
        <family val="3"/>
        <charset val="129"/>
        <scheme val="minor"/>
      </rPr>
      <t>☞</t>
    </r>
    <r>
      <rPr>
        <sz val="11"/>
        <color theme="1"/>
        <rFont val="宋体"/>
        <family val="3"/>
        <charset val="134"/>
        <scheme val="minor"/>
      </rPr>
      <t>5层均有商业</t>
    </r>
    <phoneticPr fontId="140" type="noConversion"/>
  </si>
  <si>
    <r>
      <t>2</t>
    </r>
    <r>
      <rPr>
        <sz val="11"/>
        <color theme="1"/>
        <rFont val="宋体"/>
        <family val="3"/>
        <charset val="134"/>
        <scheme val="minor"/>
      </rPr>
      <t>.地下商业比1层商业租金高？商业租金比办公租金高？</t>
    </r>
    <phoneticPr fontId="140" type="noConversion"/>
  </si>
  <si>
    <t>4.车库收益加入人防车库可否？</t>
    <phoneticPr fontId="140" type="noConversion"/>
  </si>
  <si>
    <t>5.是否有出租，租金多少？租售比？品质高卖5万左右，租到10+，回报率超高</t>
    <phoneticPr fontId="140" type="noConversion"/>
  </si>
  <si>
    <t>6.如为高品质楼，建安能否包住</t>
    <phoneticPr fontId="140" type="noConversion"/>
  </si>
  <si>
    <t>3.仓储不算收益的解释？</t>
    <phoneticPr fontId="140" type="noConversion"/>
  </si>
  <si>
    <t>7.土地案例位置截一下，崔锴姐会看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</si>
</sst>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 numFmtId="199" formatCode="###0"/>
    <numFmt numFmtId="200" formatCode="0.00000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
    </font>
    <font>
      <sz val="10"/>
      <color rgb="FF000000"/>
      <name val="����"/>
      <family val="2"/>
    </font>
    <font>
      <sz val="9"/>
      <color rgb="FF464646"/>
      <name val="Verdana"/>
      <family val="2"/>
    </font>
    <font>
      <sz val="11"/>
      <color theme="1"/>
      <name val="宋体"/>
      <family val="3"/>
      <charset val="129"/>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71" fillId="0" borderId="1" xfId="0" applyFont="1" applyBorder="1" applyAlignment="1">
      <alignment horizontal="center" vertical="center"/>
    </xf>
    <xf numFmtId="0" fontId="171" fillId="0" borderId="1" xfId="0" applyFont="1" applyBorder="1" applyAlignment="1">
      <alignment horizontal="center" vertical="center" wrapText="1"/>
    </xf>
    <xf numFmtId="0" fontId="111" fillId="0" borderId="1" xfId="0" applyFont="1" applyBorder="1" applyAlignment="1">
      <alignment horizontal="center" vertical="center"/>
    </xf>
    <xf numFmtId="2" fontId="111" fillId="0" borderId="1" xfId="0" applyNumberFormat="1" applyFont="1" applyBorder="1" applyAlignment="1">
      <alignment horizontal="center" vertical="center"/>
    </xf>
    <xf numFmtId="0" fontId="254" fillId="0" borderId="158" xfId="1" applyFont="1" applyBorder="1" applyAlignment="1">
      <alignment horizontal="center" vertical="center" wrapText="1"/>
    </xf>
    <xf numFmtId="0" fontId="111" fillId="0" borderId="0" xfId="0" applyFont="1">
      <alignment vertical="center"/>
    </xf>
    <xf numFmtId="197" fontId="255" fillId="0" borderId="158" xfId="1" applyNumberFormat="1" applyFont="1" applyBorder="1" applyAlignment="1">
      <alignment horizontal="center" vertical="center" wrapText="1"/>
    </xf>
    <xf numFmtId="198" fontId="255" fillId="0" borderId="158" xfId="1" applyNumberFormat="1" applyFont="1" applyBorder="1" applyAlignment="1">
      <alignment horizontal="center" vertical="center" wrapText="1"/>
    </xf>
    <xf numFmtId="0" fontId="19" fillId="0" borderId="158" xfId="1" applyFont="1" applyBorder="1" applyAlignment="1">
      <alignment horizontal="center" vertical="center" wrapText="1"/>
    </xf>
    <xf numFmtId="199" fontId="255" fillId="0" borderId="158" xfId="1" applyNumberFormat="1" applyFont="1" applyBorder="1" applyAlignment="1">
      <alignment horizontal="center" vertical="center" wrapText="1"/>
    </xf>
    <xf numFmtId="0" fontId="171" fillId="0" borderId="0" xfId="0" applyFont="1" applyBorder="1" applyAlignment="1">
      <alignment horizontal="center" vertical="center" wrapText="1"/>
    </xf>
    <xf numFmtId="2" fontId="111" fillId="0" borderId="0" xfId="0" applyNumberFormat="1" applyFont="1" applyBorder="1" applyAlignment="1">
      <alignment horizontal="center" vertical="center"/>
    </xf>
    <xf numFmtId="0" fontId="254" fillId="0" borderId="0" xfId="1" applyFont="1" applyBorder="1" applyAlignment="1">
      <alignment horizontal="center" vertical="center" wrapText="1"/>
    </xf>
    <xf numFmtId="0" fontId="98" fillId="0" borderId="0" xfId="0" applyFont="1">
      <alignment vertical="center"/>
    </xf>
    <xf numFmtId="197" fontId="255" fillId="0" borderId="0" xfId="1" applyNumberFormat="1" applyFont="1" applyBorder="1" applyAlignment="1">
      <alignment horizontal="center" vertical="center" wrapText="1"/>
    </xf>
    <xf numFmtId="199" fontId="255" fillId="0" borderId="0" xfId="1" applyNumberFormat="1" applyFont="1" applyBorder="1" applyAlignment="1">
      <alignment horizontal="center" vertical="center" wrapText="1"/>
    </xf>
    <xf numFmtId="0" fontId="19" fillId="0" borderId="0" xfId="1" applyFont="1" applyBorder="1" applyAlignment="1">
      <alignment horizontal="center" vertical="center" wrapText="1"/>
    </xf>
    <xf numFmtId="0" fontId="254" fillId="0" borderId="159" xfId="1" applyFont="1" applyBorder="1" applyAlignment="1">
      <alignment horizontal="center" vertical="center" wrapText="1"/>
    </xf>
    <xf numFmtId="197" fontId="171" fillId="0" borderId="0" xfId="1" applyNumberFormat="1" applyFont="1" applyBorder="1" applyAlignment="1">
      <alignment horizontal="center" vertical="center" wrapText="1"/>
    </xf>
    <xf numFmtId="198" fontId="111" fillId="0" borderId="0" xfId="0" applyNumberFormat="1" applyFon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256" fillId="0" borderId="0" xfId="0" applyFont="1">
      <alignment vertical="center"/>
    </xf>
    <xf numFmtId="1" fontId="0" fillId="0" borderId="0" xfId="0" applyNumberFormat="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111" fillId="0" borderId="0" xfId="0" applyNumberFormat="1" applyFont="1">
      <alignment vertical="center"/>
    </xf>
    <xf numFmtId="200" fontId="111" fillId="0" borderId="0" xfId="0" applyNumberFormat="1" applyFont="1">
      <alignment vertical="center"/>
    </xf>
    <xf numFmtId="0" fontId="46" fillId="20" borderId="11" xfId="0" applyFont="1" applyFill="1" applyBorder="1" applyAlignment="1" applyProtection="1">
      <alignment vertical="center" wrapText="1"/>
      <protection locked="0"/>
    </xf>
    <xf numFmtId="0" fontId="72" fillId="20" borderId="20" xfId="0" applyFont="1" applyFill="1" applyBorder="1" applyAlignment="1" applyProtection="1">
      <alignment vertical="center" wrapText="1"/>
      <protection locked="0"/>
    </xf>
    <xf numFmtId="0" fontId="49" fillId="20" borderId="24" xfId="0" applyFont="1" applyFill="1" applyBorder="1" applyProtection="1">
      <alignment vertical="center"/>
      <protection locked="0"/>
    </xf>
    <xf numFmtId="0" fontId="49" fillId="20" borderId="0" xfId="0" applyFont="1" applyFill="1" applyAlignment="1" applyProtection="1">
      <alignment vertical="center"/>
      <protection locked="0"/>
    </xf>
    <xf numFmtId="0" fontId="49" fillId="20" borderId="23" xfId="0" applyFont="1" applyFill="1" applyBorder="1" applyAlignment="1" applyProtection="1">
      <alignment horizontal="center" vertical="center"/>
      <protection locked="0"/>
    </xf>
    <xf numFmtId="177" fontId="49" fillId="20" borderId="1" xfId="1" applyNumberFormat="1" applyFont="1" applyFill="1" applyBorder="1" applyAlignment="1" applyProtection="1">
      <alignment horizontal="center" vertical="center"/>
      <protection locked="0"/>
    </xf>
    <xf numFmtId="0" fontId="98" fillId="20" borderId="0" xfId="0" applyFont="1" applyFill="1">
      <alignment vertical="center"/>
    </xf>
    <xf numFmtId="0" fontId="0" fillId="20" borderId="0" xfId="0"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18</xdr:row>
      <xdr:rowOff>47625</xdr:rowOff>
    </xdr:from>
    <xdr:to>
      <xdr:col>7</xdr:col>
      <xdr:colOff>27677</xdr:colOff>
      <xdr:row>53</xdr:row>
      <xdr:rowOff>75447</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133725"/>
          <a:ext cx="7190477" cy="6028572"/>
        </a:xfrm>
        <a:prstGeom prst="rect">
          <a:avLst/>
        </a:prstGeom>
      </xdr:spPr>
    </xdr:pic>
    <xdr:clientData/>
  </xdr:twoCellAnchor>
  <xdr:twoCellAnchor editAs="oneCell">
    <xdr:from>
      <xdr:col>0</xdr:col>
      <xdr:colOff>0</xdr:colOff>
      <xdr:row>54</xdr:row>
      <xdr:rowOff>0</xdr:rowOff>
    </xdr:from>
    <xdr:to>
      <xdr:col>9</xdr:col>
      <xdr:colOff>351309</xdr:colOff>
      <xdr:row>100</xdr:row>
      <xdr:rowOff>141872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8933334" cy="8028572"/>
        </a:xfrm>
        <a:prstGeom prst="rect">
          <a:avLst/>
        </a:prstGeom>
      </xdr:spPr>
    </xdr:pic>
    <xdr:clientData/>
  </xdr:twoCellAnchor>
  <xdr:twoCellAnchor editAs="oneCell">
    <xdr:from>
      <xdr:col>0</xdr:col>
      <xdr:colOff>0</xdr:colOff>
      <xdr:row>101</xdr:row>
      <xdr:rowOff>0</xdr:rowOff>
    </xdr:from>
    <xdr:to>
      <xdr:col>10</xdr:col>
      <xdr:colOff>408366</xdr:colOff>
      <xdr:row>147</xdr:row>
      <xdr:rowOff>65681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9676191" cy="7952381"/>
        </a:xfrm>
        <a:prstGeom prst="rect">
          <a:avLst/>
        </a:prstGeom>
      </xdr:spPr>
    </xdr:pic>
    <xdr:clientData/>
  </xdr:twoCellAnchor>
  <xdr:twoCellAnchor editAs="oneCell">
    <xdr:from>
      <xdr:col>0</xdr:col>
      <xdr:colOff>0</xdr:colOff>
      <xdr:row>148</xdr:row>
      <xdr:rowOff>0</xdr:rowOff>
    </xdr:from>
    <xdr:to>
      <xdr:col>7</xdr:col>
      <xdr:colOff>408623</xdr:colOff>
      <xdr:row>194</xdr:row>
      <xdr:rowOff>103777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374600"/>
          <a:ext cx="7619048" cy="79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24</xdr:row>
      <xdr:rowOff>0</xdr:rowOff>
    </xdr:from>
    <xdr:to>
      <xdr:col>11</xdr:col>
      <xdr:colOff>246607</xdr:colOff>
      <xdr:row>26</xdr:row>
      <xdr:rowOff>152338</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4114800"/>
          <a:ext cx="8352382" cy="495238"/>
        </a:xfrm>
        <a:prstGeom prst="rect">
          <a:avLst/>
        </a:prstGeom>
      </xdr:spPr>
    </xdr:pic>
    <xdr:clientData/>
  </xdr:twoCellAnchor>
  <xdr:twoCellAnchor editAs="oneCell">
    <xdr:from>
      <xdr:col>0</xdr:col>
      <xdr:colOff>38100</xdr:colOff>
      <xdr:row>27</xdr:row>
      <xdr:rowOff>9525</xdr:rowOff>
    </xdr:from>
    <xdr:to>
      <xdr:col>11</xdr:col>
      <xdr:colOff>227555</xdr:colOff>
      <xdr:row>29</xdr:row>
      <xdr:rowOff>142816</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638675"/>
          <a:ext cx="8361905" cy="476191"/>
        </a:xfrm>
        <a:prstGeom prst="rect">
          <a:avLst/>
        </a:prstGeom>
      </xdr:spPr>
    </xdr:pic>
    <xdr:clientData/>
  </xdr:twoCellAnchor>
  <xdr:twoCellAnchor editAs="oneCell">
    <xdr:from>
      <xdr:col>0</xdr:col>
      <xdr:colOff>38100</xdr:colOff>
      <xdr:row>30</xdr:row>
      <xdr:rowOff>0</xdr:rowOff>
    </xdr:from>
    <xdr:to>
      <xdr:col>11</xdr:col>
      <xdr:colOff>256127</xdr:colOff>
      <xdr:row>34</xdr:row>
      <xdr:rowOff>142771</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5143500"/>
          <a:ext cx="8390477" cy="828571"/>
        </a:xfrm>
        <a:prstGeom prst="rect">
          <a:avLst/>
        </a:prstGeom>
      </xdr:spPr>
    </xdr:pic>
    <xdr:clientData/>
  </xdr:twoCellAnchor>
  <xdr:twoCellAnchor editAs="oneCell">
    <xdr:from>
      <xdr:col>0</xdr:col>
      <xdr:colOff>0</xdr:colOff>
      <xdr:row>35</xdr:row>
      <xdr:rowOff>0</xdr:rowOff>
    </xdr:from>
    <xdr:to>
      <xdr:col>11</xdr:col>
      <xdr:colOff>246598</xdr:colOff>
      <xdr:row>37</xdr:row>
      <xdr:rowOff>133291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8419048" cy="476191"/>
        </a:xfrm>
        <a:prstGeom prst="rect">
          <a:avLst/>
        </a:prstGeom>
      </xdr:spPr>
    </xdr:pic>
    <xdr:clientData/>
  </xdr:twoCellAnchor>
  <xdr:twoCellAnchor editAs="oneCell">
    <xdr:from>
      <xdr:col>0</xdr:col>
      <xdr:colOff>47625</xdr:colOff>
      <xdr:row>38</xdr:row>
      <xdr:rowOff>0</xdr:rowOff>
    </xdr:from>
    <xdr:to>
      <xdr:col>11</xdr:col>
      <xdr:colOff>246604</xdr:colOff>
      <xdr:row>44</xdr:row>
      <xdr:rowOff>66538</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6515100"/>
          <a:ext cx="8371429" cy="1095238"/>
        </a:xfrm>
        <a:prstGeom prst="rect">
          <a:avLst/>
        </a:prstGeom>
      </xdr:spPr>
    </xdr:pic>
    <xdr:clientData/>
  </xdr:twoCellAnchor>
  <xdr:twoCellAnchor editAs="oneCell">
    <xdr:from>
      <xdr:col>0</xdr:col>
      <xdr:colOff>0</xdr:colOff>
      <xdr:row>52</xdr:row>
      <xdr:rowOff>0</xdr:rowOff>
    </xdr:from>
    <xdr:to>
      <xdr:col>10</xdr:col>
      <xdr:colOff>141922</xdr:colOff>
      <xdr:row>95</xdr:row>
      <xdr:rowOff>18127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915400"/>
          <a:ext cx="7628572" cy="7390477"/>
        </a:xfrm>
        <a:prstGeom prst="rect">
          <a:avLst/>
        </a:prstGeom>
      </xdr:spPr>
    </xdr:pic>
    <xdr:clientData/>
  </xdr:twoCellAnchor>
  <xdr:twoCellAnchor editAs="oneCell">
    <xdr:from>
      <xdr:col>0</xdr:col>
      <xdr:colOff>0</xdr:colOff>
      <xdr:row>95</xdr:row>
      <xdr:rowOff>0</xdr:rowOff>
    </xdr:from>
    <xdr:to>
      <xdr:col>9</xdr:col>
      <xdr:colOff>494389</xdr:colOff>
      <xdr:row>138</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287750"/>
          <a:ext cx="7295239" cy="7457143"/>
        </a:xfrm>
        <a:prstGeom prst="rect">
          <a:avLst/>
        </a:prstGeom>
      </xdr:spPr>
    </xdr:pic>
    <xdr:clientData/>
  </xdr:twoCellAnchor>
  <xdr:twoCellAnchor editAs="oneCell">
    <xdr:from>
      <xdr:col>0</xdr:col>
      <xdr:colOff>0</xdr:colOff>
      <xdr:row>139</xdr:row>
      <xdr:rowOff>0</xdr:rowOff>
    </xdr:from>
    <xdr:to>
      <xdr:col>9</xdr:col>
      <xdr:colOff>484865</xdr:colOff>
      <xdr:row>181</xdr:row>
      <xdr:rowOff>170529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7285715"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估价对象为房地产，为所有。根据《国有土地使用证》[]，估价对象（分摊）出让国有建设用地使用权面积为11088平方米，建筑面积为72083.4999999999平方米。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估价对象为房地产,属开发建设的，该项目尚在开发建设中。根据《国有土地使用证》[]，估价对象（分摊）出让国有建设用地使用权面积为11088平方米，规划建筑面积为72083.4999999999平方米。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2021年4月13日</v>
      </c>
    </row>
    <row r="13" spans="1:2" s="1363" customFormat="1">
      <c r="A13" s="1361" t="s">
        <v>1194</v>
      </c>
      <c r="B13" s="1362"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366886</v>
      </c>
    </row>
    <row r="21" spans="1:2" s="1363" customFormat="1">
      <c r="A21" s="1361" t="s">
        <v>1202</v>
      </c>
      <c r="B21" s="1362">
        <f ca="1">'预评函-2'!D7</f>
        <v>50897</v>
      </c>
    </row>
    <row r="22" spans="1:2" s="1363" customFormat="1">
      <c r="A22" s="1361" t="s">
        <v>1203</v>
      </c>
      <c r="B22" s="1362" t="str">
        <f ca="1">'预评函-2'!D6</f>
        <v>叁拾陆亿陆仟捌佰捌拾陆万元整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366886</v>
      </c>
    </row>
    <row r="31" spans="1:2" s="1363" customFormat="1">
      <c r="A31" s="1361" t="s">
        <v>1241</v>
      </c>
      <c r="B31" s="1362">
        <f ca="1">'预评函-2'!D15</f>
        <v>50897</v>
      </c>
    </row>
    <row r="32" spans="1:2" s="1363" customFormat="1">
      <c r="A32" s="1361" t="s">
        <v>1208</v>
      </c>
      <c r="B32" s="1362" t="str">
        <f ca="1">'预评函-2'!D14</f>
        <v>叁拾陆亿陆仟捌佰捌拾陆万元整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4.抵押净值</v>
      </c>
    </row>
    <row r="38" spans="1:2" s="1363" customFormat="1">
      <c r="A38" s="1361" t="s">
        <v>1262</v>
      </c>
      <c r="B38" s="1362">
        <f ca="1">'预评函-2'!D19</f>
        <v>337622</v>
      </c>
    </row>
    <row r="39" spans="1:2" s="1363" customFormat="1">
      <c r="A39" s="1361" t="s">
        <v>1210</v>
      </c>
      <c r="B39" s="1362">
        <f ca="1">'预评函-2'!D21</f>
        <v>46838</v>
      </c>
    </row>
    <row r="40" spans="1:2" s="1363" customFormat="1">
      <c r="A40" s="1361" t="s">
        <v>1211</v>
      </c>
      <c r="B40" s="1362" t="str">
        <f ca="1">'预评函-2'!D20</f>
        <v>叁拾叁亿柒仟陆佰贰拾贰万元整</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72083.499999999942</v>
      </c>
    </row>
    <row r="44" spans="1:2" s="1363" customFormat="1">
      <c r="A44" s="1361" t="s">
        <v>1240</v>
      </c>
      <c r="B44" s="1362" t="str">
        <f>'预评函-3'!C2</f>
        <v>(分摊)土地面积</v>
      </c>
    </row>
    <row r="45" spans="1:2" s="1363" customFormat="1">
      <c r="A45" s="1361" t="s">
        <v>1212</v>
      </c>
      <c r="B45" s="1362">
        <f>'预评函-3'!C4</f>
        <v>11088</v>
      </c>
    </row>
    <row r="46" spans="1:2" s="1363" customFormat="1">
      <c r="A46" s="1361" t="s">
        <v>1238</v>
      </c>
      <c r="B46" s="1362" t="str">
        <f>'预评函-3'!D2</f>
        <v>出让国有建设用地使用权价值</v>
      </c>
    </row>
    <row r="47" spans="1:2" s="1363" customFormat="1">
      <c r="A47" s="1361" t="s">
        <v>1213</v>
      </c>
      <c r="B47" s="1362">
        <f ca="1">'预评函-3'!D4</f>
        <v>304882</v>
      </c>
    </row>
    <row r="48" spans="1:2" s="1363" customFormat="1">
      <c r="A48" s="1361" t="s">
        <v>1214</v>
      </c>
      <c r="B48" s="1362">
        <f ca="1">'预评函-3'!E4</f>
        <v>42295</v>
      </c>
    </row>
    <row r="49" spans="1:2" s="1363" customFormat="1">
      <c r="A49" s="1361" t="s">
        <v>1215</v>
      </c>
      <c r="B49" s="1362" t="str">
        <f ca="1">'预评函-3'!D5</f>
        <v>叁拾亿肆仟捌佰捌拾贰万元整</v>
      </c>
    </row>
    <row r="50" spans="1:2" s="1363" customFormat="1">
      <c r="A50" s="1361" t="s">
        <v>1239</v>
      </c>
      <c r="B50" s="1362" t="str">
        <f>'预评函-3'!F2</f>
        <v>在建建筑物价值</v>
      </c>
    </row>
    <row r="51" spans="1:2" s="1363" customFormat="1">
      <c r="A51" s="1361" t="s">
        <v>1216</v>
      </c>
      <c r="B51" s="1362">
        <f ca="1">'预评函-3'!F4</f>
        <v>62004</v>
      </c>
    </row>
    <row r="52" spans="1:2" s="1363" customFormat="1">
      <c r="A52" s="1361" t="s">
        <v>1217</v>
      </c>
      <c r="B52" s="1362">
        <f ca="1">'预评函-3'!G4</f>
        <v>8602</v>
      </c>
    </row>
    <row r="53" spans="1:2" s="1363" customFormat="1">
      <c r="A53" s="1361" t="s">
        <v>1245</v>
      </c>
      <c r="B53" s="1362" t="str">
        <f ca="1">'预评函-3'!F5</f>
        <v>陆亿贰仟零肆万元整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抵押净值</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4" sqref="J3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3674</v>
      </c>
      <c r="C18" s="1731"/>
    </row>
    <row r="19" spans="1:3">
      <c r="A19" s="1730" t="s">
        <v>1733</v>
      </c>
      <c r="B19" s="1730" t="s">
        <v>3676</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8" t="s">
        <v>832</v>
      </c>
      <c r="C54" s="1735" t="s">
        <v>1248</v>
      </c>
    </row>
    <row r="55" spans="1:4">
      <c r="A55" s="3134"/>
      <c r="B55" s="1738" t="s">
        <v>833</v>
      </c>
      <c r="C55" s="1735" t="s">
        <v>1249</v>
      </c>
    </row>
    <row r="56" spans="1:4">
      <c r="A56" s="3134"/>
      <c r="B56" s="1738" t="s">
        <v>834</v>
      </c>
      <c r="C56" s="1735" t="s">
        <v>1253</v>
      </c>
    </row>
    <row r="57" spans="1:4">
      <c r="A57" s="313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35" t="str">
        <f>IF(B10="北京市","北京市",C10)&amp;F10&amp;IF(结果表!G1="在建","出让国有建设用地使用权及在建建筑物",IF(结果表!G1="土地","出让国有建设用地使用权",))&amp;B9&amp;"预评估"</f>
        <v>房地产抵押价值预评估</v>
      </c>
      <c r="C1" s="3136"/>
      <c r="D1" s="3136"/>
      <c r="E1" s="3136"/>
      <c r="F1" s="3136"/>
      <c r="G1" s="3136"/>
      <c r="H1" s="3136"/>
      <c r="I1" s="3137"/>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2916</v>
      </c>
      <c r="B3" s="2595"/>
      <c r="C3" s="2596" t="s">
        <v>2917</v>
      </c>
      <c r="D3" s="2595">
        <v>44299</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9"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3063</v>
      </c>
      <c r="C8" s="2612"/>
      <c r="D8" s="3138" t="s">
        <v>2923</v>
      </c>
      <c r="E8" s="2613" t="s">
        <v>3064</v>
      </c>
      <c r="F8" s="2614"/>
      <c r="G8" s="2888"/>
      <c r="H8" s="2888"/>
      <c r="I8" s="2888"/>
      <c r="J8" s="2663"/>
      <c r="K8" s="2838"/>
      <c r="L8" s="2837"/>
      <c r="M8" s="2837"/>
      <c r="N8" s="2663"/>
      <c r="O8" s="2674"/>
      <c r="P8" s="2663"/>
      <c r="Q8" s="2663"/>
      <c r="R8" s="2663"/>
    </row>
    <row r="9" spans="1:28" ht="13.5" thickBot="1">
      <c r="A9" s="2615" t="s">
        <v>2924</v>
      </c>
      <c r="B9" s="2616" t="s">
        <v>3064</v>
      </c>
      <c r="C9" s="2617"/>
      <c r="D9" s="3139"/>
      <c r="E9" s="2616" t="s">
        <v>1252</v>
      </c>
      <c r="F9" s="2618"/>
      <c r="G9" s="2890"/>
      <c r="H9" s="2890"/>
      <c r="I9" s="2890"/>
      <c r="J9" s="2663"/>
      <c r="K9" s="2840"/>
      <c r="L9" s="2837"/>
      <c r="M9" s="2837"/>
      <c r="N9" s="2663"/>
      <c r="O9" s="2674"/>
      <c r="P9" s="2663"/>
      <c r="Q9" s="2663"/>
      <c r="R9" s="2663"/>
    </row>
    <row r="10" spans="1:28" ht="13.5" thickTop="1">
      <c r="A10" s="2619" t="s">
        <v>2925</v>
      </c>
      <c r="B10" s="2620" t="s">
        <v>3065</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3066</v>
      </c>
      <c r="C11" s="2625"/>
      <c r="D11" s="2626"/>
      <c r="E11" s="2592"/>
      <c r="F11" s="2592"/>
      <c r="G11" s="2592"/>
      <c r="H11" s="2592"/>
      <c r="I11" s="2592"/>
      <c r="J11" s="2663"/>
      <c r="K11" s="2840"/>
      <c r="L11" s="2837"/>
      <c r="M11" s="2837"/>
      <c r="N11" s="2663"/>
      <c r="O11" s="2674"/>
      <c r="P11" s="2663"/>
      <c r="Q11" s="2663"/>
      <c r="R11" s="2663"/>
    </row>
    <row r="12" spans="1:28">
      <c r="A12" s="2627" t="s">
        <v>2928</v>
      </c>
      <c r="B12" s="2624" t="s">
        <v>3067</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0"/>
      <c r="B13" s="2629"/>
      <c r="C13" s="2630" t="s">
        <v>2936</v>
      </c>
      <c r="D13" s="964"/>
      <c r="E13" s="964">
        <v>56032</v>
      </c>
      <c r="F13" s="964">
        <v>59684</v>
      </c>
      <c r="G13" s="964">
        <v>59684</v>
      </c>
      <c r="H13" s="964">
        <v>59684</v>
      </c>
      <c r="I13" s="964"/>
      <c r="J13" s="2663"/>
      <c r="K13" s="2840"/>
      <c r="L13" s="2837"/>
      <c r="M13" s="2837"/>
      <c r="N13" s="2663"/>
      <c r="O13" s="2674"/>
      <c r="P13" s="2663"/>
      <c r="Q13" s="2663"/>
      <c r="R13" s="2663"/>
    </row>
    <row r="14" spans="1:28">
      <c r="A14" s="1240"/>
      <c r="B14" s="2629"/>
      <c r="C14" s="2630" t="s">
        <v>2937</v>
      </c>
      <c r="D14" s="2631"/>
      <c r="E14" s="2631">
        <v>40</v>
      </c>
      <c r="F14" s="2631">
        <v>50</v>
      </c>
      <c r="G14" s="2631">
        <v>50</v>
      </c>
      <c r="H14" s="2631">
        <v>50</v>
      </c>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f>IF(B12="出让",IF(E13="","",ROUNDDOWN(MIN((E13-$D$3)/365,E14),2)),E14)</f>
        <v>32.14</v>
      </c>
      <c r="F15" s="2634">
        <f>IF(B12="出让",IF(F13="","",ROUNDDOWN(MIN((F13-$D$3)/365,F14),2)),F14)</f>
        <v>42.15</v>
      </c>
      <c r="G15" s="2634">
        <f>IF(B12="出让",IF(G13="","",ROUNDDOWN(MIN((G13-$D$3)/365,G14),2)),G14)</f>
        <v>42.15</v>
      </c>
      <c r="H15" s="2634">
        <f>IF(B12="出让",IF(H13="","",ROUNDDOWN(MIN((H13-$D$3)/365,H14),2)),H14)</f>
        <v>42.15</v>
      </c>
      <c r="I15" s="2634" t="str">
        <f>IF(B12="出让",IF(I13="","",ROUNDDOWN(MIN((I13-$D$3)/365,I14),2)),I14)</f>
        <v/>
      </c>
      <c r="J15" s="2663"/>
      <c r="K15" s="2842"/>
      <c r="L15" s="2675"/>
      <c r="M15" s="2675"/>
      <c r="N15" s="2733"/>
      <c r="O15" s="2675"/>
      <c r="P15" s="2733"/>
      <c r="Q15" s="2663"/>
      <c r="R15" s="2663"/>
    </row>
    <row r="16" spans="1:28">
      <c r="A16" s="2622" t="s">
        <v>2939</v>
      </c>
      <c r="B16" s="3145"/>
      <c r="C16" s="3146"/>
      <c r="D16" s="3147"/>
      <c r="E16" s="2637" t="s">
        <v>2940</v>
      </c>
      <c r="F16" s="3148"/>
      <c r="G16" s="3149"/>
      <c r="H16" s="3149"/>
      <c r="I16" s="3150"/>
      <c r="J16" s="2663"/>
      <c r="K16" s="2842"/>
      <c r="L16" s="2675"/>
      <c r="M16" s="2675"/>
      <c r="N16" s="2733"/>
      <c r="O16" s="2675"/>
      <c r="P16" s="2733"/>
      <c r="Q16" s="2663"/>
      <c r="R16" s="2663"/>
    </row>
    <row r="17" spans="1:28">
      <c r="A17" s="319" t="s">
        <v>2941</v>
      </c>
      <c r="B17" s="308" t="s">
        <v>2942</v>
      </c>
      <c r="C17" s="11">
        <f>'数据-汇总表'!E3</f>
        <v>72083.499999999942</v>
      </c>
      <c r="D17" s="2543" t="s">
        <v>2943</v>
      </c>
      <c r="E17" s="3151" t="s">
        <v>2944</v>
      </c>
      <c r="F17" s="3152"/>
      <c r="G17" s="3152"/>
      <c r="H17" s="3152"/>
      <c r="I17" s="3153"/>
      <c r="J17" s="2663"/>
      <c r="K17" s="2843"/>
      <c r="L17" s="2675"/>
      <c r="M17" s="2675"/>
      <c r="N17" s="2733"/>
      <c r="O17" s="2675"/>
      <c r="P17" s="2733"/>
      <c r="Q17" s="2663"/>
      <c r="R17" s="2663"/>
      <c r="S17" s="2663"/>
      <c r="T17" s="2663"/>
      <c r="U17" s="2663"/>
      <c r="V17" s="2663"/>
    </row>
    <row r="18" spans="1:28" ht="24.75" thickBot="1">
      <c r="A18" s="2638" t="s">
        <v>2945</v>
      </c>
      <c r="B18" s="1249" t="s">
        <v>2946</v>
      </c>
      <c r="C18" s="2639">
        <f>'数据-汇总表'!D3</f>
        <v>11088</v>
      </c>
      <c r="D18" s="1251" t="s">
        <v>2947</v>
      </c>
      <c r="E18" s="3154" t="s">
        <v>2948</v>
      </c>
      <c r="F18" s="3155"/>
      <c r="G18" s="3155"/>
      <c r="H18" s="3155"/>
      <c r="I18" s="3156"/>
      <c r="J18" s="2663"/>
      <c r="K18" s="2843"/>
      <c r="L18" s="2675"/>
      <c r="M18" s="2675"/>
      <c r="N18" s="2733"/>
      <c r="O18" s="2675"/>
      <c r="P18" s="2733"/>
      <c r="Q18" s="2663"/>
      <c r="R18" s="2663"/>
      <c r="S18" s="2663"/>
      <c r="T18" s="2663"/>
      <c r="U18" s="2663"/>
      <c r="V18" s="2663"/>
    </row>
    <row r="19" spans="1:28" ht="37.5" thickTop="1" thickBot="1">
      <c r="A19" s="333" t="s">
        <v>1741</v>
      </c>
      <c r="B19" s="313" t="s">
        <v>2949</v>
      </c>
      <c r="C19" s="1747"/>
      <c r="D19" s="1748" t="s">
        <v>2950</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2951</v>
      </c>
      <c r="B20" s="3141" t="s">
        <v>2952</v>
      </c>
      <c r="C20" s="3142"/>
      <c r="D20" s="3143" t="s">
        <v>2953</v>
      </c>
      <c r="E20" s="3144"/>
      <c r="F20" s="2872" t="s">
        <v>1742</v>
      </c>
      <c r="G20" s="2889"/>
      <c r="H20" s="2889"/>
      <c r="I20" s="2889"/>
      <c r="J20" s="2663"/>
      <c r="K20" s="314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2" t="s">
        <v>2956</v>
      </c>
      <c r="E21" s="2860" t="s">
        <v>1743</v>
      </c>
      <c r="F21" s="2873"/>
      <c r="G21" s="2889"/>
      <c r="H21" s="2889"/>
      <c r="I21" s="2889"/>
      <c r="J21" s="2663"/>
      <c r="K21" s="314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4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8"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8"/>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8"/>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9"/>
      <c r="B30" s="308" t="s">
        <v>2964</v>
      </c>
      <c r="C30" s="3160"/>
      <c r="D30" s="3161"/>
      <c r="E30" s="2889"/>
      <c r="F30" s="2889"/>
      <c r="G30" s="2889"/>
      <c r="H30" s="2889"/>
      <c r="I30" s="2889"/>
      <c r="J30" s="2663"/>
      <c r="K30" s="2840"/>
      <c r="L30" s="2837"/>
      <c r="M30" s="2837"/>
      <c r="N30" s="2663"/>
      <c r="O30" s="2674"/>
      <c r="P30" s="2663"/>
      <c r="Q30" s="2663"/>
      <c r="R30" s="2663"/>
      <c r="S30" s="2663"/>
      <c r="T30" s="2663"/>
      <c r="U30" s="2663"/>
      <c r="V30" s="2663"/>
    </row>
    <row r="31" spans="1:28">
      <c r="A31" s="3162" t="s">
        <v>2965</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63"/>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63"/>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2"/>
      <c r="C34" s="2212"/>
      <c r="D34" s="2212"/>
      <c r="E34" s="2212"/>
      <c r="F34" s="2212"/>
      <c r="G34" s="2212"/>
      <c r="H34" s="2212"/>
      <c r="I34" s="2889"/>
      <c r="J34" s="2663"/>
      <c r="K34" s="2651">
        <f>COUNTIF(B34:H34,"——")</f>
        <v>0</v>
      </c>
      <c r="L34" s="329" t="s">
        <v>2967</v>
      </c>
      <c r="M34" s="329" t="s">
        <v>2968</v>
      </c>
      <c r="N34" s="329" t="s">
        <v>2969</v>
      </c>
      <c r="O34" s="329" t="s">
        <v>2970</v>
      </c>
      <c r="P34" s="329" t="s">
        <v>2971</v>
      </c>
      <c r="Q34" s="329" t="s">
        <v>2972</v>
      </c>
      <c r="R34" s="329" t="s">
        <v>2973</v>
      </c>
      <c r="S34" s="3157" t="s">
        <v>2974</v>
      </c>
      <c r="T34" s="2652" t="str">
        <f>NUMBERSTRING(7-K34,1)&amp;"通"</f>
        <v>七通</v>
      </c>
      <c r="U34" s="2663"/>
      <c r="V34" s="2663"/>
    </row>
    <row r="35" spans="1:30">
      <c r="A35" s="2653"/>
      <c r="B35" s="3164" t="s">
        <v>2975</v>
      </c>
      <c r="C35" s="3164"/>
      <c r="D35" s="3164"/>
      <c r="E35" s="3164"/>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3"/>
      <c r="V35" s="2663"/>
    </row>
    <row r="36" spans="1:30">
      <c r="A36" s="2654"/>
      <c r="B36" s="673" t="s">
        <v>2931</v>
      </c>
      <c r="C36" s="673" t="s">
        <v>2932</v>
      </c>
      <c r="D36" s="673" t="s">
        <v>2930</v>
      </c>
      <c r="E36" s="673"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2979</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4"/>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4"/>
      <c r="B44" s="1754"/>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4"/>
      <c r="B45" s="1754"/>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4"/>
      <c r="B46" s="1754"/>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4"/>
      <c r="B47" s="1754"/>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4"/>
      <c r="B48" s="1754"/>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4"/>
      <c r="B49" s="1754"/>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4"/>
      <c r="B50" s="1754"/>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4"/>
      <c r="B51" s="1754"/>
      <c r="C51" s="1181"/>
      <c r="D51" s="1181"/>
      <c r="E51" s="1181"/>
      <c r="F51" s="1181"/>
      <c r="G51" s="1181"/>
      <c r="H51" s="1181"/>
      <c r="I51" s="1181"/>
      <c r="J51" s="2661"/>
      <c r="K51" s="2662"/>
      <c r="L51" s="2662"/>
      <c r="M51" s="1181"/>
      <c r="N51" s="1181"/>
      <c r="O51" s="1181"/>
      <c r="P51" s="1181"/>
      <c r="Q51" s="1181"/>
      <c r="R51" s="1181"/>
    </row>
    <row r="52" spans="1:22" s="1927" customFormat="1">
      <c r="A52" s="1754"/>
      <c r="B52" s="1754"/>
      <c r="C52" s="1754"/>
      <c r="D52" s="1754"/>
      <c r="E52" s="1754"/>
      <c r="F52" s="1181"/>
      <c r="G52" s="1754"/>
      <c r="H52" s="1754"/>
      <c r="I52" s="1754"/>
      <c r="J52" s="2664"/>
      <c r="K52" s="2662"/>
      <c r="L52" s="2662"/>
      <c r="M52" s="2662"/>
      <c r="N52" s="1754"/>
      <c r="O52" s="1754"/>
      <c r="P52" s="1754"/>
      <c r="Q52" s="1754"/>
      <c r="R52" s="1754"/>
    </row>
    <row r="53" spans="1:22" s="1927" customFormat="1">
      <c r="A53" s="1754"/>
      <c r="B53" s="1754"/>
      <c r="C53" s="1754"/>
      <c r="D53" s="1754"/>
      <c r="E53" s="1754"/>
      <c r="F53" s="1181"/>
      <c r="G53" s="1754"/>
      <c r="H53" s="1754"/>
      <c r="I53" s="1754"/>
      <c r="J53" s="2664"/>
      <c r="K53" s="2662"/>
      <c r="L53" s="2662"/>
      <c r="M53" s="2662"/>
      <c r="N53" s="1754"/>
      <c r="O53" s="1754"/>
      <c r="P53" s="1754"/>
      <c r="Q53" s="1754"/>
      <c r="R53" s="1754"/>
    </row>
    <row r="54" spans="1:22" s="1927" customFormat="1">
      <c r="A54" s="1754"/>
      <c r="B54" s="1754"/>
      <c r="C54" s="1754"/>
      <c r="D54" s="1754"/>
      <c r="E54" s="1754"/>
      <c r="F54" s="1181"/>
      <c r="G54" s="1754"/>
      <c r="H54" s="1754"/>
      <c r="I54" s="1754"/>
      <c r="J54" s="2664"/>
      <c r="K54" s="2662"/>
      <c r="L54" s="2662"/>
      <c r="M54" s="2662"/>
      <c r="N54" s="1754"/>
      <c r="O54" s="1754"/>
      <c r="P54" s="1754"/>
      <c r="Q54" s="1754"/>
      <c r="R54" s="1754"/>
    </row>
    <row r="55" spans="1:22" s="1927" customFormat="1">
      <c r="A55" s="1754"/>
      <c r="B55" s="1754"/>
      <c r="C55" s="1754"/>
      <c r="D55" s="1754"/>
      <c r="E55" s="1754"/>
      <c r="F55" s="1181"/>
      <c r="G55" s="1754"/>
      <c r="H55" s="1754"/>
      <c r="I55" s="1754"/>
      <c r="J55" s="2664"/>
      <c r="K55" s="2662"/>
      <c r="L55" s="2662"/>
      <c r="M55" s="2662"/>
      <c r="N55" s="1754"/>
      <c r="O55" s="1754"/>
      <c r="P55" s="1754"/>
      <c r="Q55" s="1754"/>
      <c r="R55" s="1754"/>
    </row>
    <row r="56" spans="1:22" s="1927" customFormat="1">
      <c r="A56" s="1754"/>
      <c r="B56" s="1754"/>
      <c r="C56" s="1754"/>
      <c r="D56" s="1754"/>
      <c r="E56" s="1754"/>
      <c r="F56" s="1181"/>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11088</v>
      </c>
      <c r="B3" s="14">
        <f>IF(C3="否",G5-AT5,G5)</f>
        <v>72083.499999999942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72083.499999999942</v>
      </c>
      <c r="H5" s="16">
        <f t="shared" ref="H5:AT5" si="0">SUM(H13:H656)</f>
        <v>72083.499999999942</v>
      </c>
      <c r="I5" s="16">
        <f t="shared" si="0"/>
        <v>46753.740000000034</v>
      </c>
      <c r="J5" s="16">
        <f t="shared" si="0"/>
        <v>0</v>
      </c>
      <c r="K5" s="16">
        <f t="shared" si="0"/>
        <v>4952.0099999999993</v>
      </c>
      <c r="L5" s="16">
        <f t="shared" si="0"/>
        <v>0</v>
      </c>
      <c r="M5" s="16">
        <f t="shared" si="0"/>
        <v>5379.1</v>
      </c>
      <c r="N5" s="16">
        <f t="shared" si="0"/>
        <v>0</v>
      </c>
      <c r="O5" s="16">
        <f t="shared" si="0"/>
        <v>14680.529999999908</v>
      </c>
      <c r="P5" s="16">
        <f t="shared" si="0"/>
        <v>0</v>
      </c>
      <c r="Q5" s="16">
        <f t="shared" si="0"/>
        <v>181.44</v>
      </c>
      <c r="R5" s="16">
        <f t="shared" si="0"/>
        <v>0</v>
      </c>
      <c r="S5" s="16">
        <f t="shared" si="0"/>
        <v>136.68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72083.499999999942</v>
      </c>
      <c r="BA5" s="18">
        <f t="shared" si="1"/>
        <v>72083.499999999942</v>
      </c>
      <c r="BB5" s="18">
        <f t="shared" si="1"/>
        <v>46753.740000000034</v>
      </c>
      <c r="BC5" s="18">
        <f t="shared" si="1"/>
        <v>4952.0099999999993</v>
      </c>
      <c r="BD5" s="18">
        <f t="shared" si="1"/>
        <v>5379.1</v>
      </c>
      <c r="BE5" s="18">
        <f t="shared" si="1"/>
        <v>14680.529999999908</v>
      </c>
      <c r="BF5" s="18">
        <f t="shared" si="1"/>
        <v>181.44</v>
      </c>
      <c r="BG5" s="18">
        <f t="shared" si="1"/>
        <v>136.68</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11088</v>
      </c>
      <c r="F6" s="16" t="s">
        <v>1</v>
      </c>
      <c r="G6" s="16" t="s">
        <v>2</v>
      </c>
      <c r="H6" s="20">
        <f>SUMIF(I$12:AB$12,"总值",I6:AB6)</f>
        <v>11088</v>
      </c>
      <c r="I6" s="16">
        <f t="shared" ref="I6:AB6" si="2">ROUND($A$3*I5/$B$3,2)</f>
        <v>7191.74</v>
      </c>
      <c r="J6" s="16">
        <f t="shared" si="2"/>
        <v>0</v>
      </c>
      <c r="K6" s="16">
        <f t="shared" si="2"/>
        <v>761.73</v>
      </c>
      <c r="L6" s="16">
        <f t="shared" si="2"/>
        <v>0</v>
      </c>
      <c r="M6" s="16">
        <f t="shared" si="2"/>
        <v>827.42</v>
      </c>
      <c r="N6" s="16">
        <f t="shared" si="2"/>
        <v>0</v>
      </c>
      <c r="O6" s="16">
        <f t="shared" si="2"/>
        <v>2258.1799999999998</v>
      </c>
      <c r="P6" s="16">
        <f t="shared" si="2"/>
        <v>0</v>
      </c>
      <c r="Q6" s="16">
        <f t="shared" si="2"/>
        <v>27.91</v>
      </c>
      <c r="R6" s="16">
        <f t="shared" si="2"/>
        <v>0</v>
      </c>
      <c r="S6" s="16">
        <f t="shared" si="2"/>
        <v>21.02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11088</v>
      </c>
      <c r="AZ6" s="16" t="s">
        <v>3</v>
      </c>
      <c r="BA6" s="16">
        <f>ROUND($AY$6*BA5/$AZ$5,2)</f>
        <v>11088</v>
      </c>
      <c r="BB6" s="16">
        <f>ROUND($AY$6*BB5/$AZ$5,2)</f>
        <v>7191.74</v>
      </c>
      <c r="BC6" s="16">
        <f t="shared" ref="BC6:BH6" si="4">ROUND($AY$6*BC5/$AZ$5,2)</f>
        <v>761.73</v>
      </c>
      <c r="BD6" s="16">
        <f t="shared" si="4"/>
        <v>827.42</v>
      </c>
      <c r="BE6" s="16">
        <f t="shared" si="4"/>
        <v>2258.1799999999998</v>
      </c>
      <c r="BF6" s="16">
        <f t="shared" si="4"/>
        <v>27.91</v>
      </c>
      <c r="BG6" s="16">
        <f t="shared" si="4"/>
        <v>21.02</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3580</v>
      </c>
      <c r="J9" s="917"/>
      <c r="K9" s="1787" t="s">
        <v>3580</v>
      </c>
      <c r="L9" s="917"/>
      <c r="M9" s="1787" t="s">
        <v>3581</v>
      </c>
      <c r="N9" s="917"/>
      <c r="O9" s="1787" t="s">
        <v>3581</v>
      </c>
      <c r="P9" s="917"/>
      <c r="Q9" s="1787" t="s">
        <v>3580</v>
      </c>
      <c r="R9" s="917"/>
      <c r="S9" s="1787" t="s">
        <v>3581</v>
      </c>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27</v>
      </c>
      <c r="J10" s="917"/>
      <c r="K10" s="1793" t="s">
        <v>1343</v>
      </c>
      <c r="L10" s="917"/>
      <c r="M10" s="1793" t="s">
        <v>1343</v>
      </c>
      <c r="N10" s="917"/>
      <c r="O10" s="1793" t="s">
        <v>3582</v>
      </c>
      <c r="P10" s="917"/>
      <c r="Q10" s="1793" t="s">
        <v>3589</v>
      </c>
      <c r="R10" s="917"/>
      <c r="S10" s="1793" t="s">
        <v>3589</v>
      </c>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办公</v>
      </c>
      <c r="BC11" s="1783" t="str">
        <f>K10</f>
        <v>商业</v>
      </c>
      <c r="BD11" s="1783" t="str">
        <f>M10</f>
        <v>商业</v>
      </c>
      <c r="BE11" s="1783" t="str">
        <f>O10</f>
        <v>车库—办公</v>
      </c>
      <c r="BF11" s="1783" t="str">
        <f>Q10</f>
        <v>仓储</v>
      </c>
      <c r="BG11" s="1783" t="str">
        <f>S10</f>
        <v>仓储</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3579</v>
      </c>
      <c r="E13" s="16">
        <f>IF($C$3="是",ROUND($A$3*G13/$B$3,2),ROUND($A$3*(G13-AT13)/$B$3,2))</f>
        <v>11088</v>
      </c>
      <c r="F13" s="32"/>
      <c r="G13" s="33">
        <f>H13+AC13+AT13</f>
        <v>72083.499999999942</v>
      </c>
      <c r="H13" s="20">
        <f>SUMIF(I$12:AB$12,"总值",I13:AB13)</f>
        <v>72083.499999999942</v>
      </c>
      <c r="I13" s="1810">
        <f>Sheet1!C159</f>
        <v>46753.740000000034</v>
      </c>
      <c r="J13" s="1810"/>
      <c r="K13" s="1810">
        <f>Sheet1!C160</f>
        <v>4952.0099999999993</v>
      </c>
      <c r="L13" s="1810"/>
      <c r="M13" s="1810">
        <f>Sheet1!D160</f>
        <v>5379.1</v>
      </c>
      <c r="N13" s="1810"/>
      <c r="O13" s="1810">
        <f>Sheet1!D161</f>
        <v>14680.529999999908</v>
      </c>
      <c r="P13" s="1810"/>
      <c r="Q13" s="1810">
        <f>Sheet1!C162</f>
        <v>181.44</v>
      </c>
      <c r="R13" s="1810"/>
      <c r="S13" s="1810">
        <f>Sheet1!D162</f>
        <v>136.68</v>
      </c>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11088</v>
      </c>
      <c r="AZ13" s="16">
        <f>BA13+BL13</f>
        <v>72083.499999999942</v>
      </c>
      <c r="BA13" s="16">
        <f>SUM(BB13:BK13)</f>
        <v>72083.499999999942</v>
      </c>
      <c r="BB13" s="16">
        <f>IF($D13="是",I13-J13,0)</f>
        <v>46753.740000000034</v>
      </c>
      <c r="BC13" s="16">
        <f>IF($D13="是",K13-L13,0)</f>
        <v>4952.0099999999993</v>
      </c>
      <c r="BD13" s="16">
        <f>IF($D13="是",M13-N13,0)</f>
        <v>5379.1</v>
      </c>
      <c r="BE13" s="16">
        <f>IF($D13="是",O13-P13,0)</f>
        <v>14680.529999999908</v>
      </c>
      <c r="BF13" s="16">
        <f>IF($D13="是",Q13-R13,0)</f>
        <v>181.44</v>
      </c>
      <c r="BG13" s="16">
        <f>IF($D13="是",S13-T13,0)</f>
        <v>136.68</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2"/>
  <sheetViews>
    <sheetView topLeftCell="A171" workbookViewId="0">
      <selection activeCell="K7" sqref="K7:K332"/>
    </sheetView>
  </sheetViews>
  <sheetFormatPr defaultRowHeight="12"/>
  <cols>
    <col min="1" max="1" width="5.375" style="3066" bestFit="1" customWidth="1"/>
    <col min="2" max="2" width="8.75" style="3066" customWidth="1"/>
    <col min="3" max="3" width="13.375" style="3066" bestFit="1" customWidth="1"/>
    <col min="4" max="4" width="13.125" style="3066" customWidth="1"/>
    <col min="5" max="5" width="17.125" style="3066" bestFit="1" customWidth="1"/>
    <col min="6" max="6" width="9.5" style="3066" bestFit="1" customWidth="1"/>
    <col min="7" max="7" width="9" style="3066"/>
    <col min="8" max="8" width="5.25" style="3066" customWidth="1"/>
    <col min="9" max="9" width="14.125" style="3066" customWidth="1"/>
    <col min="10" max="10" width="6.75" style="3066" customWidth="1"/>
    <col min="11" max="11" width="29.25" style="3066" customWidth="1"/>
    <col min="12" max="12" width="9.125" style="3066" bestFit="1" customWidth="1"/>
    <col min="13" max="16384" width="9" style="3066"/>
  </cols>
  <sheetData>
    <row r="1" spans="1:15">
      <c r="A1" s="3061" t="s">
        <v>3068</v>
      </c>
      <c r="B1" s="3062" t="s">
        <v>3069</v>
      </c>
      <c r="C1" s="3062" t="s">
        <v>3070</v>
      </c>
      <c r="D1" s="3062" t="s">
        <v>3071</v>
      </c>
      <c r="E1" s="3062" t="s">
        <v>3072</v>
      </c>
      <c r="F1" s="3062" t="s">
        <v>3073</v>
      </c>
      <c r="G1" s="3071"/>
      <c r="H1" s="3065" t="s">
        <v>3085</v>
      </c>
      <c r="I1" s="3065" t="s">
        <v>3086</v>
      </c>
      <c r="J1" s="3065" t="s">
        <v>3087</v>
      </c>
      <c r="K1" s="3065" t="s">
        <v>3088</v>
      </c>
      <c r="L1" s="3069" t="s">
        <v>3578</v>
      </c>
      <c r="M1" s="3065" t="s">
        <v>3089</v>
      </c>
      <c r="N1" s="3065" t="s">
        <v>3090</v>
      </c>
    </row>
    <row r="2" spans="1:15" ht="12.75">
      <c r="A2" s="3063">
        <v>1</v>
      </c>
      <c r="B2" s="3063" t="s">
        <v>3074</v>
      </c>
      <c r="C2" s="3063" t="s">
        <v>3075</v>
      </c>
      <c r="D2" s="3062" t="s">
        <v>3217</v>
      </c>
      <c r="E2" s="3063" t="s">
        <v>3076</v>
      </c>
      <c r="F2" s="3062">
        <v>250.18</v>
      </c>
      <c r="G2" s="3071"/>
      <c r="H2" s="3067">
        <v>1</v>
      </c>
      <c r="I2" s="3065" t="s">
        <v>3342</v>
      </c>
      <c r="J2" s="3067">
        <v>1</v>
      </c>
      <c r="K2" s="3065" t="s">
        <v>3343</v>
      </c>
      <c r="L2" s="3068">
        <v>173.1</v>
      </c>
      <c r="M2" s="3065" t="s">
        <v>3344</v>
      </c>
      <c r="N2" s="3065" t="s">
        <v>3345</v>
      </c>
    </row>
    <row r="3" spans="1:15" ht="12.75">
      <c r="A3" s="3063">
        <v>2</v>
      </c>
      <c r="B3" s="3063" t="s">
        <v>3074</v>
      </c>
      <c r="C3" s="3063" t="s">
        <v>3075</v>
      </c>
      <c r="D3" s="3062" t="s">
        <v>3218</v>
      </c>
      <c r="E3" s="3063" t="s">
        <v>3076</v>
      </c>
      <c r="F3" s="3062">
        <v>182.09</v>
      </c>
      <c r="G3" s="3071"/>
      <c r="H3" s="3067">
        <v>2</v>
      </c>
      <c r="I3" s="3065" t="s">
        <v>3346</v>
      </c>
      <c r="J3" s="3067">
        <v>1</v>
      </c>
      <c r="K3" s="3065" t="s">
        <v>3343</v>
      </c>
      <c r="L3" s="3068">
        <v>600.25</v>
      </c>
      <c r="M3" s="3065" t="s">
        <v>3344</v>
      </c>
      <c r="N3" s="3065" t="s">
        <v>3345</v>
      </c>
    </row>
    <row r="4" spans="1:15" ht="12.75">
      <c r="A4" s="3063">
        <v>3</v>
      </c>
      <c r="B4" s="3063" t="s">
        <v>3077</v>
      </c>
      <c r="C4" s="3063" t="s">
        <v>3078</v>
      </c>
      <c r="D4" s="3062" t="s">
        <v>3219</v>
      </c>
      <c r="E4" s="3063" t="s">
        <v>3076</v>
      </c>
      <c r="F4" s="3062">
        <v>44.89</v>
      </c>
      <c r="G4" s="3071"/>
      <c r="H4" s="3067">
        <v>3</v>
      </c>
      <c r="I4" s="3065" t="s">
        <v>3347</v>
      </c>
      <c r="J4" s="3067">
        <v>1</v>
      </c>
      <c r="K4" s="3065" t="s">
        <v>3343</v>
      </c>
      <c r="L4" s="3068">
        <v>447.29</v>
      </c>
      <c r="M4" s="3065" t="s">
        <v>3344</v>
      </c>
      <c r="N4" s="3065" t="s">
        <v>3345</v>
      </c>
    </row>
    <row r="5" spans="1:15" ht="12.75">
      <c r="A5" s="3063">
        <v>4</v>
      </c>
      <c r="B5" s="3063" t="s">
        <v>3077</v>
      </c>
      <c r="C5" s="3063" t="s">
        <v>3078</v>
      </c>
      <c r="D5" s="3062" t="s">
        <v>3220</v>
      </c>
      <c r="E5" s="3063" t="s">
        <v>3076</v>
      </c>
      <c r="F5" s="3062">
        <v>99.85</v>
      </c>
      <c r="G5" s="3071"/>
      <c r="H5" s="3067">
        <v>4</v>
      </c>
      <c r="I5" s="3065" t="s">
        <v>3348</v>
      </c>
      <c r="J5" s="3067">
        <v>1</v>
      </c>
      <c r="K5" s="3065" t="s">
        <v>3343</v>
      </c>
      <c r="L5" s="3068">
        <v>803.61</v>
      </c>
      <c r="M5" s="3069" t="s">
        <v>3091</v>
      </c>
      <c r="N5" s="3065" t="s">
        <v>3345</v>
      </c>
    </row>
    <row r="6" spans="1:15" ht="12.75">
      <c r="A6" s="3063">
        <v>5</v>
      </c>
      <c r="B6" s="3063" t="s">
        <v>3077</v>
      </c>
      <c r="C6" s="3063" t="s">
        <v>3078</v>
      </c>
      <c r="D6" s="3062" t="s">
        <v>3221</v>
      </c>
      <c r="E6" s="3063" t="s">
        <v>3079</v>
      </c>
      <c r="F6" s="3062">
        <v>115.34</v>
      </c>
      <c r="G6" s="3071"/>
      <c r="H6" s="3067">
        <v>5</v>
      </c>
      <c r="I6" s="3065" t="s">
        <v>3349</v>
      </c>
      <c r="J6" s="3070">
        <v>-1</v>
      </c>
      <c r="K6" s="3065" t="s">
        <v>3350</v>
      </c>
      <c r="L6" s="3068">
        <v>5379.1</v>
      </c>
      <c r="M6" s="3065" t="s">
        <v>3344</v>
      </c>
      <c r="N6" s="3065" t="s">
        <v>3345</v>
      </c>
    </row>
    <row r="7" spans="1:15" ht="12.75">
      <c r="A7" s="3063">
        <v>6</v>
      </c>
      <c r="B7" s="3063" t="s">
        <v>3077</v>
      </c>
      <c r="C7" s="3063" t="s">
        <v>3078</v>
      </c>
      <c r="D7" s="3062" t="s">
        <v>3222</v>
      </c>
      <c r="E7" s="3063" t="s">
        <v>3076</v>
      </c>
      <c r="F7" s="3062">
        <v>338.58</v>
      </c>
      <c r="G7" s="3071"/>
      <c r="H7" s="3067">
        <v>15</v>
      </c>
      <c r="I7" s="3065" t="s">
        <v>3349</v>
      </c>
      <c r="J7" s="3070">
        <v>-3</v>
      </c>
      <c r="K7" s="3069" t="s">
        <v>3094</v>
      </c>
      <c r="L7" s="3068">
        <v>31.77</v>
      </c>
      <c r="M7" s="3065" t="s">
        <v>3351</v>
      </c>
      <c r="N7" s="3065" t="s">
        <v>3345</v>
      </c>
      <c r="O7" s="3066">
        <v>3743.87</v>
      </c>
    </row>
    <row r="8" spans="1:15" ht="12.75">
      <c r="A8" s="3063">
        <v>7</v>
      </c>
      <c r="B8" s="3063" t="s">
        <v>3077</v>
      </c>
      <c r="C8" s="3063" t="s">
        <v>3078</v>
      </c>
      <c r="D8" s="3062" t="s">
        <v>3223</v>
      </c>
      <c r="E8" s="3063" t="s">
        <v>3080</v>
      </c>
      <c r="F8" s="3062">
        <v>551.91999999999996</v>
      </c>
      <c r="G8" s="3071"/>
      <c r="H8" s="3067">
        <v>16</v>
      </c>
      <c r="I8" s="3065" t="s">
        <v>3349</v>
      </c>
      <c r="J8" s="3070">
        <v>-3</v>
      </c>
      <c r="K8" s="3069" t="s">
        <v>3272</v>
      </c>
      <c r="L8" s="3068">
        <v>31.77</v>
      </c>
      <c r="M8" s="3065" t="s">
        <v>3351</v>
      </c>
      <c r="N8" s="3065" t="s">
        <v>3345</v>
      </c>
      <c r="O8" s="3066">
        <f>O7-3703.39</f>
        <v>40.480000000000018</v>
      </c>
    </row>
    <row r="9" spans="1:15" ht="12.75">
      <c r="A9" s="3063">
        <v>8</v>
      </c>
      <c r="B9" s="3063" t="s">
        <v>3077</v>
      </c>
      <c r="C9" s="3063" t="s">
        <v>3078</v>
      </c>
      <c r="D9" s="3062" t="s">
        <v>3224</v>
      </c>
      <c r="E9" s="3063" t="s">
        <v>3080</v>
      </c>
      <c r="F9" s="3062">
        <v>719.18</v>
      </c>
      <c r="G9" s="3071"/>
      <c r="H9" s="3067">
        <v>17</v>
      </c>
      <c r="I9" s="3065" t="s">
        <v>3349</v>
      </c>
      <c r="J9" s="3070">
        <v>-3</v>
      </c>
      <c r="K9" s="3069" t="s">
        <v>3273</v>
      </c>
      <c r="L9" s="3068">
        <v>31.77</v>
      </c>
      <c r="M9" s="3065" t="s">
        <v>3351</v>
      </c>
      <c r="N9" s="3065" t="s">
        <v>3345</v>
      </c>
    </row>
    <row r="10" spans="1:15" ht="12.75">
      <c r="A10" s="3063">
        <v>9</v>
      </c>
      <c r="B10" s="3063" t="s">
        <v>3077</v>
      </c>
      <c r="C10" s="3063" t="s">
        <v>3078</v>
      </c>
      <c r="D10" s="3062" t="s">
        <v>3225</v>
      </c>
      <c r="E10" s="3063" t="s">
        <v>3080</v>
      </c>
      <c r="F10" s="3062">
        <v>741.07</v>
      </c>
      <c r="G10" s="3071"/>
      <c r="H10" s="3067">
        <v>18</v>
      </c>
      <c r="I10" s="3065" t="s">
        <v>3349</v>
      </c>
      <c r="J10" s="3070">
        <v>-3</v>
      </c>
      <c r="K10" s="3069" t="s">
        <v>3093</v>
      </c>
      <c r="L10" s="3068">
        <v>31.77</v>
      </c>
      <c r="M10" s="3065" t="s">
        <v>3351</v>
      </c>
      <c r="N10" s="3065" t="s">
        <v>3345</v>
      </c>
    </row>
    <row r="11" spans="1:15" ht="12.75">
      <c r="A11" s="3063">
        <v>10</v>
      </c>
      <c r="B11" s="3063" t="s">
        <v>3077</v>
      </c>
      <c r="C11" s="3063" t="s">
        <v>3078</v>
      </c>
      <c r="D11" s="3062" t="s">
        <v>3226</v>
      </c>
      <c r="E11" s="3063" t="s">
        <v>3081</v>
      </c>
      <c r="F11" s="3062">
        <v>1161.2</v>
      </c>
      <c r="G11" s="3071"/>
      <c r="H11" s="3067">
        <v>19</v>
      </c>
      <c r="I11" s="3065" t="s">
        <v>3349</v>
      </c>
      <c r="J11" s="3070">
        <v>-3</v>
      </c>
      <c r="K11" s="3069" t="s">
        <v>3274</v>
      </c>
      <c r="L11" s="3068">
        <v>31.77</v>
      </c>
      <c r="M11" s="3065" t="s">
        <v>3351</v>
      </c>
      <c r="N11" s="3065" t="s">
        <v>3345</v>
      </c>
    </row>
    <row r="12" spans="1:15" ht="12.75">
      <c r="A12" s="3063">
        <v>11</v>
      </c>
      <c r="B12" s="3063" t="s">
        <v>3077</v>
      </c>
      <c r="C12" s="3063" t="s">
        <v>3078</v>
      </c>
      <c r="D12" s="3062" t="s">
        <v>3227</v>
      </c>
      <c r="E12" s="3063" t="s">
        <v>3081</v>
      </c>
      <c r="F12" s="3062">
        <v>335.86</v>
      </c>
      <c r="G12" s="3071"/>
      <c r="H12" s="3067">
        <v>20</v>
      </c>
      <c r="I12" s="3065" t="s">
        <v>3349</v>
      </c>
      <c r="J12" s="3070">
        <v>-3</v>
      </c>
      <c r="K12" s="3069" t="s">
        <v>3092</v>
      </c>
      <c r="L12" s="3068">
        <v>45.38</v>
      </c>
      <c r="M12" s="3065" t="s">
        <v>3351</v>
      </c>
      <c r="N12" s="3065" t="s">
        <v>3345</v>
      </c>
    </row>
    <row r="13" spans="1:15" ht="12.75">
      <c r="A13" s="3063">
        <v>12</v>
      </c>
      <c r="B13" s="3063" t="s">
        <v>3077</v>
      </c>
      <c r="C13" s="3063" t="s">
        <v>3078</v>
      </c>
      <c r="D13" s="3062" t="s">
        <v>3228</v>
      </c>
      <c r="E13" s="3063" t="s">
        <v>3081</v>
      </c>
      <c r="F13" s="3062">
        <v>1700.16</v>
      </c>
      <c r="G13" s="3071"/>
      <c r="H13" s="3067">
        <v>21</v>
      </c>
      <c r="I13" s="3065" t="s">
        <v>3349</v>
      </c>
      <c r="J13" s="3070">
        <v>-3</v>
      </c>
      <c r="K13" s="3069" t="s">
        <v>3275</v>
      </c>
      <c r="L13" s="3068">
        <v>45.38</v>
      </c>
      <c r="M13" s="3065" t="s">
        <v>3351</v>
      </c>
      <c r="N13" s="3065" t="s">
        <v>3345</v>
      </c>
    </row>
    <row r="14" spans="1:15" ht="12.75">
      <c r="A14" s="3063">
        <v>13</v>
      </c>
      <c r="B14" s="3063" t="s">
        <v>3077</v>
      </c>
      <c r="C14" s="3063" t="s">
        <v>3078</v>
      </c>
      <c r="D14" s="3062" t="s">
        <v>3229</v>
      </c>
      <c r="E14" s="3063" t="s">
        <v>3081</v>
      </c>
      <c r="F14" s="3062">
        <v>351.7</v>
      </c>
      <c r="G14" s="3071"/>
      <c r="H14" s="3067">
        <v>22</v>
      </c>
      <c r="I14" s="3065" t="s">
        <v>3349</v>
      </c>
      <c r="J14" s="3070">
        <v>-3</v>
      </c>
      <c r="K14" s="3069" t="s">
        <v>3276</v>
      </c>
      <c r="L14" s="3068">
        <v>45.38</v>
      </c>
      <c r="M14" s="3065" t="s">
        <v>3351</v>
      </c>
      <c r="N14" s="3065" t="s">
        <v>3345</v>
      </c>
    </row>
    <row r="15" spans="1:15" ht="12.75">
      <c r="A15" s="3063">
        <v>14</v>
      </c>
      <c r="B15" s="3063" t="s">
        <v>3077</v>
      </c>
      <c r="C15" s="3063" t="s">
        <v>3078</v>
      </c>
      <c r="D15" s="3062" t="s">
        <v>3230</v>
      </c>
      <c r="E15" s="3063" t="s">
        <v>3081</v>
      </c>
      <c r="F15" s="3062">
        <v>308.12</v>
      </c>
      <c r="G15" s="3071"/>
      <c r="H15" s="3067">
        <v>23</v>
      </c>
      <c r="I15" s="3065" t="s">
        <v>3349</v>
      </c>
      <c r="J15" s="3070">
        <v>-3</v>
      </c>
      <c r="K15" s="3069" t="s">
        <v>3231</v>
      </c>
      <c r="L15" s="3068">
        <v>68.069999999999993</v>
      </c>
      <c r="M15" s="3065" t="s">
        <v>3351</v>
      </c>
      <c r="N15" s="3065" t="s">
        <v>3345</v>
      </c>
    </row>
    <row r="16" spans="1:15" ht="12.75">
      <c r="A16" s="3063">
        <v>15</v>
      </c>
      <c r="B16" s="3063" t="s">
        <v>3077</v>
      </c>
      <c r="C16" s="3063" t="s">
        <v>3078</v>
      </c>
      <c r="D16" s="3062" t="s">
        <v>3232</v>
      </c>
      <c r="E16" s="3063" t="s">
        <v>3081</v>
      </c>
      <c r="F16" s="3062">
        <v>401.49</v>
      </c>
      <c r="G16" s="3071"/>
      <c r="H16" s="3067">
        <v>24</v>
      </c>
      <c r="I16" s="3065" t="s">
        <v>3349</v>
      </c>
      <c r="J16" s="3070">
        <v>-3</v>
      </c>
      <c r="K16" s="3069" t="s">
        <v>3233</v>
      </c>
      <c r="L16" s="3068">
        <v>68.069999999999993</v>
      </c>
      <c r="M16" s="3065" t="s">
        <v>3351</v>
      </c>
      <c r="N16" s="3065" t="s">
        <v>3345</v>
      </c>
    </row>
    <row r="17" spans="1:14" ht="12.75">
      <c r="A17" s="3063">
        <v>16</v>
      </c>
      <c r="B17" s="3063" t="s">
        <v>3077</v>
      </c>
      <c r="C17" s="3063" t="s">
        <v>3078</v>
      </c>
      <c r="D17" s="3062" t="s">
        <v>3234</v>
      </c>
      <c r="E17" s="3063" t="s">
        <v>3081</v>
      </c>
      <c r="F17" s="3062">
        <v>338.04</v>
      </c>
      <c r="G17" s="3071"/>
      <c r="H17" s="3067">
        <v>25</v>
      </c>
      <c r="I17" s="3065" t="s">
        <v>3349</v>
      </c>
      <c r="J17" s="3070">
        <v>-3</v>
      </c>
      <c r="K17" s="3069" t="s">
        <v>3235</v>
      </c>
      <c r="L17" s="3068">
        <v>68.069999999999993</v>
      </c>
      <c r="M17" s="3065" t="s">
        <v>3351</v>
      </c>
      <c r="N17" s="3065" t="s">
        <v>3345</v>
      </c>
    </row>
    <row r="18" spans="1:14" ht="12.75">
      <c r="A18" s="3063">
        <v>17</v>
      </c>
      <c r="B18" s="3063" t="s">
        <v>3077</v>
      </c>
      <c r="C18" s="3063" t="s">
        <v>3078</v>
      </c>
      <c r="D18" s="3062" t="s">
        <v>3236</v>
      </c>
      <c r="E18" s="3063" t="s">
        <v>3081</v>
      </c>
      <c r="F18" s="3062">
        <v>325.04000000000002</v>
      </c>
      <c r="G18" s="3071"/>
      <c r="H18" s="3067">
        <v>26</v>
      </c>
      <c r="I18" s="3065" t="s">
        <v>3349</v>
      </c>
      <c r="J18" s="3070">
        <v>-3</v>
      </c>
      <c r="K18" s="3069" t="s">
        <v>3237</v>
      </c>
      <c r="L18" s="3068">
        <v>68.069999999999993</v>
      </c>
      <c r="M18" s="3065" t="s">
        <v>3351</v>
      </c>
      <c r="N18" s="3065" t="s">
        <v>3345</v>
      </c>
    </row>
    <row r="19" spans="1:14" ht="12.75">
      <c r="A19" s="3063">
        <v>18</v>
      </c>
      <c r="B19" s="3063" t="s">
        <v>3077</v>
      </c>
      <c r="C19" s="3063" t="s">
        <v>3078</v>
      </c>
      <c r="D19" s="3062" t="s">
        <v>3238</v>
      </c>
      <c r="E19" s="3063" t="s">
        <v>3081</v>
      </c>
      <c r="F19" s="3062">
        <v>399.89</v>
      </c>
      <c r="G19" s="3071"/>
      <c r="H19" s="3067">
        <v>27</v>
      </c>
      <c r="I19" s="3065" t="s">
        <v>3349</v>
      </c>
      <c r="J19" s="3070">
        <v>-3</v>
      </c>
      <c r="K19" s="3069" t="s">
        <v>3239</v>
      </c>
      <c r="L19" s="3068">
        <v>68.069999999999993</v>
      </c>
      <c r="M19" s="3065" t="s">
        <v>3351</v>
      </c>
      <c r="N19" s="3065" t="s">
        <v>3345</v>
      </c>
    </row>
    <row r="20" spans="1:14" ht="12.75">
      <c r="A20" s="3063">
        <v>19</v>
      </c>
      <c r="B20" s="3063" t="s">
        <v>3077</v>
      </c>
      <c r="C20" s="3063" t="s">
        <v>3078</v>
      </c>
      <c r="D20" s="3062" t="s">
        <v>3240</v>
      </c>
      <c r="E20" s="3063" t="s">
        <v>3081</v>
      </c>
      <c r="F20" s="3062">
        <v>308.51</v>
      </c>
      <c r="G20" s="3071"/>
      <c r="H20" s="3067">
        <v>28</v>
      </c>
      <c r="I20" s="3065" t="s">
        <v>3349</v>
      </c>
      <c r="J20" s="3070">
        <v>-3</v>
      </c>
      <c r="K20" s="3069" t="s">
        <v>3241</v>
      </c>
      <c r="L20" s="3068">
        <v>68.069999999999993</v>
      </c>
      <c r="M20" s="3065" t="s">
        <v>3351</v>
      </c>
      <c r="N20" s="3065" t="s">
        <v>3345</v>
      </c>
    </row>
    <row r="21" spans="1:14" ht="12.75">
      <c r="A21" s="3063">
        <v>20</v>
      </c>
      <c r="B21" s="3063" t="s">
        <v>3077</v>
      </c>
      <c r="C21" s="3063" t="s">
        <v>3078</v>
      </c>
      <c r="D21" s="3062" t="s">
        <v>3242</v>
      </c>
      <c r="E21" s="3063" t="s">
        <v>3081</v>
      </c>
      <c r="F21" s="3062">
        <v>350.13</v>
      </c>
      <c r="G21" s="3071"/>
      <c r="H21" s="3067">
        <v>29</v>
      </c>
      <c r="I21" s="3065" t="s">
        <v>3349</v>
      </c>
      <c r="J21" s="3070">
        <v>-3</v>
      </c>
      <c r="K21" s="3069" t="s">
        <v>3095</v>
      </c>
      <c r="L21" s="3068">
        <v>45.38</v>
      </c>
      <c r="M21" s="3065" t="s">
        <v>3351</v>
      </c>
      <c r="N21" s="3065" t="s">
        <v>3345</v>
      </c>
    </row>
    <row r="22" spans="1:14" ht="12.75">
      <c r="A22" s="3063">
        <v>21</v>
      </c>
      <c r="B22" s="3063" t="s">
        <v>3077</v>
      </c>
      <c r="C22" s="3063" t="s">
        <v>3078</v>
      </c>
      <c r="D22" s="3062" t="s">
        <v>3243</v>
      </c>
      <c r="E22" s="3063" t="s">
        <v>3081</v>
      </c>
      <c r="F22" s="3062">
        <v>316.38</v>
      </c>
      <c r="G22" s="3071"/>
      <c r="H22" s="3067">
        <v>30</v>
      </c>
      <c r="I22" s="3065" t="s">
        <v>3349</v>
      </c>
      <c r="J22" s="3070">
        <v>-3</v>
      </c>
      <c r="K22" s="3069" t="s">
        <v>3277</v>
      </c>
      <c r="L22" s="3068">
        <v>45.38</v>
      </c>
      <c r="M22" s="3065" t="s">
        <v>3351</v>
      </c>
      <c r="N22" s="3065" t="s">
        <v>3345</v>
      </c>
    </row>
    <row r="23" spans="1:14" ht="12.75">
      <c r="A23" s="3063">
        <v>22</v>
      </c>
      <c r="B23" s="3063" t="s">
        <v>3077</v>
      </c>
      <c r="C23" s="3063" t="s">
        <v>3078</v>
      </c>
      <c r="D23" s="3062" t="s">
        <v>3244</v>
      </c>
      <c r="E23" s="3063" t="s">
        <v>3081</v>
      </c>
      <c r="F23" s="3062">
        <v>316.38</v>
      </c>
      <c r="G23" s="3071"/>
      <c r="H23" s="3067">
        <v>31</v>
      </c>
      <c r="I23" s="3065" t="s">
        <v>3349</v>
      </c>
      <c r="J23" s="3070">
        <v>-3</v>
      </c>
      <c r="K23" s="3069" t="s">
        <v>3278</v>
      </c>
      <c r="L23" s="3068">
        <v>45.38</v>
      </c>
      <c r="M23" s="3065" t="s">
        <v>3351</v>
      </c>
      <c r="N23" s="3065" t="s">
        <v>3345</v>
      </c>
    </row>
    <row r="24" spans="1:14" ht="12.75">
      <c r="A24" s="3063">
        <v>23</v>
      </c>
      <c r="B24" s="3063" t="s">
        <v>3077</v>
      </c>
      <c r="C24" s="3063" t="s">
        <v>3078</v>
      </c>
      <c r="D24" s="3062" t="s">
        <v>3245</v>
      </c>
      <c r="E24" s="3063" t="s">
        <v>3081</v>
      </c>
      <c r="F24" s="3062">
        <v>351.7</v>
      </c>
      <c r="G24" s="3071"/>
      <c r="H24" s="3067">
        <v>32</v>
      </c>
      <c r="I24" s="3065" t="s">
        <v>3349</v>
      </c>
      <c r="J24" s="3070">
        <v>-3</v>
      </c>
      <c r="K24" s="3069" t="s">
        <v>3096</v>
      </c>
      <c r="L24" s="3068">
        <v>45.38</v>
      </c>
      <c r="M24" s="3065" t="s">
        <v>3351</v>
      </c>
      <c r="N24" s="3065" t="s">
        <v>3345</v>
      </c>
    </row>
    <row r="25" spans="1:14" ht="12.75">
      <c r="A25" s="3063">
        <v>24</v>
      </c>
      <c r="B25" s="3063" t="s">
        <v>3077</v>
      </c>
      <c r="C25" s="3063" t="s">
        <v>3078</v>
      </c>
      <c r="D25" s="3062" t="s">
        <v>3246</v>
      </c>
      <c r="E25" s="3063" t="s">
        <v>3081</v>
      </c>
      <c r="F25" s="3062">
        <v>308.12</v>
      </c>
      <c r="G25" s="3071"/>
      <c r="H25" s="3067">
        <v>33</v>
      </c>
      <c r="I25" s="3065" t="s">
        <v>3349</v>
      </c>
      <c r="J25" s="3070">
        <v>-3</v>
      </c>
      <c r="K25" s="3069" t="s">
        <v>3279</v>
      </c>
      <c r="L25" s="3068">
        <v>45.38</v>
      </c>
      <c r="M25" s="3065" t="s">
        <v>3351</v>
      </c>
      <c r="N25" s="3065" t="s">
        <v>3345</v>
      </c>
    </row>
    <row r="26" spans="1:14" ht="12.75">
      <c r="A26" s="3063">
        <v>25</v>
      </c>
      <c r="B26" s="3063" t="s">
        <v>3077</v>
      </c>
      <c r="C26" s="3063" t="s">
        <v>3078</v>
      </c>
      <c r="D26" s="3062" t="s">
        <v>3247</v>
      </c>
      <c r="E26" s="3063" t="s">
        <v>3081</v>
      </c>
      <c r="F26" s="3062">
        <v>401.49</v>
      </c>
      <c r="G26" s="3071"/>
      <c r="H26" s="3067">
        <v>34</v>
      </c>
      <c r="I26" s="3065" t="s">
        <v>3349</v>
      </c>
      <c r="J26" s="3070">
        <v>-3</v>
      </c>
      <c r="K26" s="3069" t="s">
        <v>3280</v>
      </c>
      <c r="L26" s="3068">
        <v>45.38</v>
      </c>
      <c r="M26" s="3065" t="s">
        <v>3351</v>
      </c>
      <c r="N26" s="3065" t="s">
        <v>3345</v>
      </c>
    </row>
    <row r="27" spans="1:14" ht="12.75">
      <c r="A27" s="3063">
        <v>26</v>
      </c>
      <c r="B27" s="3063" t="s">
        <v>3077</v>
      </c>
      <c r="C27" s="3063" t="s">
        <v>3078</v>
      </c>
      <c r="D27" s="3062" t="s">
        <v>3097</v>
      </c>
      <c r="E27" s="3063" t="s">
        <v>3081</v>
      </c>
      <c r="F27" s="3062">
        <v>338.04</v>
      </c>
      <c r="G27" s="3071"/>
      <c r="H27" s="3067">
        <v>35</v>
      </c>
      <c r="I27" s="3065" t="s">
        <v>3349</v>
      </c>
      <c r="J27" s="3070">
        <v>-3</v>
      </c>
      <c r="K27" s="3069" t="s">
        <v>3281</v>
      </c>
      <c r="L27" s="3068">
        <v>45.38</v>
      </c>
      <c r="M27" s="3065" t="s">
        <v>3351</v>
      </c>
      <c r="N27" s="3065" t="s">
        <v>3345</v>
      </c>
    </row>
    <row r="28" spans="1:14" ht="12.75">
      <c r="A28" s="3063">
        <v>27</v>
      </c>
      <c r="B28" s="3063" t="s">
        <v>3077</v>
      </c>
      <c r="C28" s="3063" t="s">
        <v>3078</v>
      </c>
      <c r="D28" s="3062" t="s">
        <v>3098</v>
      </c>
      <c r="E28" s="3063" t="s">
        <v>3081</v>
      </c>
      <c r="F28" s="3062">
        <v>325.04000000000002</v>
      </c>
      <c r="G28" s="3071"/>
      <c r="H28" s="3067">
        <v>36</v>
      </c>
      <c r="I28" s="3065" t="s">
        <v>3349</v>
      </c>
      <c r="J28" s="3070">
        <v>-3</v>
      </c>
      <c r="K28" s="3069" t="s">
        <v>3282</v>
      </c>
      <c r="L28" s="3068">
        <v>45.38</v>
      </c>
      <c r="M28" s="3065" t="s">
        <v>3351</v>
      </c>
      <c r="N28" s="3065" t="s">
        <v>3345</v>
      </c>
    </row>
    <row r="29" spans="1:14" ht="12.75">
      <c r="A29" s="3063">
        <v>28</v>
      </c>
      <c r="B29" s="3063" t="s">
        <v>3077</v>
      </c>
      <c r="C29" s="3063" t="s">
        <v>3078</v>
      </c>
      <c r="D29" s="3062" t="s">
        <v>3099</v>
      </c>
      <c r="E29" s="3063" t="s">
        <v>3081</v>
      </c>
      <c r="F29" s="3062">
        <v>399.89</v>
      </c>
      <c r="G29" s="3071"/>
      <c r="H29" s="3067">
        <v>37</v>
      </c>
      <c r="I29" s="3065" t="s">
        <v>3349</v>
      </c>
      <c r="J29" s="3070">
        <v>-3</v>
      </c>
      <c r="K29" s="3065" t="s">
        <v>3100</v>
      </c>
      <c r="L29" s="3068">
        <v>45.38</v>
      </c>
      <c r="M29" s="3065" t="s">
        <v>3351</v>
      </c>
      <c r="N29" s="3065" t="s">
        <v>3345</v>
      </c>
    </row>
    <row r="30" spans="1:14" ht="12.75">
      <c r="A30" s="3063">
        <v>29</v>
      </c>
      <c r="B30" s="3063" t="s">
        <v>3077</v>
      </c>
      <c r="C30" s="3063" t="s">
        <v>3078</v>
      </c>
      <c r="D30" s="3062" t="s">
        <v>3101</v>
      </c>
      <c r="E30" s="3063" t="s">
        <v>3081</v>
      </c>
      <c r="F30" s="3062">
        <v>308.51</v>
      </c>
      <c r="G30" s="3071"/>
      <c r="H30" s="3067">
        <v>38</v>
      </c>
      <c r="I30" s="3065" t="s">
        <v>3349</v>
      </c>
      <c r="J30" s="3070">
        <v>-3</v>
      </c>
      <c r="K30" s="3069" t="s">
        <v>3283</v>
      </c>
      <c r="L30" s="3068">
        <v>45.38</v>
      </c>
      <c r="M30" s="3065" t="s">
        <v>3351</v>
      </c>
      <c r="N30" s="3065" t="s">
        <v>3345</v>
      </c>
    </row>
    <row r="31" spans="1:14" ht="12.75">
      <c r="A31" s="3063">
        <v>30</v>
      </c>
      <c r="B31" s="3063" t="s">
        <v>3077</v>
      </c>
      <c r="C31" s="3063" t="s">
        <v>3078</v>
      </c>
      <c r="D31" s="3062" t="s">
        <v>3102</v>
      </c>
      <c r="E31" s="3063" t="s">
        <v>3081</v>
      </c>
      <c r="F31" s="3062">
        <v>350.13</v>
      </c>
      <c r="G31" s="3071"/>
      <c r="H31" s="3067">
        <v>39</v>
      </c>
      <c r="I31" s="3065" t="s">
        <v>3349</v>
      </c>
      <c r="J31" s="3070">
        <v>-3</v>
      </c>
      <c r="K31" s="3069" t="s">
        <v>3284</v>
      </c>
      <c r="L31" s="3068">
        <v>45.38</v>
      </c>
      <c r="M31" s="3065" t="s">
        <v>3351</v>
      </c>
      <c r="N31" s="3065" t="s">
        <v>3345</v>
      </c>
    </row>
    <row r="32" spans="1:14" ht="12.75">
      <c r="A32" s="3063">
        <v>31</v>
      </c>
      <c r="B32" s="3063" t="s">
        <v>3077</v>
      </c>
      <c r="C32" s="3063" t="s">
        <v>3078</v>
      </c>
      <c r="D32" s="3062" t="s">
        <v>3103</v>
      </c>
      <c r="E32" s="3063" t="s">
        <v>3081</v>
      </c>
      <c r="F32" s="3062">
        <v>316.38</v>
      </c>
      <c r="G32" s="3071"/>
      <c r="H32" s="3067">
        <v>40</v>
      </c>
      <c r="I32" s="3065" t="s">
        <v>3349</v>
      </c>
      <c r="J32" s="3070">
        <v>-3</v>
      </c>
      <c r="K32" s="3065" t="s">
        <v>3104</v>
      </c>
      <c r="L32" s="3068">
        <v>45.38</v>
      </c>
      <c r="M32" s="3065" t="s">
        <v>3351</v>
      </c>
      <c r="N32" s="3065" t="s">
        <v>3345</v>
      </c>
    </row>
    <row r="33" spans="1:14" ht="12.75">
      <c r="A33" s="3063">
        <v>32</v>
      </c>
      <c r="B33" s="3063" t="s">
        <v>3077</v>
      </c>
      <c r="C33" s="3063" t="s">
        <v>3078</v>
      </c>
      <c r="D33" s="3062" t="s">
        <v>3105</v>
      </c>
      <c r="E33" s="3063" t="s">
        <v>3082</v>
      </c>
      <c r="F33" s="3062">
        <v>316.38</v>
      </c>
      <c r="G33" s="3071"/>
      <c r="H33" s="3067">
        <v>41</v>
      </c>
      <c r="I33" s="3065" t="s">
        <v>3349</v>
      </c>
      <c r="J33" s="3070">
        <v>-3</v>
      </c>
      <c r="K33" s="3069" t="s">
        <v>3285</v>
      </c>
      <c r="L33" s="3068">
        <v>45.38</v>
      </c>
      <c r="M33" s="3065" t="s">
        <v>3351</v>
      </c>
      <c r="N33" s="3065" t="s">
        <v>3345</v>
      </c>
    </row>
    <row r="34" spans="1:14" ht="12.75">
      <c r="A34" s="3063">
        <v>33</v>
      </c>
      <c r="B34" s="3063" t="s">
        <v>3077</v>
      </c>
      <c r="C34" s="3063" t="s">
        <v>3078</v>
      </c>
      <c r="D34" s="3062" t="s">
        <v>3106</v>
      </c>
      <c r="E34" s="3063" t="s">
        <v>3082</v>
      </c>
      <c r="F34" s="3062">
        <v>351.7</v>
      </c>
      <c r="G34" s="3071"/>
      <c r="H34" s="3067">
        <v>42</v>
      </c>
      <c r="I34" s="3065" t="s">
        <v>3349</v>
      </c>
      <c r="J34" s="3070">
        <v>-3</v>
      </c>
      <c r="K34" s="3069" t="s">
        <v>3286</v>
      </c>
      <c r="L34" s="3068">
        <v>45.38</v>
      </c>
      <c r="M34" s="3065" t="s">
        <v>3351</v>
      </c>
      <c r="N34" s="3065" t="s">
        <v>3345</v>
      </c>
    </row>
    <row r="35" spans="1:14" ht="12.75">
      <c r="A35" s="3063">
        <v>34</v>
      </c>
      <c r="B35" s="3063" t="s">
        <v>3077</v>
      </c>
      <c r="C35" s="3063" t="s">
        <v>3078</v>
      </c>
      <c r="D35" s="3062" t="s">
        <v>3107</v>
      </c>
      <c r="E35" s="3063" t="s">
        <v>3082</v>
      </c>
      <c r="F35" s="3062">
        <v>308.12</v>
      </c>
      <c r="G35" s="3071"/>
      <c r="H35" s="3067">
        <v>43</v>
      </c>
      <c r="I35" s="3065" t="s">
        <v>3349</v>
      </c>
      <c r="J35" s="3070">
        <v>-3</v>
      </c>
      <c r="K35" s="3069" t="s">
        <v>3287</v>
      </c>
      <c r="L35" s="3068">
        <v>45.38</v>
      </c>
      <c r="M35" s="3065" t="s">
        <v>3351</v>
      </c>
      <c r="N35" s="3065" t="s">
        <v>3345</v>
      </c>
    </row>
    <row r="36" spans="1:14" ht="12.75">
      <c r="A36" s="3063">
        <v>35</v>
      </c>
      <c r="B36" s="3063" t="s">
        <v>3077</v>
      </c>
      <c r="C36" s="3063" t="s">
        <v>3078</v>
      </c>
      <c r="D36" s="3062" t="s">
        <v>3108</v>
      </c>
      <c r="E36" s="3063" t="s">
        <v>3082</v>
      </c>
      <c r="F36" s="3062">
        <v>401.49</v>
      </c>
      <c r="G36" s="3071"/>
      <c r="H36" s="3067">
        <v>44</v>
      </c>
      <c r="I36" s="3065" t="s">
        <v>3349</v>
      </c>
      <c r="J36" s="3070">
        <v>-3</v>
      </c>
      <c r="K36" s="3069" t="s">
        <v>3288</v>
      </c>
      <c r="L36" s="3068">
        <v>45.38</v>
      </c>
      <c r="M36" s="3065" t="s">
        <v>3351</v>
      </c>
      <c r="N36" s="3065" t="s">
        <v>3345</v>
      </c>
    </row>
    <row r="37" spans="1:14" ht="12.75">
      <c r="A37" s="3063">
        <v>36</v>
      </c>
      <c r="B37" s="3063" t="s">
        <v>3077</v>
      </c>
      <c r="C37" s="3063" t="s">
        <v>3078</v>
      </c>
      <c r="D37" s="3062" t="s">
        <v>3109</v>
      </c>
      <c r="E37" s="3063" t="s">
        <v>3082</v>
      </c>
      <c r="F37" s="3062">
        <v>338.04</v>
      </c>
      <c r="G37" s="3071"/>
      <c r="H37" s="3067">
        <v>45</v>
      </c>
      <c r="I37" s="3065" t="s">
        <v>3349</v>
      </c>
      <c r="J37" s="3070">
        <v>-3</v>
      </c>
      <c r="K37" s="3065" t="s">
        <v>3110</v>
      </c>
      <c r="L37" s="3068">
        <v>45.38</v>
      </c>
      <c r="M37" s="3065" t="s">
        <v>3351</v>
      </c>
      <c r="N37" s="3065" t="s">
        <v>3345</v>
      </c>
    </row>
    <row r="38" spans="1:14" ht="12.75">
      <c r="A38" s="3063">
        <v>37</v>
      </c>
      <c r="B38" s="3063" t="s">
        <v>3077</v>
      </c>
      <c r="C38" s="3063" t="s">
        <v>3078</v>
      </c>
      <c r="D38" s="3062" t="s">
        <v>3111</v>
      </c>
      <c r="E38" s="3063" t="s">
        <v>3082</v>
      </c>
      <c r="F38" s="3062">
        <v>325.04000000000002</v>
      </c>
      <c r="G38" s="3071"/>
      <c r="H38" s="3067">
        <v>46</v>
      </c>
      <c r="I38" s="3065" t="s">
        <v>3349</v>
      </c>
      <c r="J38" s="3070">
        <v>-3</v>
      </c>
      <c r="K38" s="3069" t="s">
        <v>3289</v>
      </c>
      <c r="L38" s="3068">
        <v>45.38</v>
      </c>
      <c r="M38" s="3065" t="s">
        <v>3351</v>
      </c>
      <c r="N38" s="3065" t="s">
        <v>3345</v>
      </c>
    </row>
    <row r="39" spans="1:14" ht="12.75">
      <c r="A39" s="3063">
        <v>38</v>
      </c>
      <c r="B39" s="3063" t="s">
        <v>3077</v>
      </c>
      <c r="C39" s="3063" t="s">
        <v>3078</v>
      </c>
      <c r="D39" s="3062" t="s">
        <v>3112</v>
      </c>
      <c r="E39" s="3063" t="s">
        <v>3082</v>
      </c>
      <c r="F39" s="3062">
        <v>399.89</v>
      </c>
      <c r="G39" s="3071"/>
      <c r="H39" s="3067">
        <v>47</v>
      </c>
      <c r="I39" s="3065" t="s">
        <v>3349</v>
      </c>
      <c r="J39" s="3070">
        <v>-3</v>
      </c>
      <c r="K39" s="3069" t="s">
        <v>3290</v>
      </c>
      <c r="L39" s="3068">
        <v>45.38</v>
      </c>
      <c r="M39" s="3065" t="s">
        <v>3351</v>
      </c>
      <c r="N39" s="3065" t="s">
        <v>3345</v>
      </c>
    </row>
    <row r="40" spans="1:14" ht="12.75">
      <c r="A40" s="3063">
        <v>39</v>
      </c>
      <c r="B40" s="3063" t="s">
        <v>3077</v>
      </c>
      <c r="C40" s="3063" t="s">
        <v>3078</v>
      </c>
      <c r="D40" s="3062" t="s">
        <v>3113</v>
      </c>
      <c r="E40" s="3063" t="s">
        <v>3082</v>
      </c>
      <c r="F40" s="3062">
        <v>308.51</v>
      </c>
      <c r="G40" s="3071"/>
      <c r="H40" s="3067">
        <v>48</v>
      </c>
      <c r="I40" s="3065" t="s">
        <v>3349</v>
      </c>
      <c r="J40" s="3070">
        <v>-3</v>
      </c>
      <c r="K40" s="3065" t="s">
        <v>3114</v>
      </c>
      <c r="L40" s="3068">
        <v>45.38</v>
      </c>
      <c r="M40" s="3065" t="s">
        <v>3351</v>
      </c>
      <c r="N40" s="3065" t="s">
        <v>3345</v>
      </c>
    </row>
    <row r="41" spans="1:14" ht="12.75">
      <c r="A41" s="3063">
        <v>40</v>
      </c>
      <c r="B41" s="3063" t="s">
        <v>3077</v>
      </c>
      <c r="C41" s="3063" t="s">
        <v>3078</v>
      </c>
      <c r="D41" s="3062" t="s">
        <v>3115</v>
      </c>
      <c r="E41" s="3063" t="s">
        <v>3082</v>
      </c>
      <c r="F41" s="3062">
        <v>350.13</v>
      </c>
      <c r="G41" s="3071"/>
      <c r="H41" s="3067">
        <v>49</v>
      </c>
      <c r="I41" s="3065" t="s">
        <v>3349</v>
      </c>
      <c r="J41" s="3070">
        <v>-3</v>
      </c>
      <c r="K41" s="3069" t="s">
        <v>3291</v>
      </c>
      <c r="L41" s="3068">
        <v>45.38</v>
      </c>
      <c r="M41" s="3065" t="s">
        <v>3351</v>
      </c>
      <c r="N41" s="3065" t="s">
        <v>3345</v>
      </c>
    </row>
    <row r="42" spans="1:14" ht="12.75">
      <c r="A42" s="3063">
        <v>41</v>
      </c>
      <c r="B42" s="3063" t="s">
        <v>3077</v>
      </c>
      <c r="C42" s="3063" t="s">
        <v>3078</v>
      </c>
      <c r="D42" s="3062" t="s">
        <v>3116</v>
      </c>
      <c r="E42" s="3063" t="s">
        <v>3082</v>
      </c>
      <c r="F42" s="3062">
        <v>316.38</v>
      </c>
      <c r="G42" s="3071"/>
      <c r="H42" s="3067">
        <v>50</v>
      </c>
      <c r="I42" s="3065" t="s">
        <v>3349</v>
      </c>
      <c r="J42" s="3070">
        <v>-3</v>
      </c>
      <c r="K42" s="3069" t="s">
        <v>3292</v>
      </c>
      <c r="L42" s="3068">
        <v>45.38</v>
      </c>
      <c r="M42" s="3065" t="s">
        <v>3351</v>
      </c>
      <c r="N42" s="3065" t="s">
        <v>3345</v>
      </c>
    </row>
    <row r="43" spans="1:14" ht="12.75">
      <c r="A43" s="3063">
        <v>42</v>
      </c>
      <c r="B43" s="3063" t="s">
        <v>3077</v>
      </c>
      <c r="C43" s="3063" t="s">
        <v>3078</v>
      </c>
      <c r="D43" s="3062" t="s">
        <v>3117</v>
      </c>
      <c r="E43" s="3063" t="s">
        <v>3082</v>
      </c>
      <c r="F43" s="3062">
        <v>316.38</v>
      </c>
      <c r="G43" s="3071"/>
      <c r="H43" s="3067">
        <v>51</v>
      </c>
      <c r="I43" s="3065" t="s">
        <v>3349</v>
      </c>
      <c r="J43" s="3070">
        <v>-3</v>
      </c>
      <c r="K43" s="3065" t="s">
        <v>3118</v>
      </c>
      <c r="L43" s="3068">
        <v>45.38</v>
      </c>
      <c r="M43" s="3065" t="s">
        <v>3351</v>
      </c>
      <c r="N43" s="3065" t="s">
        <v>3345</v>
      </c>
    </row>
    <row r="44" spans="1:14" ht="12.75">
      <c r="A44" s="3063">
        <v>43</v>
      </c>
      <c r="B44" s="3063" t="s">
        <v>3077</v>
      </c>
      <c r="C44" s="3063" t="s">
        <v>3078</v>
      </c>
      <c r="D44" s="3062" t="s">
        <v>3119</v>
      </c>
      <c r="E44" s="3063" t="s">
        <v>3082</v>
      </c>
      <c r="F44" s="3062">
        <v>351.7</v>
      </c>
      <c r="G44" s="3071"/>
      <c r="H44" s="3067">
        <v>52</v>
      </c>
      <c r="I44" s="3065" t="s">
        <v>3349</v>
      </c>
      <c r="J44" s="3070">
        <v>-3</v>
      </c>
      <c r="K44" s="3069" t="s">
        <v>3293</v>
      </c>
      <c r="L44" s="3068">
        <v>45.38</v>
      </c>
      <c r="M44" s="3065" t="s">
        <v>3351</v>
      </c>
      <c r="N44" s="3065" t="s">
        <v>3345</v>
      </c>
    </row>
    <row r="45" spans="1:14" ht="12.75">
      <c r="A45" s="3063">
        <v>44</v>
      </c>
      <c r="B45" s="3063" t="s">
        <v>3077</v>
      </c>
      <c r="C45" s="3063" t="s">
        <v>3078</v>
      </c>
      <c r="D45" s="3062" t="s">
        <v>3120</v>
      </c>
      <c r="E45" s="3063" t="s">
        <v>3082</v>
      </c>
      <c r="F45" s="3062">
        <v>308.12</v>
      </c>
      <c r="G45" s="3071"/>
      <c r="H45" s="3067">
        <v>53</v>
      </c>
      <c r="I45" s="3065" t="s">
        <v>3349</v>
      </c>
      <c r="J45" s="3070">
        <v>-3</v>
      </c>
      <c r="K45" s="3065" t="s">
        <v>3121</v>
      </c>
      <c r="L45" s="3068">
        <v>45.38</v>
      </c>
      <c r="M45" s="3065" t="s">
        <v>3351</v>
      </c>
      <c r="N45" s="3065" t="s">
        <v>3345</v>
      </c>
    </row>
    <row r="46" spans="1:14" ht="12.75">
      <c r="A46" s="3063">
        <v>45</v>
      </c>
      <c r="B46" s="3063" t="s">
        <v>3077</v>
      </c>
      <c r="C46" s="3063" t="s">
        <v>3078</v>
      </c>
      <c r="D46" s="3062" t="s">
        <v>3122</v>
      </c>
      <c r="E46" s="3063" t="s">
        <v>3082</v>
      </c>
      <c r="F46" s="3062">
        <v>401.43</v>
      </c>
      <c r="G46" s="3071"/>
      <c r="H46" s="3067">
        <v>54</v>
      </c>
      <c r="I46" s="3065" t="s">
        <v>3349</v>
      </c>
      <c r="J46" s="3070">
        <v>-3</v>
      </c>
      <c r="K46" s="3065" t="s">
        <v>3123</v>
      </c>
      <c r="L46" s="3068">
        <v>45.38</v>
      </c>
      <c r="M46" s="3065" t="s">
        <v>3351</v>
      </c>
      <c r="N46" s="3065" t="s">
        <v>3345</v>
      </c>
    </row>
    <row r="47" spans="1:14" ht="12.75">
      <c r="A47" s="3063">
        <v>46</v>
      </c>
      <c r="B47" s="3063" t="s">
        <v>3077</v>
      </c>
      <c r="C47" s="3063" t="s">
        <v>3078</v>
      </c>
      <c r="D47" s="3062" t="s">
        <v>3124</v>
      </c>
      <c r="E47" s="3063" t="s">
        <v>3082</v>
      </c>
      <c r="F47" s="3062">
        <v>337.98</v>
      </c>
      <c r="G47" s="3071"/>
      <c r="H47" s="3067">
        <v>55</v>
      </c>
      <c r="I47" s="3065" t="s">
        <v>3349</v>
      </c>
      <c r="J47" s="3070">
        <v>-3</v>
      </c>
      <c r="K47" s="3069" t="s">
        <v>3294</v>
      </c>
      <c r="L47" s="3068">
        <v>45.38</v>
      </c>
      <c r="M47" s="3065" t="s">
        <v>3351</v>
      </c>
      <c r="N47" s="3065" t="s">
        <v>3345</v>
      </c>
    </row>
    <row r="48" spans="1:14" ht="12.75">
      <c r="A48" s="3063">
        <v>47</v>
      </c>
      <c r="B48" s="3063" t="s">
        <v>3077</v>
      </c>
      <c r="C48" s="3063" t="s">
        <v>3078</v>
      </c>
      <c r="D48" s="3062" t="s">
        <v>3125</v>
      </c>
      <c r="E48" s="3063" t="s">
        <v>3082</v>
      </c>
      <c r="F48" s="3062">
        <v>325.04000000000002</v>
      </c>
      <c r="G48" s="3071"/>
      <c r="H48" s="3067">
        <v>56</v>
      </c>
      <c r="I48" s="3065" t="s">
        <v>3349</v>
      </c>
      <c r="J48" s="3070">
        <v>-3</v>
      </c>
      <c r="K48" s="3069" t="s">
        <v>3295</v>
      </c>
      <c r="L48" s="3068">
        <v>45.38</v>
      </c>
      <c r="M48" s="3065" t="s">
        <v>3351</v>
      </c>
      <c r="N48" s="3065" t="s">
        <v>3345</v>
      </c>
    </row>
    <row r="49" spans="1:14" ht="12.75">
      <c r="A49" s="3063">
        <v>48</v>
      </c>
      <c r="B49" s="3063" t="s">
        <v>3077</v>
      </c>
      <c r="C49" s="3063" t="s">
        <v>3078</v>
      </c>
      <c r="D49" s="3062" t="s">
        <v>3126</v>
      </c>
      <c r="E49" s="3063" t="s">
        <v>3082</v>
      </c>
      <c r="F49" s="3062">
        <v>399.9</v>
      </c>
      <c r="G49" s="3071"/>
      <c r="H49" s="3067">
        <v>57</v>
      </c>
      <c r="I49" s="3065" t="s">
        <v>3349</v>
      </c>
      <c r="J49" s="3070">
        <v>-3</v>
      </c>
      <c r="K49" s="3065" t="s">
        <v>3127</v>
      </c>
      <c r="L49" s="3068">
        <v>45.38</v>
      </c>
      <c r="M49" s="3065" t="s">
        <v>3351</v>
      </c>
      <c r="N49" s="3065" t="s">
        <v>3345</v>
      </c>
    </row>
    <row r="50" spans="1:14" ht="12.75">
      <c r="A50" s="3063">
        <v>49</v>
      </c>
      <c r="B50" s="3063" t="s">
        <v>3077</v>
      </c>
      <c r="C50" s="3063" t="s">
        <v>3078</v>
      </c>
      <c r="D50" s="3062" t="s">
        <v>3128</v>
      </c>
      <c r="E50" s="3063" t="s">
        <v>3082</v>
      </c>
      <c r="F50" s="3062">
        <v>308.52</v>
      </c>
      <c r="G50" s="3071"/>
      <c r="H50" s="3067">
        <v>58</v>
      </c>
      <c r="I50" s="3065" t="s">
        <v>3349</v>
      </c>
      <c r="J50" s="3070">
        <v>-3</v>
      </c>
      <c r="K50" s="3069" t="s">
        <v>3296</v>
      </c>
      <c r="L50" s="3068">
        <v>45.38</v>
      </c>
      <c r="M50" s="3065" t="s">
        <v>3351</v>
      </c>
      <c r="N50" s="3065" t="s">
        <v>3345</v>
      </c>
    </row>
    <row r="51" spans="1:14" ht="12.75">
      <c r="A51" s="3063">
        <v>50</v>
      </c>
      <c r="B51" s="3063" t="s">
        <v>3077</v>
      </c>
      <c r="C51" s="3063" t="s">
        <v>3078</v>
      </c>
      <c r="D51" s="3062" t="s">
        <v>3129</v>
      </c>
      <c r="E51" s="3063" t="s">
        <v>3082</v>
      </c>
      <c r="F51" s="3062">
        <v>350.14</v>
      </c>
      <c r="G51" s="3071"/>
      <c r="H51" s="3067">
        <v>59</v>
      </c>
      <c r="I51" s="3065" t="s">
        <v>3349</v>
      </c>
      <c r="J51" s="3070">
        <v>-3</v>
      </c>
      <c r="K51" s="3069" t="s">
        <v>3297</v>
      </c>
      <c r="L51" s="3068">
        <v>45.38</v>
      </c>
      <c r="M51" s="3065" t="s">
        <v>3351</v>
      </c>
      <c r="N51" s="3065" t="s">
        <v>3345</v>
      </c>
    </row>
    <row r="52" spans="1:14" ht="12.75">
      <c r="A52" s="3063">
        <v>51</v>
      </c>
      <c r="B52" s="3063" t="s">
        <v>3077</v>
      </c>
      <c r="C52" s="3063" t="s">
        <v>3078</v>
      </c>
      <c r="D52" s="3062" t="s">
        <v>3130</v>
      </c>
      <c r="E52" s="3063" t="s">
        <v>3082</v>
      </c>
      <c r="F52" s="3062">
        <v>316.38</v>
      </c>
      <c r="G52" s="3071"/>
      <c r="H52" s="3067">
        <v>60</v>
      </c>
      <c r="I52" s="3065" t="s">
        <v>3349</v>
      </c>
      <c r="J52" s="3070">
        <v>-3</v>
      </c>
      <c r="K52" s="3069" t="s">
        <v>3298</v>
      </c>
      <c r="L52" s="3068">
        <v>45.38</v>
      </c>
      <c r="M52" s="3065" t="s">
        <v>3351</v>
      </c>
      <c r="N52" s="3065" t="s">
        <v>3345</v>
      </c>
    </row>
    <row r="53" spans="1:14" ht="12.75">
      <c r="A53" s="3063">
        <v>52</v>
      </c>
      <c r="B53" s="3063" t="s">
        <v>3077</v>
      </c>
      <c r="C53" s="3063" t="s">
        <v>3078</v>
      </c>
      <c r="D53" s="3062" t="s">
        <v>3131</v>
      </c>
      <c r="E53" s="3063" t="s">
        <v>3082</v>
      </c>
      <c r="F53" s="3062">
        <v>316.38</v>
      </c>
      <c r="G53" s="3071"/>
      <c r="H53" s="3067">
        <v>61</v>
      </c>
      <c r="I53" s="3065" t="s">
        <v>3349</v>
      </c>
      <c r="J53" s="3070">
        <v>-3</v>
      </c>
      <c r="K53" s="3069" t="s">
        <v>3299</v>
      </c>
      <c r="L53" s="3068">
        <v>45.38</v>
      </c>
      <c r="M53" s="3065" t="s">
        <v>3351</v>
      </c>
      <c r="N53" s="3065" t="s">
        <v>3345</v>
      </c>
    </row>
    <row r="54" spans="1:14" ht="12.75">
      <c r="A54" s="3063">
        <v>53</v>
      </c>
      <c r="B54" s="3063" t="s">
        <v>3077</v>
      </c>
      <c r="C54" s="3063" t="s">
        <v>3078</v>
      </c>
      <c r="D54" s="3062" t="s">
        <v>3132</v>
      </c>
      <c r="E54" s="3063" t="s">
        <v>3082</v>
      </c>
      <c r="F54" s="3062">
        <v>351.7</v>
      </c>
      <c r="G54" s="3071"/>
      <c r="H54" s="3067">
        <v>62</v>
      </c>
      <c r="I54" s="3065" t="s">
        <v>3349</v>
      </c>
      <c r="J54" s="3070">
        <v>-3</v>
      </c>
      <c r="K54" s="3065" t="s">
        <v>3133</v>
      </c>
      <c r="L54" s="3068">
        <v>45.38</v>
      </c>
      <c r="M54" s="3065" t="s">
        <v>3351</v>
      </c>
      <c r="N54" s="3065" t="s">
        <v>3345</v>
      </c>
    </row>
    <row r="55" spans="1:14" ht="12.75">
      <c r="A55" s="3063">
        <v>54</v>
      </c>
      <c r="B55" s="3063" t="s">
        <v>3077</v>
      </c>
      <c r="C55" s="3063" t="s">
        <v>3078</v>
      </c>
      <c r="D55" s="3062" t="s">
        <v>3134</v>
      </c>
      <c r="E55" s="3063" t="s">
        <v>3082</v>
      </c>
      <c r="F55" s="3062">
        <v>308.12</v>
      </c>
      <c r="G55" s="3071"/>
      <c r="H55" s="3067">
        <v>63</v>
      </c>
      <c r="I55" s="3065" t="s">
        <v>3349</v>
      </c>
      <c r="J55" s="3070">
        <v>-3</v>
      </c>
      <c r="K55" s="3069" t="s">
        <v>3300</v>
      </c>
      <c r="L55" s="3068">
        <v>45.38</v>
      </c>
      <c r="M55" s="3065" t="s">
        <v>3351</v>
      </c>
      <c r="N55" s="3065" t="s">
        <v>3345</v>
      </c>
    </row>
    <row r="56" spans="1:14" ht="12.75">
      <c r="A56" s="3063">
        <v>55</v>
      </c>
      <c r="B56" s="3063" t="s">
        <v>3077</v>
      </c>
      <c r="C56" s="3063" t="s">
        <v>3078</v>
      </c>
      <c r="D56" s="3062" t="s">
        <v>3135</v>
      </c>
      <c r="E56" s="3063" t="s">
        <v>3082</v>
      </c>
      <c r="F56" s="3062">
        <v>401.43</v>
      </c>
      <c r="G56" s="3071"/>
      <c r="H56" s="3067">
        <v>64</v>
      </c>
      <c r="I56" s="3065" t="s">
        <v>3349</v>
      </c>
      <c r="J56" s="3070">
        <v>-3</v>
      </c>
      <c r="K56" s="3069" t="s">
        <v>3301</v>
      </c>
      <c r="L56" s="3068">
        <v>45.38</v>
      </c>
      <c r="M56" s="3065" t="s">
        <v>3351</v>
      </c>
      <c r="N56" s="3065" t="s">
        <v>3345</v>
      </c>
    </row>
    <row r="57" spans="1:14" ht="12.75">
      <c r="A57" s="3063">
        <v>56</v>
      </c>
      <c r="B57" s="3063" t="s">
        <v>3077</v>
      </c>
      <c r="C57" s="3063" t="s">
        <v>3078</v>
      </c>
      <c r="D57" s="3062" t="s">
        <v>3136</v>
      </c>
      <c r="E57" s="3063" t="s">
        <v>3082</v>
      </c>
      <c r="F57" s="3062">
        <v>337.98</v>
      </c>
      <c r="G57" s="3071"/>
      <c r="H57" s="3067">
        <v>65</v>
      </c>
      <c r="I57" s="3065" t="s">
        <v>3349</v>
      </c>
      <c r="J57" s="3070">
        <v>-3</v>
      </c>
      <c r="K57" s="3065" t="s">
        <v>3137</v>
      </c>
      <c r="L57" s="3068">
        <v>45.38</v>
      </c>
      <c r="M57" s="3065" t="s">
        <v>3351</v>
      </c>
      <c r="N57" s="3065" t="s">
        <v>3345</v>
      </c>
    </row>
    <row r="58" spans="1:14" ht="12.75">
      <c r="A58" s="3063">
        <v>57</v>
      </c>
      <c r="B58" s="3063" t="s">
        <v>3077</v>
      </c>
      <c r="C58" s="3063" t="s">
        <v>3078</v>
      </c>
      <c r="D58" s="3062" t="s">
        <v>3138</v>
      </c>
      <c r="E58" s="3063" t="s">
        <v>3082</v>
      </c>
      <c r="F58" s="3062">
        <v>325.04000000000002</v>
      </c>
      <c r="G58" s="3071"/>
      <c r="H58" s="3067">
        <v>66</v>
      </c>
      <c r="I58" s="3065" t="s">
        <v>3349</v>
      </c>
      <c r="J58" s="3070">
        <v>-3</v>
      </c>
      <c r="K58" s="3069" t="s">
        <v>3302</v>
      </c>
      <c r="L58" s="3068">
        <v>45.38</v>
      </c>
      <c r="M58" s="3065" t="s">
        <v>3351</v>
      </c>
      <c r="N58" s="3065" t="s">
        <v>3345</v>
      </c>
    </row>
    <row r="59" spans="1:14" ht="12.75">
      <c r="A59" s="3063">
        <v>58</v>
      </c>
      <c r="B59" s="3063" t="s">
        <v>3077</v>
      </c>
      <c r="C59" s="3063" t="s">
        <v>3078</v>
      </c>
      <c r="D59" s="3062" t="s">
        <v>3139</v>
      </c>
      <c r="E59" s="3063" t="s">
        <v>3082</v>
      </c>
      <c r="F59" s="3062">
        <v>399.9</v>
      </c>
      <c r="G59" s="3071"/>
      <c r="H59" s="3067">
        <v>67</v>
      </c>
      <c r="I59" s="3065" t="s">
        <v>3349</v>
      </c>
      <c r="J59" s="3070">
        <v>-3</v>
      </c>
      <c r="K59" s="3069" t="s">
        <v>3303</v>
      </c>
      <c r="L59" s="3068">
        <v>45.38</v>
      </c>
      <c r="M59" s="3065" t="s">
        <v>3351</v>
      </c>
      <c r="N59" s="3065" t="s">
        <v>3345</v>
      </c>
    </row>
    <row r="60" spans="1:14" ht="12.75">
      <c r="A60" s="3063">
        <v>59</v>
      </c>
      <c r="B60" s="3063" t="s">
        <v>3077</v>
      </c>
      <c r="C60" s="3063" t="s">
        <v>3078</v>
      </c>
      <c r="D60" s="3062" t="s">
        <v>3140</v>
      </c>
      <c r="E60" s="3063" t="s">
        <v>3082</v>
      </c>
      <c r="F60" s="3062">
        <v>308.52</v>
      </c>
      <c r="G60" s="3071"/>
      <c r="H60" s="3067">
        <v>68</v>
      </c>
      <c r="I60" s="3065" t="s">
        <v>3349</v>
      </c>
      <c r="J60" s="3070">
        <v>-3</v>
      </c>
      <c r="K60" s="3069" t="s">
        <v>3304</v>
      </c>
      <c r="L60" s="3068">
        <v>45.38</v>
      </c>
      <c r="M60" s="3065" t="s">
        <v>3351</v>
      </c>
      <c r="N60" s="3065" t="s">
        <v>3345</v>
      </c>
    </row>
    <row r="61" spans="1:14" ht="12.75">
      <c r="A61" s="3063">
        <v>60</v>
      </c>
      <c r="B61" s="3063" t="s">
        <v>3077</v>
      </c>
      <c r="C61" s="3063" t="s">
        <v>3078</v>
      </c>
      <c r="D61" s="3062" t="s">
        <v>3141</v>
      </c>
      <c r="E61" s="3063" t="s">
        <v>3082</v>
      </c>
      <c r="F61" s="3062">
        <v>350.14</v>
      </c>
      <c r="G61" s="3071"/>
      <c r="H61" s="3067">
        <v>69</v>
      </c>
      <c r="I61" s="3065" t="s">
        <v>3349</v>
      </c>
      <c r="J61" s="3070">
        <v>-3</v>
      </c>
      <c r="K61" s="3069" t="s">
        <v>3305</v>
      </c>
      <c r="L61" s="3068">
        <v>45.38</v>
      </c>
      <c r="M61" s="3065" t="s">
        <v>3351</v>
      </c>
      <c r="N61" s="3065" t="s">
        <v>3345</v>
      </c>
    </row>
    <row r="62" spans="1:14" ht="12.75">
      <c r="A62" s="3063">
        <v>61</v>
      </c>
      <c r="B62" s="3063" t="s">
        <v>3077</v>
      </c>
      <c r="C62" s="3063" t="s">
        <v>3078</v>
      </c>
      <c r="D62" s="3062" t="s">
        <v>3142</v>
      </c>
      <c r="E62" s="3063" t="s">
        <v>3082</v>
      </c>
      <c r="F62" s="3062">
        <v>316.38</v>
      </c>
      <c r="G62" s="3071"/>
      <c r="H62" s="3067">
        <v>70</v>
      </c>
      <c r="I62" s="3065" t="s">
        <v>3349</v>
      </c>
      <c r="J62" s="3070">
        <v>-3</v>
      </c>
      <c r="K62" s="3065" t="s">
        <v>3143</v>
      </c>
      <c r="L62" s="3068">
        <v>45.38</v>
      </c>
      <c r="M62" s="3065" t="s">
        <v>3351</v>
      </c>
      <c r="N62" s="3065" t="s">
        <v>3345</v>
      </c>
    </row>
    <row r="63" spans="1:14" ht="12.75">
      <c r="A63" s="3063">
        <v>62</v>
      </c>
      <c r="B63" s="3063" t="s">
        <v>3077</v>
      </c>
      <c r="C63" s="3063" t="s">
        <v>3078</v>
      </c>
      <c r="D63" s="3062" t="s">
        <v>3144</v>
      </c>
      <c r="E63" s="3063" t="s">
        <v>3082</v>
      </c>
      <c r="F63" s="3062">
        <v>316.38</v>
      </c>
      <c r="G63" s="3071"/>
      <c r="H63" s="3067">
        <v>71</v>
      </c>
      <c r="I63" s="3065" t="s">
        <v>3349</v>
      </c>
      <c r="J63" s="3070">
        <v>-3</v>
      </c>
      <c r="K63" s="3069" t="s">
        <v>3306</v>
      </c>
      <c r="L63" s="3068">
        <v>45.38</v>
      </c>
      <c r="M63" s="3065" t="s">
        <v>3351</v>
      </c>
      <c r="N63" s="3065" t="s">
        <v>3345</v>
      </c>
    </row>
    <row r="64" spans="1:14" ht="12.75">
      <c r="A64" s="3063">
        <v>63</v>
      </c>
      <c r="B64" s="3063" t="s">
        <v>3077</v>
      </c>
      <c r="C64" s="3063" t="s">
        <v>3078</v>
      </c>
      <c r="D64" s="3062" t="s">
        <v>3145</v>
      </c>
      <c r="E64" s="3063" t="s">
        <v>3082</v>
      </c>
      <c r="F64" s="3062">
        <v>346.4</v>
      </c>
      <c r="G64" s="3071"/>
      <c r="H64" s="3067">
        <v>72</v>
      </c>
      <c r="I64" s="3065" t="s">
        <v>3349</v>
      </c>
      <c r="J64" s="3070">
        <v>-3</v>
      </c>
      <c r="K64" s="3069" t="s">
        <v>3307</v>
      </c>
      <c r="L64" s="3068">
        <v>45.38</v>
      </c>
      <c r="M64" s="3065" t="s">
        <v>3351</v>
      </c>
      <c r="N64" s="3065" t="s">
        <v>3345</v>
      </c>
    </row>
    <row r="65" spans="1:14" ht="12.75">
      <c r="A65" s="3063">
        <v>64</v>
      </c>
      <c r="B65" s="3063" t="s">
        <v>3077</v>
      </c>
      <c r="C65" s="3063" t="s">
        <v>3078</v>
      </c>
      <c r="D65" s="3062" t="s">
        <v>3146</v>
      </c>
      <c r="E65" s="3063" t="s">
        <v>3082</v>
      </c>
      <c r="F65" s="3062">
        <v>303.48</v>
      </c>
      <c r="G65" s="3071"/>
      <c r="H65" s="3067">
        <v>73</v>
      </c>
      <c r="I65" s="3065" t="s">
        <v>3349</v>
      </c>
      <c r="J65" s="3070">
        <v>-3</v>
      </c>
      <c r="K65" s="3065" t="s">
        <v>3147</v>
      </c>
      <c r="L65" s="3068">
        <v>45.38</v>
      </c>
      <c r="M65" s="3065" t="s">
        <v>3351</v>
      </c>
      <c r="N65" s="3065" t="s">
        <v>3345</v>
      </c>
    </row>
    <row r="66" spans="1:14" ht="12.75">
      <c r="A66" s="3063">
        <v>65</v>
      </c>
      <c r="B66" s="3063" t="s">
        <v>3077</v>
      </c>
      <c r="C66" s="3063" t="s">
        <v>3078</v>
      </c>
      <c r="D66" s="3062" t="s">
        <v>3148</v>
      </c>
      <c r="E66" s="3063" t="s">
        <v>3082</v>
      </c>
      <c r="F66" s="3062">
        <v>395.38</v>
      </c>
      <c r="G66" s="3071"/>
      <c r="H66" s="3067">
        <v>74</v>
      </c>
      <c r="I66" s="3065" t="s">
        <v>3349</v>
      </c>
      <c r="J66" s="3070">
        <v>-3</v>
      </c>
      <c r="K66" s="3069" t="s">
        <v>3308</v>
      </c>
      <c r="L66" s="3068">
        <v>45.38</v>
      </c>
      <c r="M66" s="3065" t="s">
        <v>3351</v>
      </c>
      <c r="N66" s="3065" t="s">
        <v>3345</v>
      </c>
    </row>
    <row r="67" spans="1:14" ht="12.75">
      <c r="A67" s="3063">
        <v>66</v>
      </c>
      <c r="B67" s="3063" t="s">
        <v>3077</v>
      </c>
      <c r="C67" s="3063" t="s">
        <v>3078</v>
      </c>
      <c r="D67" s="3062" t="s">
        <v>3149</v>
      </c>
      <c r="E67" s="3063" t="s">
        <v>3082</v>
      </c>
      <c r="F67" s="3062">
        <v>337.21</v>
      </c>
      <c r="G67" s="3071"/>
      <c r="H67" s="3067">
        <v>75</v>
      </c>
      <c r="I67" s="3065" t="s">
        <v>3349</v>
      </c>
      <c r="J67" s="3070">
        <v>-3</v>
      </c>
      <c r="K67" s="3069" t="s">
        <v>3309</v>
      </c>
      <c r="L67" s="3068">
        <v>45.38</v>
      </c>
      <c r="M67" s="3065" t="s">
        <v>3351</v>
      </c>
      <c r="N67" s="3065" t="s">
        <v>3345</v>
      </c>
    </row>
    <row r="68" spans="1:14" ht="12.75">
      <c r="A68" s="3063">
        <v>67</v>
      </c>
      <c r="B68" s="3063" t="s">
        <v>3077</v>
      </c>
      <c r="C68" s="3063" t="s">
        <v>3078</v>
      </c>
      <c r="D68" s="3062" t="s">
        <v>3150</v>
      </c>
      <c r="E68" s="3063" t="s">
        <v>3082</v>
      </c>
      <c r="F68" s="3062">
        <v>323.70999999999998</v>
      </c>
      <c r="G68" s="3071"/>
      <c r="H68" s="3067">
        <v>76</v>
      </c>
      <c r="I68" s="3065" t="s">
        <v>3349</v>
      </c>
      <c r="J68" s="3070">
        <v>-3</v>
      </c>
      <c r="K68" s="3065" t="s">
        <v>3151</v>
      </c>
      <c r="L68" s="3068">
        <v>45.38</v>
      </c>
      <c r="M68" s="3065" t="s">
        <v>3351</v>
      </c>
      <c r="N68" s="3065" t="s">
        <v>3345</v>
      </c>
    </row>
    <row r="69" spans="1:14" ht="12.75">
      <c r="A69" s="3063">
        <v>68</v>
      </c>
      <c r="B69" s="3063" t="s">
        <v>3077</v>
      </c>
      <c r="C69" s="3063" t="s">
        <v>3078</v>
      </c>
      <c r="D69" s="3062" t="s">
        <v>3152</v>
      </c>
      <c r="E69" s="3063" t="s">
        <v>3082</v>
      </c>
      <c r="F69" s="3062">
        <v>393.87</v>
      </c>
      <c r="G69" s="3071"/>
      <c r="H69" s="3067">
        <v>77</v>
      </c>
      <c r="I69" s="3065" t="s">
        <v>3349</v>
      </c>
      <c r="J69" s="3070">
        <v>-3</v>
      </c>
      <c r="K69" s="3069" t="s">
        <v>3310</v>
      </c>
      <c r="L69" s="3068">
        <v>45.38</v>
      </c>
      <c r="M69" s="3065" t="s">
        <v>3351</v>
      </c>
      <c r="N69" s="3065" t="s">
        <v>3345</v>
      </c>
    </row>
    <row r="70" spans="1:14" ht="12.75">
      <c r="A70" s="3063">
        <v>69</v>
      </c>
      <c r="B70" s="3063" t="s">
        <v>3077</v>
      </c>
      <c r="C70" s="3063" t="s">
        <v>3078</v>
      </c>
      <c r="D70" s="3062" t="s">
        <v>3153</v>
      </c>
      <c r="E70" s="3063" t="s">
        <v>3082</v>
      </c>
      <c r="F70" s="3062">
        <v>303.87</v>
      </c>
      <c r="G70" s="3071"/>
      <c r="H70" s="3067">
        <v>78</v>
      </c>
      <c r="I70" s="3065" t="s">
        <v>3349</v>
      </c>
      <c r="J70" s="3070">
        <v>-3</v>
      </c>
      <c r="K70" s="3065" t="s">
        <v>3154</v>
      </c>
      <c r="L70" s="3068">
        <v>45.38</v>
      </c>
      <c r="M70" s="3065" t="s">
        <v>3351</v>
      </c>
      <c r="N70" s="3065" t="s">
        <v>3345</v>
      </c>
    </row>
    <row r="71" spans="1:14" ht="12.75">
      <c r="A71" s="3063">
        <v>70</v>
      </c>
      <c r="B71" s="3063" t="s">
        <v>3077</v>
      </c>
      <c r="C71" s="3063" t="s">
        <v>3078</v>
      </c>
      <c r="D71" s="3062" t="s">
        <v>3155</v>
      </c>
      <c r="E71" s="3063" t="s">
        <v>3082</v>
      </c>
      <c r="F71" s="3062">
        <v>344.86</v>
      </c>
      <c r="G71" s="3071"/>
      <c r="H71" s="3067">
        <v>79</v>
      </c>
      <c r="I71" s="3065" t="s">
        <v>3349</v>
      </c>
      <c r="J71" s="3070">
        <v>-3</v>
      </c>
      <c r="K71" s="3065" t="s">
        <v>3156</v>
      </c>
      <c r="L71" s="3068">
        <v>45.38</v>
      </c>
      <c r="M71" s="3065" t="s">
        <v>3351</v>
      </c>
      <c r="N71" s="3065" t="s">
        <v>3345</v>
      </c>
    </row>
    <row r="72" spans="1:14" ht="12.75">
      <c r="A72" s="3063">
        <v>71</v>
      </c>
      <c r="B72" s="3063" t="s">
        <v>3077</v>
      </c>
      <c r="C72" s="3063" t="s">
        <v>3078</v>
      </c>
      <c r="D72" s="3062" t="s">
        <v>3157</v>
      </c>
      <c r="E72" s="3063" t="s">
        <v>3082</v>
      </c>
      <c r="F72" s="3062">
        <v>311.61</v>
      </c>
      <c r="G72" s="3071"/>
      <c r="H72" s="3067">
        <v>80</v>
      </c>
      <c r="I72" s="3065" t="s">
        <v>3349</v>
      </c>
      <c r="J72" s="3070">
        <v>-3</v>
      </c>
      <c r="K72" s="3069" t="s">
        <v>3311</v>
      </c>
      <c r="L72" s="3068">
        <v>45.38</v>
      </c>
      <c r="M72" s="3065" t="s">
        <v>3351</v>
      </c>
      <c r="N72" s="3065" t="s">
        <v>3345</v>
      </c>
    </row>
    <row r="73" spans="1:14" ht="12.75">
      <c r="A73" s="3063">
        <v>72</v>
      </c>
      <c r="B73" s="3063" t="s">
        <v>3077</v>
      </c>
      <c r="C73" s="3063" t="s">
        <v>3078</v>
      </c>
      <c r="D73" s="3062" t="s">
        <v>3158</v>
      </c>
      <c r="E73" s="3063" t="s">
        <v>3082</v>
      </c>
      <c r="F73" s="3062">
        <v>311.61</v>
      </c>
      <c r="G73" s="3071"/>
      <c r="H73" s="3067">
        <v>81</v>
      </c>
      <c r="I73" s="3065" t="s">
        <v>3349</v>
      </c>
      <c r="J73" s="3070">
        <v>-3</v>
      </c>
      <c r="K73" s="3069" t="s">
        <v>3312</v>
      </c>
      <c r="L73" s="3068">
        <v>45.38</v>
      </c>
      <c r="M73" s="3065" t="s">
        <v>3351</v>
      </c>
      <c r="N73" s="3065" t="s">
        <v>3345</v>
      </c>
    </row>
    <row r="74" spans="1:14" ht="12.75">
      <c r="A74" s="3063">
        <v>73</v>
      </c>
      <c r="B74" s="3063" t="s">
        <v>3077</v>
      </c>
      <c r="C74" s="3063" t="s">
        <v>3078</v>
      </c>
      <c r="D74" s="3062" t="s">
        <v>3159</v>
      </c>
      <c r="E74" s="3063" t="s">
        <v>3082</v>
      </c>
      <c r="F74" s="3062">
        <v>351.52</v>
      </c>
      <c r="G74" s="3071"/>
      <c r="H74" s="3067">
        <v>82</v>
      </c>
      <c r="I74" s="3065" t="s">
        <v>3349</v>
      </c>
      <c r="J74" s="3070">
        <v>-3</v>
      </c>
      <c r="K74" s="3065" t="s">
        <v>3160</v>
      </c>
      <c r="L74" s="3068">
        <v>45.38</v>
      </c>
      <c r="M74" s="3065" t="s">
        <v>3351</v>
      </c>
      <c r="N74" s="3065" t="s">
        <v>3345</v>
      </c>
    </row>
    <row r="75" spans="1:14" ht="12.75">
      <c r="A75" s="3063">
        <v>74</v>
      </c>
      <c r="B75" s="3063" t="s">
        <v>3077</v>
      </c>
      <c r="C75" s="3063" t="s">
        <v>3078</v>
      </c>
      <c r="D75" s="3062" t="s">
        <v>3248</v>
      </c>
      <c r="E75" s="3063" t="s">
        <v>3082</v>
      </c>
      <c r="F75" s="3062">
        <v>307.95999999999998</v>
      </c>
      <c r="G75" s="3071"/>
      <c r="H75" s="3067">
        <v>83</v>
      </c>
      <c r="I75" s="3065" t="s">
        <v>3349</v>
      </c>
      <c r="J75" s="3070">
        <v>-3</v>
      </c>
      <c r="K75" s="3069" t="s">
        <v>3313</v>
      </c>
      <c r="L75" s="3068">
        <v>45.38</v>
      </c>
      <c r="M75" s="3065" t="s">
        <v>3351</v>
      </c>
      <c r="N75" s="3065" t="s">
        <v>3345</v>
      </c>
    </row>
    <row r="76" spans="1:14" ht="12.75">
      <c r="A76" s="3063">
        <v>75</v>
      </c>
      <c r="B76" s="3063" t="s">
        <v>3077</v>
      </c>
      <c r="C76" s="3063" t="s">
        <v>3078</v>
      </c>
      <c r="D76" s="3062" t="s">
        <v>3161</v>
      </c>
      <c r="E76" s="3063" t="s">
        <v>3082</v>
      </c>
      <c r="F76" s="3062">
        <v>401.22</v>
      </c>
      <c r="G76" s="3071"/>
      <c r="H76" s="3067">
        <v>84</v>
      </c>
      <c r="I76" s="3065" t="s">
        <v>3349</v>
      </c>
      <c r="J76" s="3070">
        <v>-3</v>
      </c>
      <c r="K76" s="3069" t="s">
        <v>3314</v>
      </c>
      <c r="L76" s="3068">
        <v>45.38</v>
      </c>
      <c r="M76" s="3065" t="s">
        <v>3351</v>
      </c>
      <c r="N76" s="3065" t="s">
        <v>3345</v>
      </c>
    </row>
    <row r="77" spans="1:14" ht="12.75">
      <c r="A77" s="3063">
        <v>76</v>
      </c>
      <c r="B77" s="3063" t="s">
        <v>3077</v>
      </c>
      <c r="C77" s="3063" t="s">
        <v>3078</v>
      </c>
      <c r="D77" s="3062" t="s">
        <v>3162</v>
      </c>
      <c r="E77" s="3063" t="s">
        <v>3082</v>
      </c>
      <c r="F77" s="3062">
        <v>337.8</v>
      </c>
      <c r="G77" s="3071"/>
      <c r="H77" s="3067">
        <v>85</v>
      </c>
      <c r="I77" s="3065" t="s">
        <v>3349</v>
      </c>
      <c r="J77" s="3070">
        <v>-3</v>
      </c>
      <c r="K77" s="3069" t="s">
        <v>3315</v>
      </c>
      <c r="L77" s="3068">
        <v>45.38</v>
      </c>
      <c r="M77" s="3065" t="s">
        <v>3351</v>
      </c>
      <c r="N77" s="3065" t="s">
        <v>3345</v>
      </c>
    </row>
    <row r="78" spans="1:14" ht="12.75">
      <c r="A78" s="3063">
        <v>77</v>
      </c>
      <c r="B78" s="3063" t="s">
        <v>3077</v>
      </c>
      <c r="C78" s="3063" t="s">
        <v>3078</v>
      </c>
      <c r="D78" s="3062" t="s">
        <v>3163</v>
      </c>
      <c r="E78" s="3063" t="s">
        <v>3082</v>
      </c>
      <c r="F78" s="3062">
        <v>324.87</v>
      </c>
      <c r="G78" s="3071"/>
      <c r="H78" s="3067">
        <v>86</v>
      </c>
      <c r="I78" s="3065" t="s">
        <v>3349</v>
      </c>
      <c r="J78" s="3070">
        <v>-3</v>
      </c>
      <c r="K78" s="3069" t="s">
        <v>3316</v>
      </c>
      <c r="L78" s="3068">
        <v>45.38</v>
      </c>
      <c r="M78" s="3065" t="s">
        <v>3351</v>
      </c>
      <c r="N78" s="3065" t="s">
        <v>3345</v>
      </c>
    </row>
    <row r="79" spans="1:14" ht="12.75">
      <c r="A79" s="3063">
        <v>78</v>
      </c>
      <c r="B79" s="3063" t="s">
        <v>3077</v>
      </c>
      <c r="C79" s="3063" t="s">
        <v>3078</v>
      </c>
      <c r="D79" s="3062" t="s">
        <v>3164</v>
      </c>
      <c r="E79" s="3063" t="s">
        <v>3082</v>
      </c>
      <c r="F79" s="3062">
        <v>399.69</v>
      </c>
      <c r="G79" s="3071"/>
      <c r="H79" s="3067">
        <v>87</v>
      </c>
      <c r="I79" s="3065" t="s">
        <v>3349</v>
      </c>
      <c r="J79" s="3070">
        <v>-3</v>
      </c>
      <c r="K79" s="3065" t="s">
        <v>3165</v>
      </c>
      <c r="L79" s="3068">
        <v>45.38</v>
      </c>
      <c r="M79" s="3065" t="s">
        <v>3351</v>
      </c>
      <c r="N79" s="3065" t="s">
        <v>3345</v>
      </c>
    </row>
    <row r="80" spans="1:14" ht="12.75">
      <c r="A80" s="3063">
        <v>79</v>
      </c>
      <c r="B80" s="3063" t="s">
        <v>3077</v>
      </c>
      <c r="C80" s="3063" t="s">
        <v>3078</v>
      </c>
      <c r="D80" s="3062" t="s">
        <v>3166</v>
      </c>
      <c r="E80" s="3063" t="s">
        <v>3082</v>
      </c>
      <c r="F80" s="3062">
        <v>308.36</v>
      </c>
      <c r="G80" s="3071"/>
      <c r="H80" s="3067">
        <v>88</v>
      </c>
      <c r="I80" s="3065" t="s">
        <v>3349</v>
      </c>
      <c r="J80" s="3070">
        <v>-3</v>
      </c>
      <c r="K80" s="3069" t="s">
        <v>3317</v>
      </c>
      <c r="L80" s="3068">
        <v>45.38</v>
      </c>
      <c r="M80" s="3065" t="s">
        <v>3351</v>
      </c>
      <c r="N80" s="3065" t="s">
        <v>3345</v>
      </c>
    </row>
    <row r="81" spans="1:14" ht="12.75">
      <c r="A81" s="3063">
        <v>80</v>
      </c>
      <c r="B81" s="3063" t="s">
        <v>3077</v>
      </c>
      <c r="C81" s="3063" t="s">
        <v>3078</v>
      </c>
      <c r="D81" s="3062" t="s">
        <v>3167</v>
      </c>
      <c r="E81" s="3063" t="s">
        <v>3082</v>
      </c>
      <c r="F81" s="3062">
        <v>349.96</v>
      </c>
      <c r="G81" s="3071"/>
      <c r="H81" s="3067">
        <v>89</v>
      </c>
      <c r="I81" s="3065" t="s">
        <v>3349</v>
      </c>
      <c r="J81" s="3070">
        <v>-3</v>
      </c>
      <c r="K81" s="3069" t="s">
        <v>3318</v>
      </c>
      <c r="L81" s="3068">
        <v>45.38</v>
      </c>
      <c r="M81" s="3065" t="s">
        <v>3351</v>
      </c>
      <c r="N81" s="3065" t="s">
        <v>3345</v>
      </c>
    </row>
    <row r="82" spans="1:14" ht="12.75">
      <c r="A82" s="3063">
        <v>81</v>
      </c>
      <c r="B82" s="3063" t="s">
        <v>3077</v>
      </c>
      <c r="C82" s="3063" t="s">
        <v>3078</v>
      </c>
      <c r="D82" s="3062" t="s">
        <v>3168</v>
      </c>
      <c r="E82" s="3063" t="s">
        <v>3082</v>
      </c>
      <c r="F82" s="3062">
        <v>316.22000000000003</v>
      </c>
      <c r="G82" s="3071"/>
      <c r="H82" s="3067">
        <v>90</v>
      </c>
      <c r="I82" s="3065" t="s">
        <v>3349</v>
      </c>
      <c r="J82" s="3070">
        <v>-3</v>
      </c>
      <c r="K82" s="3065" t="s">
        <v>3169</v>
      </c>
      <c r="L82" s="3068">
        <v>45.38</v>
      </c>
      <c r="M82" s="3065" t="s">
        <v>3351</v>
      </c>
      <c r="N82" s="3065" t="s">
        <v>3345</v>
      </c>
    </row>
    <row r="83" spans="1:14" ht="12.75">
      <c r="A83" s="3063">
        <v>82</v>
      </c>
      <c r="B83" s="3063" t="s">
        <v>3077</v>
      </c>
      <c r="C83" s="3063" t="s">
        <v>3078</v>
      </c>
      <c r="D83" s="3062" t="s">
        <v>3170</v>
      </c>
      <c r="E83" s="3063" t="s">
        <v>3082</v>
      </c>
      <c r="F83" s="3062">
        <v>316.22000000000003</v>
      </c>
      <c r="G83" s="3071"/>
      <c r="H83" s="3067">
        <v>91</v>
      </c>
      <c r="I83" s="3065" t="s">
        <v>3349</v>
      </c>
      <c r="J83" s="3070">
        <v>-3</v>
      </c>
      <c r="K83" s="3069" t="s">
        <v>3319</v>
      </c>
      <c r="L83" s="3068">
        <v>45.38</v>
      </c>
      <c r="M83" s="3065" t="s">
        <v>3351</v>
      </c>
      <c r="N83" s="3065" t="s">
        <v>3345</v>
      </c>
    </row>
    <row r="84" spans="1:14" ht="12.75">
      <c r="A84" s="3063">
        <v>83</v>
      </c>
      <c r="B84" s="3063" t="s">
        <v>3077</v>
      </c>
      <c r="C84" s="3063" t="s">
        <v>3078</v>
      </c>
      <c r="D84" s="3062" t="s">
        <v>3171</v>
      </c>
      <c r="E84" s="3063" t="s">
        <v>3082</v>
      </c>
      <c r="F84" s="3062">
        <v>351.52</v>
      </c>
      <c r="G84" s="3071"/>
      <c r="H84" s="3067">
        <v>92</v>
      </c>
      <c r="I84" s="3065" t="s">
        <v>3349</v>
      </c>
      <c r="J84" s="3070">
        <v>-3</v>
      </c>
      <c r="K84" s="3069" t="s">
        <v>3320</v>
      </c>
      <c r="L84" s="3068">
        <v>45.38</v>
      </c>
      <c r="M84" s="3065" t="s">
        <v>3351</v>
      </c>
      <c r="N84" s="3065" t="s">
        <v>3345</v>
      </c>
    </row>
    <row r="85" spans="1:14" ht="12.75">
      <c r="A85" s="3063">
        <v>84</v>
      </c>
      <c r="B85" s="3063" t="s">
        <v>3077</v>
      </c>
      <c r="C85" s="3063" t="s">
        <v>3078</v>
      </c>
      <c r="D85" s="3062" t="s">
        <v>3172</v>
      </c>
      <c r="E85" s="3063" t="s">
        <v>3083</v>
      </c>
      <c r="F85" s="3062">
        <v>307.95999999999998</v>
      </c>
      <c r="G85" s="3071"/>
      <c r="H85" s="3067">
        <v>93</v>
      </c>
      <c r="I85" s="3065" t="s">
        <v>3349</v>
      </c>
      <c r="J85" s="3070">
        <v>-3</v>
      </c>
      <c r="K85" s="3069" t="s">
        <v>3321</v>
      </c>
      <c r="L85" s="3068">
        <v>45.38</v>
      </c>
      <c r="M85" s="3065" t="s">
        <v>3351</v>
      </c>
      <c r="N85" s="3065" t="s">
        <v>3345</v>
      </c>
    </row>
    <row r="86" spans="1:14" ht="12.75">
      <c r="A86" s="3063">
        <v>85</v>
      </c>
      <c r="B86" s="3063" t="s">
        <v>3077</v>
      </c>
      <c r="C86" s="3063" t="s">
        <v>3078</v>
      </c>
      <c r="D86" s="3062" t="s">
        <v>3173</v>
      </c>
      <c r="E86" s="3063" t="s">
        <v>3083</v>
      </c>
      <c r="F86" s="3062">
        <v>401.22</v>
      </c>
      <c r="G86" s="3071"/>
      <c r="H86" s="3067">
        <v>94</v>
      </c>
      <c r="I86" s="3065" t="s">
        <v>3349</v>
      </c>
      <c r="J86" s="3070">
        <v>-3</v>
      </c>
      <c r="K86" s="3069" t="s">
        <v>3322</v>
      </c>
      <c r="L86" s="3068">
        <v>45.38</v>
      </c>
      <c r="M86" s="3065" t="s">
        <v>3351</v>
      </c>
      <c r="N86" s="3065" t="s">
        <v>3345</v>
      </c>
    </row>
    <row r="87" spans="1:14" ht="12.75">
      <c r="A87" s="3063">
        <v>86</v>
      </c>
      <c r="B87" s="3063" t="s">
        <v>3077</v>
      </c>
      <c r="C87" s="3063" t="s">
        <v>3078</v>
      </c>
      <c r="D87" s="3062" t="s">
        <v>3174</v>
      </c>
      <c r="E87" s="3063" t="s">
        <v>3083</v>
      </c>
      <c r="F87" s="3062">
        <v>337.8</v>
      </c>
      <c r="G87" s="3071"/>
      <c r="H87" s="3067">
        <v>95</v>
      </c>
      <c r="I87" s="3065" t="s">
        <v>3349</v>
      </c>
      <c r="J87" s="3070">
        <v>-3</v>
      </c>
      <c r="K87" s="3065" t="s">
        <v>3175</v>
      </c>
      <c r="L87" s="3068">
        <v>45.38</v>
      </c>
      <c r="M87" s="3065" t="s">
        <v>3351</v>
      </c>
      <c r="N87" s="3065" t="s">
        <v>3345</v>
      </c>
    </row>
    <row r="88" spans="1:14" ht="12.75">
      <c r="A88" s="3063">
        <v>87</v>
      </c>
      <c r="B88" s="3063" t="s">
        <v>3077</v>
      </c>
      <c r="C88" s="3063" t="s">
        <v>3078</v>
      </c>
      <c r="D88" s="3062" t="s">
        <v>3176</v>
      </c>
      <c r="E88" s="3063" t="s">
        <v>3083</v>
      </c>
      <c r="F88" s="3062">
        <v>324.87</v>
      </c>
      <c r="G88" s="3071"/>
      <c r="H88" s="3067">
        <v>96</v>
      </c>
      <c r="I88" s="3065" t="s">
        <v>3349</v>
      </c>
      <c r="J88" s="3070">
        <v>-3</v>
      </c>
      <c r="K88" s="3069" t="s">
        <v>3323</v>
      </c>
      <c r="L88" s="3068">
        <v>31.77</v>
      </c>
      <c r="M88" s="3065" t="s">
        <v>3351</v>
      </c>
      <c r="N88" s="3065" t="s">
        <v>3345</v>
      </c>
    </row>
    <row r="89" spans="1:14" ht="12.75">
      <c r="A89" s="3063">
        <v>88</v>
      </c>
      <c r="B89" s="3063" t="s">
        <v>3077</v>
      </c>
      <c r="C89" s="3063" t="s">
        <v>3078</v>
      </c>
      <c r="D89" s="3062" t="s">
        <v>3177</v>
      </c>
      <c r="E89" s="3063" t="s">
        <v>3083</v>
      </c>
      <c r="F89" s="3062">
        <v>399.69</v>
      </c>
      <c r="G89" s="3071"/>
      <c r="H89" s="3067">
        <v>97</v>
      </c>
      <c r="I89" s="3065" t="s">
        <v>3349</v>
      </c>
      <c r="J89" s="3070">
        <v>-3</v>
      </c>
      <c r="K89" s="3069" t="s">
        <v>3324</v>
      </c>
      <c r="L89" s="3068">
        <v>31.77</v>
      </c>
      <c r="M89" s="3065" t="s">
        <v>3351</v>
      </c>
      <c r="N89" s="3065" t="s">
        <v>3345</v>
      </c>
    </row>
    <row r="90" spans="1:14" ht="12.75">
      <c r="A90" s="3063">
        <v>89</v>
      </c>
      <c r="B90" s="3063" t="s">
        <v>3077</v>
      </c>
      <c r="C90" s="3063" t="s">
        <v>3078</v>
      </c>
      <c r="D90" s="3062" t="s">
        <v>3178</v>
      </c>
      <c r="E90" s="3063" t="s">
        <v>3083</v>
      </c>
      <c r="F90" s="3062">
        <v>308.36</v>
      </c>
      <c r="G90" s="3071"/>
      <c r="H90" s="3067">
        <v>98</v>
      </c>
      <c r="I90" s="3065" t="s">
        <v>3349</v>
      </c>
      <c r="J90" s="3070">
        <v>-3</v>
      </c>
      <c r="K90" s="3065" t="s">
        <v>3179</v>
      </c>
      <c r="L90" s="3068">
        <v>31.77</v>
      </c>
      <c r="M90" s="3065" t="s">
        <v>3351</v>
      </c>
      <c r="N90" s="3065" t="s">
        <v>3345</v>
      </c>
    </row>
    <row r="91" spans="1:14" ht="12.75">
      <c r="A91" s="3063">
        <v>90</v>
      </c>
      <c r="B91" s="3063" t="s">
        <v>3077</v>
      </c>
      <c r="C91" s="3063" t="s">
        <v>3078</v>
      </c>
      <c r="D91" s="3062" t="s">
        <v>3180</v>
      </c>
      <c r="E91" s="3063" t="s">
        <v>3083</v>
      </c>
      <c r="F91" s="3062">
        <v>349.96</v>
      </c>
      <c r="G91" s="3071"/>
      <c r="H91" s="3067">
        <v>99</v>
      </c>
      <c r="I91" s="3065" t="s">
        <v>3349</v>
      </c>
      <c r="J91" s="3070">
        <v>-3</v>
      </c>
      <c r="K91" s="3069" t="s">
        <v>3325</v>
      </c>
      <c r="L91" s="3068">
        <v>31.77</v>
      </c>
      <c r="M91" s="3065" t="s">
        <v>3351</v>
      </c>
      <c r="N91" s="3065" t="s">
        <v>3345</v>
      </c>
    </row>
    <row r="92" spans="1:14" ht="12.75">
      <c r="A92" s="3063">
        <v>91</v>
      </c>
      <c r="B92" s="3063" t="s">
        <v>3077</v>
      </c>
      <c r="C92" s="3063" t="s">
        <v>3078</v>
      </c>
      <c r="D92" s="3062" t="s">
        <v>3181</v>
      </c>
      <c r="E92" s="3063" t="s">
        <v>3083</v>
      </c>
      <c r="F92" s="3062">
        <v>316.22000000000003</v>
      </c>
      <c r="G92" s="3071"/>
      <c r="H92" s="3067">
        <v>100</v>
      </c>
      <c r="I92" s="3065" t="s">
        <v>3349</v>
      </c>
      <c r="J92" s="3070">
        <v>-3</v>
      </c>
      <c r="K92" s="3069" t="s">
        <v>3326</v>
      </c>
      <c r="L92" s="3068">
        <v>31.77</v>
      </c>
      <c r="M92" s="3065" t="s">
        <v>3351</v>
      </c>
      <c r="N92" s="3065" t="s">
        <v>3345</v>
      </c>
    </row>
    <row r="93" spans="1:14" ht="12.75">
      <c r="A93" s="3063">
        <v>92</v>
      </c>
      <c r="B93" s="3063" t="s">
        <v>3077</v>
      </c>
      <c r="C93" s="3063" t="s">
        <v>3078</v>
      </c>
      <c r="D93" s="3062" t="s">
        <v>3182</v>
      </c>
      <c r="E93" s="3063" t="s">
        <v>3083</v>
      </c>
      <c r="F93" s="3062">
        <v>316.22000000000003</v>
      </c>
      <c r="G93" s="3071"/>
      <c r="H93" s="3067">
        <v>101</v>
      </c>
      <c r="I93" s="3065" t="s">
        <v>3349</v>
      </c>
      <c r="J93" s="3070">
        <v>-3</v>
      </c>
      <c r="K93" s="3065" t="s">
        <v>3183</v>
      </c>
      <c r="L93" s="3068">
        <v>31.77</v>
      </c>
      <c r="M93" s="3065" t="s">
        <v>3351</v>
      </c>
      <c r="N93" s="3065" t="s">
        <v>3345</v>
      </c>
    </row>
    <row r="94" spans="1:14" ht="12.75">
      <c r="A94" s="3063">
        <v>93</v>
      </c>
      <c r="B94" s="3063" t="s">
        <v>3077</v>
      </c>
      <c r="C94" s="3063" t="s">
        <v>3078</v>
      </c>
      <c r="D94" s="3062" t="s">
        <v>3184</v>
      </c>
      <c r="E94" s="3063" t="s">
        <v>3083</v>
      </c>
      <c r="F94" s="3062">
        <v>351.52</v>
      </c>
      <c r="G94" s="3071"/>
      <c r="H94" s="3067">
        <v>102</v>
      </c>
      <c r="I94" s="3065" t="s">
        <v>3349</v>
      </c>
      <c r="J94" s="3070">
        <v>-3</v>
      </c>
      <c r="K94" s="3069" t="s">
        <v>3327</v>
      </c>
      <c r="L94" s="3068">
        <v>45.38</v>
      </c>
      <c r="M94" s="3065" t="s">
        <v>3351</v>
      </c>
      <c r="N94" s="3065" t="s">
        <v>3345</v>
      </c>
    </row>
    <row r="95" spans="1:14" ht="12.75">
      <c r="A95" s="3063">
        <v>94</v>
      </c>
      <c r="B95" s="3063" t="s">
        <v>3077</v>
      </c>
      <c r="C95" s="3063" t="s">
        <v>3078</v>
      </c>
      <c r="D95" s="3062" t="s">
        <v>3185</v>
      </c>
      <c r="E95" s="3063" t="s">
        <v>3083</v>
      </c>
      <c r="F95" s="3062">
        <v>307.95999999999998</v>
      </c>
      <c r="G95" s="3071"/>
      <c r="H95" s="3067">
        <v>103</v>
      </c>
      <c r="I95" s="3065" t="s">
        <v>3349</v>
      </c>
      <c r="J95" s="3070">
        <v>-3</v>
      </c>
      <c r="K95" s="3065" t="s">
        <v>3186</v>
      </c>
      <c r="L95" s="3068">
        <v>68.069999999999993</v>
      </c>
      <c r="M95" s="3065" t="s">
        <v>3351</v>
      </c>
      <c r="N95" s="3065" t="s">
        <v>3345</v>
      </c>
    </row>
    <row r="96" spans="1:14" ht="12.75">
      <c r="A96" s="3063">
        <v>95</v>
      </c>
      <c r="B96" s="3063" t="s">
        <v>3077</v>
      </c>
      <c r="C96" s="3063" t="s">
        <v>3078</v>
      </c>
      <c r="D96" s="3062" t="s">
        <v>3187</v>
      </c>
      <c r="E96" s="3063" t="s">
        <v>3083</v>
      </c>
      <c r="F96" s="3062">
        <v>401.22</v>
      </c>
      <c r="G96" s="3071"/>
      <c r="H96" s="3067">
        <v>104</v>
      </c>
      <c r="I96" s="3065" t="s">
        <v>3349</v>
      </c>
      <c r="J96" s="3070">
        <v>-3</v>
      </c>
      <c r="K96" s="3065" t="s">
        <v>3188</v>
      </c>
      <c r="L96" s="3068">
        <v>68.069999999999993</v>
      </c>
      <c r="M96" s="3065" t="s">
        <v>3351</v>
      </c>
      <c r="N96" s="3065" t="s">
        <v>3345</v>
      </c>
    </row>
    <row r="97" spans="1:14" ht="12.75">
      <c r="A97" s="3063">
        <v>96</v>
      </c>
      <c r="B97" s="3063" t="s">
        <v>3077</v>
      </c>
      <c r="C97" s="3063" t="s">
        <v>3078</v>
      </c>
      <c r="D97" s="3062" t="s">
        <v>3189</v>
      </c>
      <c r="E97" s="3063" t="s">
        <v>3083</v>
      </c>
      <c r="F97" s="3062">
        <v>337.8</v>
      </c>
      <c r="G97" s="3071"/>
      <c r="H97" s="3067">
        <v>105</v>
      </c>
      <c r="I97" s="3065" t="s">
        <v>3349</v>
      </c>
      <c r="J97" s="3070">
        <v>-3</v>
      </c>
      <c r="K97" s="3069" t="s">
        <v>3328</v>
      </c>
      <c r="L97" s="3068">
        <v>68.069999999999993</v>
      </c>
      <c r="M97" s="3065" t="s">
        <v>3351</v>
      </c>
      <c r="N97" s="3065" t="s">
        <v>3345</v>
      </c>
    </row>
    <row r="98" spans="1:14" ht="12.75">
      <c r="A98" s="3063">
        <v>97</v>
      </c>
      <c r="B98" s="3063" t="s">
        <v>3077</v>
      </c>
      <c r="C98" s="3063" t="s">
        <v>3078</v>
      </c>
      <c r="D98" s="3062" t="s">
        <v>3190</v>
      </c>
      <c r="E98" s="3063" t="s">
        <v>3083</v>
      </c>
      <c r="F98" s="3062">
        <v>324.87</v>
      </c>
      <c r="G98" s="3071"/>
      <c r="H98" s="3067">
        <v>106</v>
      </c>
      <c r="I98" s="3065" t="s">
        <v>3349</v>
      </c>
      <c r="J98" s="3070">
        <v>-3</v>
      </c>
      <c r="K98" s="3065" t="s">
        <v>3352</v>
      </c>
      <c r="L98" s="3068">
        <v>45.38</v>
      </c>
      <c r="M98" s="3065" t="s">
        <v>3351</v>
      </c>
      <c r="N98" s="3065" t="s">
        <v>3345</v>
      </c>
    </row>
    <row r="99" spans="1:14" ht="12.75">
      <c r="A99" s="3063">
        <v>98</v>
      </c>
      <c r="B99" s="3063" t="s">
        <v>3077</v>
      </c>
      <c r="C99" s="3063" t="s">
        <v>3078</v>
      </c>
      <c r="D99" s="3062" t="s">
        <v>3191</v>
      </c>
      <c r="E99" s="3063" t="s">
        <v>3083</v>
      </c>
      <c r="F99" s="3062">
        <v>399.69</v>
      </c>
      <c r="G99" s="3071"/>
      <c r="H99" s="3067">
        <v>107</v>
      </c>
      <c r="I99" s="3065" t="s">
        <v>3349</v>
      </c>
      <c r="J99" s="3070">
        <v>-3</v>
      </c>
      <c r="K99" s="3065" t="s">
        <v>3353</v>
      </c>
      <c r="L99" s="3068">
        <v>45.38</v>
      </c>
      <c r="M99" s="3065" t="s">
        <v>3351</v>
      </c>
      <c r="N99" s="3065" t="s">
        <v>3345</v>
      </c>
    </row>
    <row r="100" spans="1:14" ht="12.75">
      <c r="A100" s="3063">
        <v>99</v>
      </c>
      <c r="B100" s="3063" t="s">
        <v>3077</v>
      </c>
      <c r="C100" s="3063" t="s">
        <v>3078</v>
      </c>
      <c r="D100" s="3062" t="s">
        <v>3192</v>
      </c>
      <c r="E100" s="3063" t="s">
        <v>3083</v>
      </c>
      <c r="F100" s="3062">
        <v>308.36</v>
      </c>
      <c r="G100" s="3071"/>
      <c r="H100" s="3067">
        <v>108</v>
      </c>
      <c r="I100" s="3065" t="s">
        <v>3349</v>
      </c>
      <c r="J100" s="3070">
        <v>-3</v>
      </c>
      <c r="K100" s="3065" t="s">
        <v>3354</v>
      </c>
      <c r="L100" s="3068">
        <v>45.38</v>
      </c>
      <c r="M100" s="3065" t="s">
        <v>3351</v>
      </c>
      <c r="N100" s="3065" t="s">
        <v>3345</v>
      </c>
    </row>
    <row r="101" spans="1:14" ht="12.75">
      <c r="A101" s="3063">
        <v>100</v>
      </c>
      <c r="B101" s="3063" t="s">
        <v>3077</v>
      </c>
      <c r="C101" s="3063" t="s">
        <v>3078</v>
      </c>
      <c r="D101" s="3062" t="s">
        <v>3193</v>
      </c>
      <c r="E101" s="3063" t="s">
        <v>3083</v>
      </c>
      <c r="F101" s="3062">
        <v>349.96</v>
      </c>
      <c r="G101" s="3071"/>
      <c r="H101" s="3067">
        <v>109</v>
      </c>
      <c r="I101" s="3065" t="s">
        <v>3349</v>
      </c>
      <c r="J101" s="3070">
        <v>-3</v>
      </c>
      <c r="K101" s="3065" t="s">
        <v>3355</v>
      </c>
      <c r="L101" s="3068">
        <v>45.38</v>
      </c>
      <c r="M101" s="3065" t="s">
        <v>3351</v>
      </c>
      <c r="N101" s="3065" t="s">
        <v>3345</v>
      </c>
    </row>
    <row r="102" spans="1:14" ht="12.75">
      <c r="A102" s="3063">
        <v>101</v>
      </c>
      <c r="B102" s="3063" t="s">
        <v>3077</v>
      </c>
      <c r="C102" s="3063" t="s">
        <v>3078</v>
      </c>
      <c r="D102" s="3062" t="s">
        <v>3194</v>
      </c>
      <c r="E102" s="3063" t="s">
        <v>3083</v>
      </c>
      <c r="F102" s="3062">
        <v>316.22000000000003</v>
      </c>
      <c r="G102" s="3071"/>
      <c r="H102" s="3067">
        <v>110</v>
      </c>
      <c r="I102" s="3065" t="s">
        <v>3349</v>
      </c>
      <c r="J102" s="3070">
        <v>-3</v>
      </c>
      <c r="K102" s="3065" t="s">
        <v>3356</v>
      </c>
      <c r="L102" s="3068">
        <v>45.38</v>
      </c>
      <c r="M102" s="3065" t="s">
        <v>3351</v>
      </c>
      <c r="N102" s="3065" t="s">
        <v>3345</v>
      </c>
    </row>
    <row r="103" spans="1:14" ht="12.75">
      <c r="A103" s="3063">
        <v>102</v>
      </c>
      <c r="B103" s="3063" t="s">
        <v>3077</v>
      </c>
      <c r="C103" s="3063" t="s">
        <v>3078</v>
      </c>
      <c r="D103" s="3062" t="s">
        <v>3195</v>
      </c>
      <c r="E103" s="3063" t="s">
        <v>3083</v>
      </c>
      <c r="F103" s="3062">
        <v>316.22000000000003</v>
      </c>
      <c r="G103" s="3071"/>
      <c r="H103" s="3067">
        <v>111</v>
      </c>
      <c r="I103" s="3065" t="s">
        <v>3349</v>
      </c>
      <c r="J103" s="3070">
        <v>-3</v>
      </c>
      <c r="K103" s="3065" t="s">
        <v>3357</v>
      </c>
      <c r="L103" s="3068">
        <v>45.38</v>
      </c>
      <c r="M103" s="3065" t="s">
        <v>3351</v>
      </c>
      <c r="N103" s="3065" t="s">
        <v>3345</v>
      </c>
    </row>
    <row r="104" spans="1:14" ht="12.75">
      <c r="A104" s="3063">
        <v>103</v>
      </c>
      <c r="B104" s="3063" t="s">
        <v>3077</v>
      </c>
      <c r="C104" s="3063" t="s">
        <v>3078</v>
      </c>
      <c r="D104" s="3062" t="s">
        <v>3196</v>
      </c>
      <c r="E104" s="3063" t="s">
        <v>3083</v>
      </c>
      <c r="F104" s="3062">
        <v>351.52</v>
      </c>
      <c r="G104" s="3071"/>
      <c r="H104" s="3067">
        <v>112</v>
      </c>
      <c r="I104" s="3065" t="s">
        <v>3349</v>
      </c>
      <c r="J104" s="3070">
        <v>-3</v>
      </c>
      <c r="K104" s="3065" t="s">
        <v>3358</v>
      </c>
      <c r="L104" s="3068">
        <v>45.38</v>
      </c>
      <c r="M104" s="3065" t="s">
        <v>3351</v>
      </c>
      <c r="N104" s="3065" t="s">
        <v>3345</v>
      </c>
    </row>
    <row r="105" spans="1:14" ht="12.75">
      <c r="A105" s="3063">
        <v>104</v>
      </c>
      <c r="B105" s="3063" t="s">
        <v>3077</v>
      </c>
      <c r="C105" s="3063" t="s">
        <v>3078</v>
      </c>
      <c r="D105" s="3062" t="s">
        <v>3197</v>
      </c>
      <c r="E105" s="3063" t="s">
        <v>3083</v>
      </c>
      <c r="F105" s="3062">
        <v>307.95999999999998</v>
      </c>
      <c r="G105" s="3071"/>
      <c r="H105" s="3067">
        <v>113</v>
      </c>
      <c r="I105" s="3065" t="s">
        <v>3349</v>
      </c>
      <c r="J105" s="3070">
        <v>-3</v>
      </c>
      <c r="K105" s="3065" t="s">
        <v>3359</v>
      </c>
      <c r="L105" s="3068">
        <v>45.38</v>
      </c>
      <c r="M105" s="3065" t="s">
        <v>3351</v>
      </c>
      <c r="N105" s="3065" t="s">
        <v>3345</v>
      </c>
    </row>
    <row r="106" spans="1:14" ht="12.75">
      <c r="A106" s="3063">
        <v>105</v>
      </c>
      <c r="B106" s="3063" t="s">
        <v>3077</v>
      </c>
      <c r="C106" s="3063" t="s">
        <v>3078</v>
      </c>
      <c r="D106" s="3062" t="s">
        <v>3198</v>
      </c>
      <c r="E106" s="3063" t="s">
        <v>3083</v>
      </c>
      <c r="F106" s="3062">
        <v>401.22</v>
      </c>
      <c r="G106" s="3071"/>
      <c r="H106" s="3067">
        <v>114</v>
      </c>
      <c r="I106" s="3065" t="s">
        <v>3349</v>
      </c>
      <c r="J106" s="3070">
        <v>-3</v>
      </c>
      <c r="K106" s="3065" t="s">
        <v>3360</v>
      </c>
      <c r="L106" s="3068">
        <v>45.38</v>
      </c>
      <c r="M106" s="3065" t="s">
        <v>3351</v>
      </c>
      <c r="N106" s="3065" t="s">
        <v>3345</v>
      </c>
    </row>
    <row r="107" spans="1:14" ht="12.75">
      <c r="A107" s="3063">
        <v>106</v>
      </c>
      <c r="B107" s="3063" t="s">
        <v>3077</v>
      </c>
      <c r="C107" s="3063" t="s">
        <v>3078</v>
      </c>
      <c r="D107" s="3062" t="s">
        <v>3199</v>
      </c>
      <c r="E107" s="3063" t="s">
        <v>3083</v>
      </c>
      <c r="F107" s="3062">
        <v>337.8</v>
      </c>
      <c r="G107" s="3071"/>
      <c r="H107" s="3067">
        <v>115</v>
      </c>
      <c r="I107" s="3065" t="s">
        <v>3349</v>
      </c>
      <c r="J107" s="3070">
        <v>-3</v>
      </c>
      <c r="K107" s="3065" t="s">
        <v>3361</v>
      </c>
      <c r="L107" s="3068">
        <v>45.38</v>
      </c>
      <c r="M107" s="3065" t="s">
        <v>3351</v>
      </c>
      <c r="N107" s="3065" t="s">
        <v>3345</v>
      </c>
    </row>
    <row r="108" spans="1:14" ht="12.75">
      <c r="A108" s="3063">
        <v>107</v>
      </c>
      <c r="B108" s="3063" t="s">
        <v>3077</v>
      </c>
      <c r="C108" s="3063" t="s">
        <v>3078</v>
      </c>
      <c r="D108" s="3062" t="s">
        <v>3200</v>
      </c>
      <c r="E108" s="3063" t="s">
        <v>3083</v>
      </c>
      <c r="F108" s="3062">
        <v>324.87</v>
      </c>
      <c r="G108" s="3071"/>
      <c r="H108" s="3067">
        <v>116</v>
      </c>
      <c r="I108" s="3065" t="s">
        <v>3349</v>
      </c>
      <c r="J108" s="3070">
        <v>-3</v>
      </c>
      <c r="K108" s="3065" t="s">
        <v>3362</v>
      </c>
      <c r="L108" s="3068">
        <v>45.38</v>
      </c>
      <c r="M108" s="3065" t="s">
        <v>3351</v>
      </c>
      <c r="N108" s="3065" t="s">
        <v>3345</v>
      </c>
    </row>
    <row r="109" spans="1:14" ht="12.75">
      <c r="A109" s="3063">
        <v>108</v>
      </c>
      <c r="B109" s="3063" t="s">
        <v>3077</v>
      </c>
      <c r="C109" s="3063" t="s">
        <v>3078</v>
      </c>
      <c r="D109" s="3062" t="s">
        <v>3201</v>
      </c>
      <c r="E109" s="3063" t="s">
        <v>3082</v>
      </c>
      <c r="F109" s="3062">
        <v>399.69</v>
      </c>
      <c r="G109" s="3071"/>
      <c r="H109" s="3067">
        <v>117</v>
      </c>
      <c r="I109" s="3065" t="s">
        <v>3349</v>
      </c>
      <c r="J109" s="3070">
        <v>-3</v>
      </c>
      <c r="K109" s="3065" t="s">
        <v>3363</v>
      </c>
      <c r="L109" s="3068">
        <v>45.38</v>
      </c>
      <c r="M109" s="3065" t="s">
        <v>3351</v>
      </c>
      <c r="N109" s="3065" t="s">
        <v>3345</v>
      </c>
    </row>
    <row r="110" spans="1:14" ht="12.75">
      <c r="A110" s="3063">
        <v>109</v>
      </c>
      <c r="B110" s="3063" t="s">
        <v>3077</v>
      </c>
      <c r="C110" s="3063" t="s">
        <v>3078</v>
      </c>
      <c r="D110" s="3062" t="s">
        <v>3202</v>
      </c>
      <c r="E110" s="3063" t="s">
        <v>3082</v>
      </c>
      <c r="F110" s="3062">
        <v>308.36</v>
      </c>
      <c r="G110" s="3071"/>
      <c r="H110" s="3067">
        <v>118</v>
      </c>
      <c r="I110" s="3065" t="s">
        <v>3349</v>
      </c>
      <c r="J110" s="3070">
        <v>-3</v>
      </c>
      <c r="K110" s="3065" t="s">
        <v>3364</v>
      </c>
      <c r="L110" s="3068">
        <v>45.38</v>
      </c>
      <c r="M110" s="3065" t="s">
        <v>3351</v>
      </c>
      <c r="N110" s="3065" t="s">
        <v>3345</v>
      </c>
    </row>
    <row r="111" spans="1:14" ht="12.75">
      <c r="A111" s="3063">
        <v>110</v>
      </c>
      <c r="B111" s="3063" t="s">
        <v>3077</v>
      </c>
      <c r="C111" s="3063" t="s">
        <v>3078</v>
      </c>
      <c r="D111" s="3062" t="s">
        <v>3203</v>
      </c>
      <c r="E111" s="3063" t="s">
        <v>3082</v>
      </c>
      <c r="F111" s="3062">
        <v>349.96</v>
      </c>
      <c r="G111" s="3071"/>
      <c r="H111" s="3067">
        <v>119</v>
      </c>
      <c r="I111" s="3065" t="s">
        <v>3349</v>
      </c>
      <c r="J111" s="3070">
        <v>-3</v>
      </c>
      <c r="K111" s="3065" t="s">
        <v>3365</v>
      </c>
      <c r="L111" s="3068">
        <v>45.38</v>
      </c>
      <c r="M111" s="3065" t="s">
        <v>3351</v>
      </c>
      <c r="N111" s="3065" t="s">
        <v>3345</v>
      </c>
    </row>
    <row r="112" spans="1:14" ht="12.75">
      <c r="A112" s="3063">
        <v>111</v>
      </c>
      <c r="B112" s="3063" t="s">
        <v>3077</v>
      </c>
      <c r="C112" s="3063" t="s">
        <v>3078</v>
      </c>
      <c r="D112" s="3062" t="s">
        <v>3204</v>
      </c>
      <c r="E112" s="3063" t="s">
        <v>3082</v>
      </c>
      <c r="F112" s="3062">
        <v>316.22000000000003</v>
      </c>
      <c r="G112" s="3071"/>
      <c r="H112" s="3067">
        <v>120</v>
      </c>
      <c r="I112" s="3065" t="s">
        <v>3349</v>
      </c>
      <c r="J112" s="3070">
        <v>-3</v>
      </c>
      <c r="K112" s="3065" t="s">
        <v>3366</v>
      </c>
      <c r="L112" s="3068">
        <v>45.38</v>
      </c>
      <c r="M112" s="3065" t="s">
        <v>3351</v>
      </c>
      <c r="N112" s="3065" t="s">
        <v>3345</v>
      </c>
    </row>
    <row r="113" spans="1:14" ht="12.75">
      <c r="A113" s="3063">
        <v>112</v>
      </c>
      <c r="B113" s="3063" t="s">
        <v>3077</v>
      </c>
      <c r="C113" s="3063" t="s">
        <v>3078</v>
      </c>
      <c r="D113" s="3062" t="s">
        <v>3205</v>
      </c>
      <c r="E113" s="3063" t="s">
        <v>3082</v>
      </c>
      <c r="F113" s="3062">
        <v>316.22000000000003</v>
      </c>
      <c r="G113" s="3071"/>
      <c r="H113" s="3067">
        <v>121</v>
      </c>
      <c r="I113" s="3065" t="s">
        <v>3349</v>
      </c>
      <c r="J113" s="3070">
        <v>-3</v>
      </c>
      <c r="K113" s="3065" t="s">
        <v>3367</v>
      </c>
      <c r="L113" s="3068">
        <v>45.38</v>
      </c>
      <c r="M113" s="3065" t="s">
        <v>3351</v>
      </c>
      <c r="N113" s="3065" t="s">
        <v>3345</v>
      </c>
    </row>
    <row r="114" spans="1:14" ht="12.75">
      <c r="A114" s="3063">
        <v>113</v>
      </c>
      <c r="B114" s="3063" t="s">
        <v>3077</v>
      </c>
      <c r="C114" s="3063" t="s">
        <v>3078</v>
      </c>
      <c r="D114" s="3062" t="s">
        <v>3206</v>
      </c>
      <c r="E114" s="3063" t="s">
        <v>3082</v>
      </c>
      <c r="F114" s="3062">
        <v>351.52</v>
      </c>
      <c r="G114" s="3071"/>
      <c r="H114" s="3067">
        <v>122</v>
      </c>
      <c r="I114" s="3065" t="s">
        <v>3349</v>
      </c>
      <c r="J114" s="3070">
        <v>-3</v>
      </c>
      <c r="K114" s="3065" t="s">
        <v>3368</v>
      </c>
      <c r="L114" s="3068">
        <v>45.38</v>
      </c>
      <c r="M114" s="3065" t="s">
        <v>3351</v>
      </c>
      <c r="N114" s="3065" t="s">
        <v>3345</v>
      </c>
    </row>
    <row r="115" spans="1:14" ht="12.75">
      <c r="A115" s="3063">
        <v>114</v>
      </c>
      <c r="B115" s="3063" t="s">
        <v>3077</v>
      </c>
      <c r="C115" s="3063" t="s">
        <v>3078</v>
      </c>
      <c r="D115" s="3062" t="s">
        <v>3207</v>
      </c>
      <c r="E115" s="3063" t="s">
        <v>3082</v>
      </c>
      <c r="F115" s="3062">
        <v>307.95999999999998</v>
      </c>
      <c r="G115" s="3071"/>
      <c r="H115" s="3067">
        <v>123</v>
      </c>
      <c r="I115" s="3065" t="s">
        <v>3349</v>
      </c>
      <c r="J115" s="3070">
        <v>-3</v>
      </c>
      <c r="K115" s="3065" t="s">
        <v>3369</v>
      </c>
      <c r="L115" s="3068">
        <v>45.38</v>
      </c>
      <c r="M115" s="3065" t="s">
        <v>3351</v>
      </c>
      <c r="N115" s="3065" t="s">
        <v>3345</v>
      </c>
    </row>
    <row r="116" spans="1:14" ht="12.75">
      <c r="A116" s="3063">
        <v>115</v>
      </c>
      <c r="B116" s="3063" t="s">
        <v>3077</v>
      </c>
      <c r="C116" s="3063" t="s">
        <v>3078</v>
      </c>
      <c r="D116" s="3062" t="s">
        <v>3208</v>
      </c>
      <c r="E116" s="3063" t="s">
        <v>3082</v>
      </c>
      <c r="F116" s="3062">
        <v>401.22</v>
      </c>
      <c r="G116" s="3071"/>
      <c r="H116" s="3067">
        <v>124</v>
      </c>
      <c r="I116" s="3065" t="s">
        <v>3349</v>
      </c>
      <c r="J116" s="3070">
        <v>-3</v>
      </c>
      <c r="K116" s="3065" t="s">
        <v>3370</v>
      </c>
      <c r="L116" s="3068">
        <v>45.38</v>
      </c>
      <c r="M116" s="3065" t="s">
        <v>3351</v>
      </c>
      <c r="N116" s="3065" t="s">
        <v>3345</v>
      </c>
    </row>
    <row r="117" spans="1:14" ht="12.75">
      <c r="A117" s="3063">
        <v>116</v>
      </c>
      <c r="B117" s="3063" t="s">
        <v>3077</v>
      </c>
      <c r="C117" s="3063" t="s">
        <v>3078</v>
      </c>
      <c r="D117" s="3062" t="s">
        <v>3209</v>
      </c>
      <c r="E117" s="3063" t="s">
        <v>3082</v>
      </c>
      <c r="F117" s="3062">
        <v>337.8</v>
      </c>
      <c r="G117" s="3071"/>
      <c r="H117" s="3067">
        <v>125</v>
      </c>
      <c r="I117" s="3065" t="s">
        <v>3349</v>
      </c>
      <c r="J117" s="3070">
        <v>-3</v>
      </c>
      <c r="K117" s="3065" t="s">
        <v>3371</v>
      </c>
      <c r="L117" s="3068">
        <v>45.38</v>
      </c>
      <c r="M117" s="3065" t="s">
        <v>3351</v>
      </c>
      <c r="N117" s="3065" t="s">
        <v>3345</v>
      </c>
    </row>
    <row r="118" spans="1:14" ht="12.75">
      <c r="A118" s="3063">
        <v>117</v>
      </c>
      <c r="B118" s="3063" t="s">
        <v>3077</v>
      </c>
      <c r="C118" s="3063" t="s">
        <v>3078</v>
      </c>
      <c r="D118" s="3062" t="s">
        <v>3210</v>
      </c>
      <c r="E118" s="3063" t="s">
        <v>3082</v>
      </c>
      <c r="F118" s="3062">
        <v>324.87</v>
      </c>
      <c r="G118" s="3071"/>
      <c r="H118" s="3067">
        <v>126</v>
      </c>
      <c r="I118" s="3065" t="s">
        <v>3349</v>
      </c>
      <c r="J118" s="3070">
        <v>-3</v>
      </c>
      <c r="K118" s="3065" t="s">
        <v>3372</v>
      </c>
      <c r="L118" s="3068">
        <v>45.38</v>
      </c>
      <c r="M118" s="3065" t="s">
        <v>3351</v>
      </c>
      <c r="N118" s="3065" t="s">
        <v>3345</v>
      </c>
    </row>
    <row r="119" spans="1:14" ht="12.75">
      <c r="A119" s="3063">
        <v>118</v>
      </c>
      <c r="B119" s="3063" t="s">
        <v>3077</v>
      </c>
      <c r="C119" s="3063" t="s">
        <v>3078</v>
      </c>
      <c r="D119" s="3062" t="s">
        <v>3211</v>
      </c>
      <c r="E119" s="3063" t="s">
        <v>3082</v>
      </c>
      <c r="F119" s="3062">
        <v>399.69</v>
      </c>
      <c r="G119" s="3071"/>
      <c r="H119" s="3067">
        <v>127</v>
      </c>
      <c r="I119" s="3065" t="s">
        <v>3349</v>
      </c>
      <c r="J119" s="3070">
        <v>-3</v>
      </c>
      <c r="K119" s="3065" t="s">
        <v>3373</v>
      </c>
      <c r="L119" s="3068">
        <v>45.38</v>
      </c>
      <c r="M119" s="3065" t="s">
        <v>3351</v>
      </c>
      <c r="N119" s="3065" t="s">
        <v>3345</v>
      </c>
    </row>
    <row r="120" spans="1:14" ht="12.75">
      <c r="A120" s="3063">
        <v>119</v>
      </c>
      <c r="B120" s="3063" t="s">
        <v>3077</v>
      </c>
      <c r="C120" s="3063" t="s">
        <v>3078</v>
      </c>
      <c r="D120" s="3062" t="s">
        <v>3212</v>
      </c>
      <c r="E120" s="3063" t="s">
        <v>3082</v>
      </c>
      <c r="F120" s="3062">
        <v>308.36</v>
      </c>
      <c r="G120" s="3071"/>
      <c r="H120" s="3067">
        <v>128</v>
      </c>
      <c r="I120" s="3065" t="s">
        <v>3349</v>
      </c>
      <c r="J120" s="3070">
        <v>-3</v>
      </c>
      <c r="K120" s="3065" t="s">
        <v>3374</v>
      </c>
      <c r="L120" s="3068">
        <v>45.38</v>
      </c>
      <c r="M120" s="3065" t="s">
        <v>3351</v>
      </c>
      <c r="N120" s="3065" t="s">
        <v>3345</v>
      </c>
    </row>
    <row r="121" spans="1:14" ht="12.75">
      <c r="A121" s="3063">
        <v>120</v>
      </c>
      <c r="B121" s="3063" t="s">
        <v>3077</v>
      </c>
      <c r="C121" s="3063" t="s">
        <v>3078</v>
      </c>
      <c r="D121" s="3062" t="s">
        <v>3213</v>
      </c>
      <c r="E121" s="3063" t="s">
        <v>3082</v>
      </c>
      <c r="F121" s="3062">
        <v>349.96</v>
      </c>
      <c r="G121" s="3071"/>
      <c r="H121" s="3067">
        <v>129</v>
      </c>
      <c r="I121" s="3065" t="s">
        <v>3349</v>
      </c>
      <c r="J121" s="3070">
        <v>-3</v>
      </c>
      <c r="K121" s="3065" t="s">
        <v>3375</v>
      </c>
      <c r="L121" s="3068">
        <v>45.38</v>
      </c>
      <c r="M121" s="3065" t="s">
        <v>3351</v>
      </c>
      <c r="N121" s="3065" t="s">
        <v>3345</v>
      </c>
    </row>
    <row r="122" spans="1:14" ht="12.75">
      <c r="A122" s="3063">
        <v>121</v>
      </c>
      <c r="B122" s="3063" t="s">
        <v>3077</v>
      </c>
      <c r="C122" s="3063" t="s">
        <v>3078</v>
      </c>
      <c r="D122" s="3062" t="s">
        <v>3214</v>
      </c>
      <c r="E122" s="3063" t="s">
        <v>3082</v>
      </c>
      <c r="F122" s="3062">
        <v>316.22000000000003</v>
      </c>
      <c r="G122" s="3071"/>
      <c r="H122" s="3067">
        <v>130</v>
      </c>
      <c r="I122" s="3065" t="s">
        <v>3349</v>
      </c>
      <c r="J122" s="3070">
        <v>-3</v>
      </c>
      <c r="K122" s="3065" t="s">
        <v>3376</v>
      </c>
      <c r="L122" s="3068">
        <v>45.38</v>
      </c>
      <c r="M122" s="3065" t="s">
        <v>3351</v>
      </c>
      <c r="N122" s="3065" t="s">
        <v>3345</v>
      </c>
    </row>
    <row r="123" spans="1:14" ht="12.75">
      <c r="A123" s="3063">
        <v>122</v>
      </c>
      <c r="B123" s="3063" t="s">
        <v>3077</v>
      </c>
      <c r="C123" s="3063" t="s">
        <v>3078</v>
      </c>
      <c r="D123" s="3062" t="s">
        <v>3215</v>
      </c>
      <c r="E123" s="3063" t="s">
        <v>3082</v>
      </c>
      <c r="F123" s="3062">
        <v>316.22000000000003</v>
      </c>
      <c r="G123" s="3071"/>
      <c r="H123" s="3067">
        <v>131</v>
      </c>
      <c r="I123" s="3065" t="s">
        <v>3349</v>
      </c>
      <c r="J123" s="3070">
        <v>-3</v>
      </c>
      <c r="K123" s="3065" t="s">
        <v>3377</v>
      </c>
      <c r="L123" s="3068">
        <v>45.38</v>
      </c>
      <c r="M123" s="3065" t="s">
        <v>3351</v>
      </c>
      <c r="N123" s="3065" t="s">
        <v>3345</v>
      </c>
    </row>
    <row r="124" spans="1:14" ht="12.75">
      <c r="A124" s="3063">
        <v>123</v>
      </c>
      <c r="B124" s="3063" t="s">
        <v>3077</v>
      </c>
      <c r="C124" s="3063" t="s">
        <v>3078</v>
      </c>
      <c r="D124" s="3062" t="s">
        <v>3216</v>
      </c>
      <c r="E124" s="3063" t="s">
        <v>3082</v>
      </c>
      <c r="F124" s="3062">
        <v>351.52</v>
      </c>
      <c r="G124" s="3071"/>
      <c r="H124" s="3067">
        <v>132</v>
      </c>
      <c r="I124" s="3065" t="s">
        <v>3349</v>
      </c>
      <c r="J124" s="3070">
        <v>-3</v>
      </c>
      <c r="K124" s="3065" t="s">
        <v>3378</v>
      </c>
      <c r="L124" s="3068">
        <v>45.38</v>
      </c>
      <c r="M124" s="3065" t="s">
        <v>3351</v>
      </c>
      <c r="N124" s="3065" t="s">
        <v>3345</v>
      </c>
    </row>
    <row r="125" spans="1:14" ht="12.75">
      <c r="A125" s="3063">
        <v>124</v>
      </c>
      <c r="B125" s="3063" t="s">
        <v>3077</v>
      </c>
      <c r="C125" s="3063" t="s">
        <v>3078</v>
      </c>
      <c r="D125" s="3062" t="s">
        <v>3249</v>
      </c>
      <c r="E125" s="3063" t="s">
        <v>3082</v>
      </c>
      <c r="F125" s="3062">
        <v>307.95999999999998</v>
      </c>
      <c r="G125" s="3071"/>
      <c r="H125" s="3067">
        <v>133</v>
      </c>
      <c r="I125" s="3065" t="s">
        <v>3349</v>
      </c>
      <c r="J125" s="3070">
        <v>-3</v>
      </c>
      <c r="K125" s="3065" t="s">
        <v>3379</v>
      </c>
      <c r="L125" s="3068">
        <v>45.38</v>
      </c>
      <c r="M125" s="3065" t="s">
        <v>3351</v>
      </c>
      <c r="N125" s="3065" t="s">
        <v>3345</v>
      </c>
    </row>
    <row r="126" spans="1:14" ht="12.75">
      <c r="A126" s="3063">
        <v>125</v>
      </c>
      <c r="B126" s="3063" t="s">
        <v>3077</v>
      </c>
      <c r="C126" s="3063" t="s">
        <v>3078</v>
      </c>
      <c r="D126" s="3062" t="s">
        <v>3250</v>
      </c>
      <c r="E126" s="3063" t="s">
        <v>3082</v>
      </c>
      <c r="F126" s="3062">
        <v>401.22</v>
      </c>
      <c r="G126" s="3071"/>
      <c r="H126" s="3067">
        <v>134</v>
      </c>
      <c r="I126" s="3065" t="s">
        <v>3349</v>
      </c>
      <c r="J126" s="3070">
        <v>-3</v>
      </c>
      <c r="K126" s="3065" t="s">
        <v>3380</v>
      </c>
      <c r="L126" s="3068">
        <v>45.38</v>
      </c>
      <c r="M126" s="3065" t="s">
        <v>3351</v>
      </c>
      <c r="N126" s="3065" t="s">
        <v>3345</v>
      </c>
    </row>
    <row r="127" spans="1:14" ht="12.75">
      <c r="A127" s="3063">
        <v>126</v>
      </c>
      <c r="B127" s="3063" t="s">
        <v>3077</v>
      </c>
      <c r="C127" s="3063" t="s">
        <v>3078</v>
      </c>
      <c r="D127" s="3062" t="s">
        <v>3251</v>
      </c>
      <c r="E127" s="3063" t="s">
        <v>3082</v>
      </c>
      <c r="F127" s="3062">
        <v>337.8</v>
      </c>
      <c r="G127" s="3071"/>
      <c r="H127" s="3067">
        <v>135</v>
      </c>
      <c r="I127" s="3065" t="s">
        <v>3349</v>
      </c>
      <c r="J127" s="3070">
        <v>-3</v>
      </c>
      <c r="K127" s="3065" t="s">
        <v>3381</v>
      </c>
      <c r="L127" s="3068">
        <v>45.38</v>
      </c>
      <c r="M127" s="3065" t="s">
        <v>3351</v>
      </c>
      <c r="N127" s="3065" t="s">
        <v>3345</v>
      </c>
    </row>
    <row r="128" spans="1:14" ht="12.75">
      <c r="A128" s="3063">
        <v>127</v>
      </c>
      <c r="B128" s="3063" t="s">
        <v>3077</v>
      </c>
      <c r="C128" s="3063" t="s">
        <v>3078</v>
      </c>
      <c r="D128" s="3062" t="s">
        <v>3252</v>
      </c>
      <c r="E128" s="3063" t="s">
        <v>3082</v>
      </c>
      <c r="F128" s="3062">
        <v>324.87</v>
      </c>
      <c r="G128" s="3071"/>
      <c r="H128" s="3067">
        <v>136</v>
      </c>
      <c r="I128" s="3065" t="s">
        <v>3349</v>
      </c>
      <c r="J128" s="3070">
        <v>-3</v>
      </c>
      <c r="K128" s="3065" t="s">
        <v>3382</v>
      </c>
      <c r="L128" s="3068">
        <v>45.38</v>
      </c>
      <c r="M128" s="3065" t="s">
        <v>3351</v>
      </c>
      <c r="N128" s="3065" t="s">
        <v>3345</v>
      </c>
    </row>
    <row r="129" spans="1:14" ht="12.75">
      <c r="A129" s="3063">
        <v>128</v>
      </c>
      <c r="B129" s="3063" t="s">
        <v>3077</v>
      </c>
      <c r="C129" s="3063" t="s">
        <v>3078</v>
      </c>
      <c r="D129" s="3062" t="s">
        <v>3253</v>
      </c>
      <c r="E129" s="3063" t="s">
        <v>3082</v>
      </c>
      <c r="F129" s="3062">
        <v>399.69</v>
      </c>
      <c r="G129" s="3071"/>
      <c r="H129" s="3067">
        <v>137</v>
      </c>
      <c r="I129" s="3065" t="s">
        <v>3349</v>
      </c>
      <c r="J129" s="3070">
        <v>-3</v>
      </c>
      <c r="K129" s="3065" t="s">
        <v>3383</v>
      </c>
      <c r="L129" s="3068">
        <v>45.38</v>
      </c>
      <c r="M129" s="3065" t="s">
        <v>3351</v>
      </c>
      <c r="N129" s="3065" t="s">
        <v>3345</v>
      </c>
    </row>
    <row r="130" spans="1:14" ht="12.75">
      <c r="A130" s="3063">
        <v>129</v>
      </c>
      <c r="B130" s="3063" t="s">
        <v>3077</v>
      </c>
      <c r="C130" s="3063" t="s">
        <v>3078</v>
      </c>
      <c r="D130" s="3062" t="s">
        <v>3254</v>
      </c>
      <c r="E130" s="3063" t="s">
        <v>3082</v>
      </c>
      <c r="F130" s="3062">
        <v>308.36</v>
      </c>
      <c r="G130" s="3071"/>
      <c r="H130" s="3067">
        <v>138</v>
      </c>
      <c r="I130" s="3065" t="s">
        <v>3349</v>
      </c>
      <c r="J130" s="3070">
        <v>-3</v>
      </c>
      <c r="K130" s="3065" t="s">
        <v>3384</v>
      </c>
      <c r="L130" s="3068">
        <v>45.38</v>
      </c>
      <c r="M130" s="3065" t="s">
        <v>3351</v>
      </c>
      <c r="N130" s="3065" t="s">
        <v>3345</v>
      </c>
    </row>
    <row r="131" spans="1:14" ht="12.75">
      <c r="A131" s="3063">
        <v>130</v>
      </c>
      <c r="B131" s="3063" t="s">
        <v>3077</v>
      </c>
      <c r="C131" s="3063" t="s">
        <v>3078</v>
      </c>
      <c r="D131" s="3062" t="s">
        <v>3255</v>
      </c>
      <c r="E131" s="3063" t="s">
        <v>3082</v>
      </c>
      <c r="F131" s="3062">
        <v>349.96</v>
      </c>
      <c r="G131" s="3071"/>
      <c r="H131" s="3067">
        <v>139</v>
      </c>
      <c r="I131" s="3065" t="s">
        <v>3349</v>
      </c>
      <c r="J131" s="3070">
        <v>-3</v>
      </c>
      <c r="K131" s="3065" t="s">
        <v>3385</v>
      </c>
      <c r="L131" s="3068">
        <v>45.38</v>
      </c>
      <c r="M131" s="3065" t="s">
        <v>3351</v>
      </c>
      <c r="N131" s="3065" t="s">
        <v>3345</v>
      </c>
    </row>
    <row r="132" spans="1:14" ht="12.75">
      <c r="A132" s="3063">
        <v>131</v>
      </c>
      <c r="B132" s="3063" t="s">
        <v>3077</v>
      </c>
      <c r="C132" s="3063" t="s">
        <v>3078</v>
      </c>
      <c r="D132" s="3062" t="s">
        <v>3256</v>
      </c>
      <c r="E132" s="3063" t="s">
        <v>3082</v>
      </c>
      <c r="F132" s="3062">
        <v>316.22000000000003</v>
      </c>
      <c r="G132" s="3071"/>
      <c r="H132" s="3067">
        <v>140</v>
      </c>
      <c r="I132" s="3065" t="s">
        <v>3349</v>
      </c>
      <c r="J132" s="3070">
        <v>-3</v>
      </c>
      <c r="K132" s="3065" t="s">
        <v>3386</v>
      </c>
      <c r="L132" s="3068">
        <v>45.38</v>
      </c>
      <c r="M132" s="3065" t="s">
        <v>3351</v>
      </c>
      <c r="N132" s="3065" t="s">
        <v>3345</v>
      </c>
    </row>
    <row r="133" spans="1:14" ht="12.75">
      <c r="A133" s="3063">
        <v>132</v>
      </c>
      <c r="B133" s="3063" t="s">
        <v>3077</v>
      </c>
      <c r="C133" s="3063" t="s">
        <v>3078</v>
      </c>
      <c r="D133" s="3062" t="s">
        <v>3257</v>
      </c>
      <c r="E133" s="3063" t="s">
        <v>3082</v>
      </c>
      <c r="F133" s="3062">
        <v>316.22000000000003</v>
      </c>
      <c r="G133" s="3071"/>
      <c r="H133" s="3067">
        <v>141</v>
      </c>
      <c r="I133" s="3065" t="s">
        <v>3349</v>
      </c>
      <c r="J133" s="3070">
        <v>-3</v>
      </c>
      <c r="K133" s="3065" t="s">
        <v>3387</v>
      </c>
      <c r="L133" s="3068">
        <v>45.38</v>
      </c>
      <c r="M133" s="3065" t="s">
        <v>3351</v>
      </c>
      <c r="N133" s="3065" t="s">
        <v>3345</v>
      </c>
    </row>
    <row r="134" spans="1:14" ht="12.75">
      <c r="A134" s="3063">
        <v>133</v>
      </c>
      <c r="B134" s="3063" t="s">
        <v>3077</v>
      </c>
      <c r="C134" s="3063" t="s">
        <v>3078</v>
      </c>
      <c r="D134" s="3062" t="s">
        <v>3258</v>
      </c>
      <c r="E134" s="3063" t="s">
        <v>3082</v>
      </c>
      <c r="F134" s="3062">
        <v>392.87</v>
      </c>
      <c r="G134" s="3071"/>
      <c r="H134" s="3067">
        <v>142</v>
      </c>
      <c r="I134" s="3065" t="s">
        <v>3349</v>
      </c>
      <c r="J134" s="3070">
        <v>-3</v>
      </c>
      <c r="K134" s="3065" t="s">
        <v>3388</v>
      </c>
      <c r="L134" s="3068">
        <v>45.38</v>
      </c>
      <c r="M134" s="3065" t="s">
        <v>3351</v>
      </c>
      <c r="N134" s="3065" t="s">
        <v>3345</v>
      </c>
    </row>
    <row r="135" spans="1:14" ht="12.75">
      <c r="A135" s="3063">
        <v>134</v>
      </c>
      <c r="B135" s="3063" t="s">
        <v>3077</v>
      </c>
      <c r="C135" s="3063" t="s">
        <v>3078</v>
      </c>
      <c r="D135" s="3062" t="s">
        <v>3259</v>
      </c>
      <c r="E135" s="3063" t="s">
        <v>3082</v>
      </c>
      <c r="F135" s="3062">
        <v>299.86</v>
      </c>
      <c r="G135" s="3071"/>
      <c r="H135" s="3067">
        <v>143</v>
      </c>
      <c r="I135" s="3065" t="s">
        <v>3349</v>
      </c>
      <c r="J135" s="3070">
        <v>-3</v>
      </c>
      <c r="K135" s="3065" t="s">
        <v>3389</v>
      </c>
      <c r="L135" s="3068">
        <v>45.38</v>
      </c>
      <c r="M135" s="3065" t="s">
        <v>3351</v>
      </c>
      <c r="N135" s="3065" t="s">
        <v>3345</v>
      </c>
    </row>
    <row r="136" spans="1:14" ht="12.75">
      <c r="A136" s="3063">
        <v>135</v>
      </c>
      <c r="B136" s="3063" t="s">
        <v>3077</v>
      </c>
      <c r="C136" s="3063" t="s">
        <v>3078</v>
      </c>
      <c r="D136" s="3062" t="s">
        <v>3260</v>
      </c>
      <c r="E136" s="3063" t="s">
        <v>3082</v>
      </c>
      <c r="F136" s="3062">
        <v>207.87</v>
      </c>
      <c r="G136" s="3071"/>
      <c r="H136" s="3067">
        <v>144</v>
      </c>
      <c r="I136" s="3065" t="s">
        <v>3349</v>
      </c>
      <c r="J136" s="3070">
        <v>-3</v>
      </c>
      <c r="K136" s="3065" t="s">
        <v>3390</v>
      </c>
      <c r="L136" s="3068">
        <v>45.38</v>
      </c>
      <c r="M136" s="3065" t="s">
        <v>3351</v>
      </c>
      <c r="N136" s="3065" t="s">
        <v>3345</v>
      </c>
    </row>
    <row r="137" spans="1:14" ht="12.75">
      <c r="A137" s="3063">
        <v>136</v>
      </c>
      <c r="B137" s="3063" t="s">
        <v>3077</v>
      </c>
      <c r="C137" s="3063" t="s">
        <v>3078</v>
      </c>
      <c r="D137" s="3062" t="s">
        <v>3261</v>
      </c>
      <c r="E137" s="3063" t="s">
        <v>3082</v>
      </c>
      <c r="F137" s="3062">
        <v>207.87</v>
      </c>
      <c r="G137" s="3071"/>
      <c r="H137" s="3067">
        <v>145</v>
      </c>
      <c r="I137" s="3065" t="s">
        <v>3349</v>
      </c>
      <c r="J137" s="3070">
        <v>-3</v>
      </c>
      <c r="K137" s="3065" t="s">
        <v>3391</v>
      </c>
      <c r="L137" s="3068">
        <v>45.38</v>
      </c>
      <c r="M137" s="3065" t="s">
        <v>3351</v>
      </c>
      <c r="N137" s="3065" t="s">
        <v>3345</v>
      </c>
    </row>
    <row r="138" spans="1:14" ht="12.75">
      <c r="A138" s="3063">
        <v>137</v>
      </c>
      <c r="B138" s="3063" t="s">
        <v>3077</v>
      </c>
      <c r="C138" s="3063" t="s">
        <v>3078</v>
      </c>
      <c r="D138" s="3062" t="s">
        <v>3262</v>
      </c>
      <c r="E138" s="3063" t="s">
        <v>3082</v>
      </c>
      <c r="F138" s="3062">
        <v>299.86</v>
      </c>
      <c r="G138" s="3071"/>
      <c r="H138" s="3067">
        <v>146</v>
      </c>
      <c r="I138" s="3065" t="s">
        <v>3349</v>
      </c>
      <c r="J138" s="3070">
        <v>-3</v>
      </c>
      <c r="K138" s="3065" t="s">
        <v>3392</v>
      </c>
      <c r="L138" s="3068">
        <v>45.38</v>
      </c>
      <c r="M138" s="3065" t="s">
        <v>3351</v>
      </c>
      <c r="N138" s="3065" t="s">
        <v>3345</v>
      </c>
    </row>
    <row r="139" spans="1:14" ht="12.75">
      <c r="A139" s="3063">
        <v>138</v>
      </c>
      <c r="B139" s="3063" t="s">
        <v>3077</v>
      </c>
      <c r="C139" s="3063" t="s">
        <v>3078</v>
      </c>
      <c r="D139" s="3062" t="s">
        <v>3263</v>
      </c>
      <c r="E139" s="3063" t="s">
        <v>3082</v>
      </c>
      <c r="F139" s="3062">
        <v>392.87</v>
      </c>
      <c r="G139" s="3071"/>
      <c r="H139" s="3067">
        <v>147</v>
      </c>
      <c r="I139" s="3065" t="s">
        <v>3349</v>
      </c>
      <c r="J139" s="3070">
        <v>-3</v>
      </c>
      <c r="K139" s="3065" t="s">
        <v>3393</v>
      </c>
      <c r="L139" s="3068">
        <v>45.38</v>
      </c>
      <c r="M139" s="3065" t="s">
        <v>3351</v>
      </c>
      <c r="N139" s="3065" t="s">
        <v>3345</v>
      </c>
    </row>
    <row r="140" spans="1:14" ht="12.75">
      <c r="A140" s="3063">
        <v>139</v>
      </c>
      <c r="B140" s="3063" t="s">
        <v>3077</v>
      </c>
      <c r="C140" s="3063" t="s">
        <v>3078</v>
      </c>
      <c r="D140" s="3062" t="s">
        <v>3264</v>
      </c>
      <c r="E140" s="3063" t="s">
        <v>3082</v>
      </c>
      <c r="F140" s="3062">
        <v>353.42</v>
      </c>
      <c r="G140" s="3071"/>
      <c r="H140" s="3067">
        <v>148</v>
      </c>
      <c r="I140" s="3065" t="s">
        <v>3349</v>
      </c>
      <c r="J140" s="3070">
        <v>-3</v>
      </c>
      <c r="K140" s="3065" t="s">
        <v>3394</v>
      </c>
      <c r="L140" s="3068">
        <v>45.38</v>
      </c>
      <c r="M140" s="3065" t="s">
        <v>3351</v>
      </c>
      <c r="N140" s="3065" t="s">
        <v>3345</v>
      </c>
    </row>
    <row r="141" spans="1:14" ht="12.75">
      <c r="A141" s="3063">
        <v>140</v>
      </c>
      <c r="B141" s="3063" t="s">
        <v>3077</v>
      </c>
      <c r="C141" s="3063" t="s">
        <v>3078</v>
      </c>
      <c r="D141" s="3062" t="s">
        <v>3265</v>
      </c>
      <c r="E141" s="3063" t="s">
        <v>3082</v>
      </c>
      <c r="F141" s="3062">
        <v>353.42</v>
      </c>
      <c r="G141" s="3071"/>
      <c r="H141" s="3067">
        <v>149</v>
      </c>
      <c r="I141" s="3065" t="s">
        <v>3349</v>
      </c>
      <c r="J141" s="3070">
        <v>-3</v>
      </c>
      <c r="K141" s="3065" t="s">
        <v>3395</v>
      </c>
      <c r="L141" s="3068">
        <v>45.38</v>
      </c>
      <c r="M141" s="3065" t="s">
        <v>3351</v>
      </c>
      <c r="N141" s="3065" t="s">
        <v>3345</v>
      </c>
    </row>
    <row r="142" spans="1:14" ht="12.75">
      <c r="A142" s="3167" t="s">
        <v>3084</v>
      </c>
      <c r="B142" s="3168"/>
      <c r="C142" s="3168"/>
      <c r="D142" s="3168"/>
      <c r="E142" s="3169"/>
      <c r="F142" s="3064">
        <f>SUM(F2:F141)</f>
        <v>49681.500000000044</v>
      </c>
      <c r="G142" s="3072"/>
      <c r="H142" s="3067">
        <v>150</v>
      </c>
      <c r="I142" s="3065" t="s">
        <v>3349</v>
      </c>
      <c r="J142" s="3070">
        <v>-3</v>
      </c>
      <c r="K142" s="3065" t="s">
        <v>3396</v>
      </c>
      <c r="L142" s="3068">
        <v>45.38</v>
      </c>
      <c r="M142" s="3065" t="s">
        <v>3351</v>
      </c>
      <c r="N142" s="3065" t="s">
        <v>3345</v>
      </c>
    </row>
    <row r="143" spans="1:14" ht="12.75">
      <c r="H143" s="3067">
        <v>151</v>
      </c>
      <c r="I143" s="3065" t="s">
        <v>3349</v>
      </c>
      <c r="J143" s="3070">
        <v>-3</v>
      </c>
      <c r="K143" s="3065" t="s">
        <v>3397</v>
      </c>
      <c r="L143" s="3068">
        <v>45.38</v>
      </c>
      <c r="M143" s="3065" t="s">
        <v>3351</v>
      </c>
      <c r="N143" s="3065" t="s">
        <v>3345</v>
      </c>
    </row>
    <row r="144" spans="1:14" ht="12.75">
      <c r="H144" s="3067">
        <v>152</v>
      </c>
      <c r="I144" s="3065" t="s">
        <v>3349</v>
      </c>
      <c r="J144" s="3070">
        <v>-3</v>
      </c>
      <c r="K144" s="3065" t="s">
        <v>3398</v>
      </c>
      <c r="L144" s="3068">
        <v>45.38</v>
      </c>
      <c r="M144" s="3065" t="s">
        <v>3351</v>
      </c>
      <c r="N144" s="3065" t="s">
        <v>3345</v>
      </c>
    </row>
    <row r="145" spans="1:14" ht="12.75">
      <c r="A145" s="3065" t="s">
        <v>3085</v>
      </c>
      <c r="B145" s="3065" t="s">
        <v>3087</v>
      </c>
      <c r="C145" s="3065" t="s">
        <v>3086</v>
      </c>
      <c r="D145" s="3065" t="s">
        <v>3088</v>
      </c>
      <c r="E145" s="3069" t="s">
        <v>3578</v>
      </c>
      <c r="F145" s="3078" t="s">
        <v>3089</v>
      </c>
      <c r="G145" s="3073"/>
      <c r="H145" s="3067">
        <v>153</v>
      </c>
      <c r="I145" s="3065" t="s">
        <v>3349</v>
      </c>
      <c r="J145" s="3070">
        <v>-3</v>
      </c>
      <c r="K145" s="3065" t="s">
        <v>3399</v>
      </c>
      <c r="L145" s="3068">
        <v>45.38</v>
      </c>
      <c r="M145" s="3065" t="s">
        <v>3351</v>
      </c>
      <c r="N145" s="3065" t="s">
        <v>3345</v>
      </c>
    </row>
    <row r="146" spans="1:14" ht="12.75">
      <c r="A146" s="3067">
        <v>6</v>
      </c>
      <c r="B146" s="3067">
        <v>10</v>
      </c>
      <c r="C146" s="3065" t="s">
        <v>3568</v>
      </c>
      <c r="D146" s="3065" t="s">
        <v>3569</v>
      </c>
      <c r="E146" s="3068">
        <v>30.24</v>
      </c>
      <c r="F146" s="3078" t="s">
        <v>3351</v>
      </c>
      <c r="G146" s="3077"/>
      <c r="H146" s="3067">
        <v>154</v>
      </c>
      <c r="I146" s="3065" t="s">
        <v>3349</v>
      </c>
      <c r="J146" s="3070">
        <v>-3</v>
      </c>
      <c r="K146" s="3065" t="s">
        <v>3400</v>
      </c>
      <c r="L146" s="3068">
        <v>45.38</v>
      </c>
      <c r="M146" s="3065" t="s">
        <v>3351</v>
      </c>
      <c r="N146" s="3065" t="s">
        <v>3345</v>
      </c>
    </row>
    <row r="147" spans="1:14" ht="12.75">
      <c r="A147" s="3067">
        <v>7</v>
      </c>
      <c r="B147" s="3067">
        <v>11</v>
      </c>
      <c r="C147" s="3065" t="s">
        <v>3568</v>
      </c>
      <c r="D147" s="3065" t="s">
        <v>3570</v>
      </c>
      <c r="E147" s="3068">
        <v>30.24</v>
      </c>
      <c r="F147" s="3078" t="s">
        <v>3351</v>
      </c>
      <c r="G147" s="3077"/>
      <c r="H147" s="3067">
        <v>155</v>
      </c>
      <c r="I147" s="3065" t="s">
        <v>3349</v>
      </c>
      <c r="J147" s="3070">
        <v>-3</v>
      </c>
      <c r="K147" s="3065" t="s">
        <v>3401</v>
      </c>
      <c r="L147" s="3068">
        <v>45.38</v>
      </c>
      <c r="M147" s="3065" t="s">
        <v>3351</v>
      </c>
      <c r="N147" s="3065" t="s">
        <v>3345</v>
      </c>
    </row>
    <row r="148" spans="1:14" ht="12.75">
      <c r="A148" s="3067">
        <v>8</v>
      </c>
      <c r="B148" s="3067">
        <v>12</v>
      </c>
      <c r="C148" s="3065" t="s">
        <v>3568</v>
      </c>
      <c r="D148" s="3065" t="s">
        <v>3571</v>
      </c>
      <c r="E148" s="3068">
        <v>30.24</v>
      </c>
      <c r="F148" s="3078" t="s">
        <v>3351</v>
      </c>
      <c r="G148" s="3077"/>
      <c r="H148" s="3067">
        <v>156</v>
      </c>
      <c r="I148" s="3065" t="s">
        <v>3349</v>
      </c>
      <c r="J148" s="3070">
        <v>-3</v>
      </c>
      <c r="K148" s="3065" t="s">
        <v>3402</v>
      </c>
      <c r="L148" s="3068">
        <v>45.38</v>
      </c>
      <c r="M148" s="3065" t="s">
        <v>3351</v>
      </c>
      <c r="N148" s="3065" t="s">
        <v>3345</v>
      </c>
    </row>
    <row r="149" spans="1:14" ht="12.75">
      <c r="A149" s="3067">
        <v>9</v>
      </c>
      <c r="B149" s="3067">
        <v>13</v>
      </c>
      <c r="C149" s="3065" t="s">
        <v>3568</v>
      </c>
      <c r="D149" s="3065" t="s">
        <v>3572</v>
      </c>
      <c r="E149" s="3068">
        <v>30.24</v>
      </c>
      <c r="F149" s="3078" t="s">
        <v>3351</v>
      </c>
      <c r="G149" s="3077"/>
      <c r="H149" s="3067">
        <v>157</v>
      </c>
      <c r="I149" s="3065" t="s">
        <v>3349</v>
      </c>
      <c r="J149" s="3070">
        <v>-3</v>
      </c>
      <c r="K149" s="3065" t="s">
        <v>3403</v>
      </c>
      <c r="L149" s="3068">
        <v>45.38</v>
      </c>
      <c r="M149" s="3065" t="s">
        <v>3351</v>
      </c>
      <c r="N149" s="3065" t="s">
        <v>3345</v>
      </c>
    </row>
    <row r="150" spans="1:14" ht="12.75">
      <c r="A150" s="3067">
        <v>10</v>
      </c>
      <c r="B150" s="3067">
        <v>14</v>
      </c>
      <c r="C150" s="3065" t="s">
        <v>3568</v>
      </c>
      <c r="D150" s="3065" t="s">
        <v>3573</v>
      </c>
      <c r="E150" s="3068">
        <v>30.24</v>
      </c>
      <c r="F150" s="3078" t="s">
        <v>3351</v>
      </c>
      <c r="G150" s="3077"/>
      <c r="H150" s="3067">
        <v>158</v>
      </c>
      <c r="I150" s="3065" t="s">
        <v>3349</v>
      </c>
      <c r="J150" s="3070">
        <v>-3</v>
      </c>
      <c r="K150" s="3065" t="s">
        <v>3404</v>
      </c>
      <c r="L150" s="3068">
        <v>45.38</v>
      </c>
      <c r="M150" s="3065" t="s">
        <v>3351</v>
      </c>
      <c r="N150" s="3065" t="s">
        <v>3345</v>
      </c>
    </row>
    <row r="151" spans="1:14" ht="12.75">
      <c r="A151" s="3067">
        <v>11</v>
      </c>
      <c r="B151" s="3067">
        <v>15</v>
      </c>
      <c r="C151" s="3065" t="s">
        <v>3568</v>
      </c>
      <c r="D151" s="3065" t="s">
        <v>3574</v>
      </c>
      <c r="E151" s="3068">
        <v>30.24</v>
      </c>
      <c r="F151" s="3078" t="s">
        <v>3351</v>
      </c>
      <c r="G151" s="3077"/>
      <c r="H151" s="3067">
        <v>159</v>
      </c>
      <c r="I151" s="3065" t="s">
        <v>3349</v>
      </c>
      <c r="J151" s="3070">
        <v>-3</v>
      </c>
      <c r="K151" s="3065" t="s">
        <v>3405</v>
      </c>
      <c r="L151" s="3068">
        <v>45.38</v>
      </c>
      <c r="M151" s="3065" t="s">
        <v>3351</v>
      </c>
      <c r="N151" s="3065" t="s">
        <v>3345</v>
      </c>
    </row>
    <row r="152" spans="1:14" ht="12.75">
      <c r="A152" s="3067">
        <v>12</v>
      </c>
      <c r="B152" s="3070">
        <v>-1</v>
      </c>
      <c r="C152" s="3065" t="s">
        <v>3349</v>
      </c>
      <c r="D152" s="3065" t="s">
        <v>3575</v>
      </c>
      <c r="E152" s="3068">
        <v>61.07</v>
      </c>
      <c r="F152" s="3078" t="s">
        <v>3351</v>
      </c>
      <c r="G152" s="3077"/>
      <c r="H152" s="3067">
        <v>160</v>
      </c>
      <c r="I152" s="3065" t="s">
        <v>3349</v>
      </c>
      <c r="J152" s="3070">
        <v>-3</v>
      </c>
      <c r="K152" s="3065" t="s">
        <v>3406</v>
      </c>
      <c r="L152" s="3068">
        <v>45.38</v>
      </c>
      <c r="M152" s="3065" t="s">
        <v>3351</v>
      </c>
      <c r="N152" s="3065" t="s">
        <v>3345</v>
      </c>
    </row>
    <row r="153" spans="1:14" ht="12.75">
      <c r="A153" s="3067">
        <v>13</v>
      </c>
      <c r="B153" s="3070">
        <v>-2</v>
      </c>
      <c r="C153" s="3065" t="s">
        <v>3349</v>
      </c>
      <c r="D153" s="3065" t="s">
        <v>3576</v>
      </c>
      <c r="E153" s="3068">
        <v>7.35</v>
      </c>
      <c r="F153" s="3078" t="s">
        <v>3351</v>
      </c>
      <c r="G153" s="3077"/>
      <c r="H153" s="3067">
        <v>161</v>
      </c>
      <c r="I153" s="3065" t="s">
        <v>3349</v>
      </c>
      <c r="J153" s="3070">
        <v>-3</v>
      </c>
      <c r="K153" s="3065" t="s">
        <v>3407</v>
      </c>
      <c r="L153" s="3068">
        <v>45.38</v>
      </c>
      <c r="M153" s="3065" t="s">
        <v>3351</v>
      </c>
      <c r="N153" s="3065" t="s">
        <v>3345</v>
      </c>
    </row>
    <row r="154" spans="1:14" ht="12.75">
      <c r="A154" s="3067">
        <v>14</v>
      </c>
      <c r="B154" s="3070">
        <v>-3</v>
      </c>
      <c r="C154" s="3065" t="s">
        <v>3349</v>
      </c>
      <c r="D154" s="3065" t="s">
        <v>3577</v>
      </c>
      <c r="E154" s="3068">
        <v>68.260000000000005</v>
      </c>
      <c r="F154" s="3078" t="s">
        <v>3351</v>
      </c>
      <c r="G154" s="3077"/>
      <c r="H154" s="3067">
        <v>162</v>
      </c>
      <c r="I154" s="3065" t="s">
        <v>3349</v>
      </c>
      <c r="J154" s="3070">
        <v>-3</v>
      </c>
      <c r="K154" s="3065" t="s">
        <v>3408</v>
      </c>
      <c r="L154" s="3068">
        <v>45.38</v>
      </c>
      <c r="M154" s="3065" t="s">
        <v>3351</v>
      </c>
      <c r="N154" s="3065" t="s">
        <v>3345</v>
      </c>
    </row>
    <row r="155" spans="1:14" ht="12.75">
      <c r="H155" s="3067">
        <v>163</v>
      </c>
      <c r="I155" s="3065" t="s">
        <v>3349</v>
      </c>
      <c r="J155" s="3070">
        <v>-3</v>
      </c>
      <c r="K155" s="3065" t="s">
        <v>3409</v>
      </c>
      <c r="L155" s="3068">
        <v>45.38</v>
      </c>
      <c r="M155" s="3065" t="s">
        <v>3351</v>
      </c>
      <c r="N155" s="3065" t="s">
        <v>3345</v>
      </c>
    </row>
    <row r="156" spans="1:14" ht="12.75">
      <c r="H156" s="3067">
        <v>164</v>
      </c>
      <c r="I156" s="3065" t="s">
        <v>3349</v>
      </c>
      <c r="J156" s="3070">
        <v>-3</v>
      </c>
      <c r="K156" s="3065" t="s">
        <v>3410</v>
      </c>
      <c r="L156" s="3068">
        <v>45.38</v>
      </c>
      <c r="M156" s="3065" t="s">
        <v>3351</v>
      </c>
      <c r="N156" s="3065" t="s">
        <v>3345</v>
      </c>
    </row>
    <row r="157" spans="1:14" ht="12.75">
      <c r="H157" s="3067">
        <v>165</v>
      </c>
      <c r="I157" s="3065" t="s">
        <v>3349</v>
      </c>
      <c r="J157" s="3070">
        <v>-3</v>
      </c>
      <c r="K157" s="3065" t="s">
        <v>3411</v>
      </c>
      <c r="L157" s="3068">
        <v>45.38</v>
      </c>
      <c r="M157" s="3065" t="s">
        <v>3351</v>
      </c>
      <c r="N157" s="3065" t="s">
        <v>3345</v>
      </c>
    </row>
    <row r="158" spans="1:14" ht="12.75">
      <c r="B158" s="3073"/>
      <c r="C158" s="3066" t="s">
        <v>3585</v>
      </c>
      <c r="D158" s="3066" t="s">
        <v>3586</v>
      </c>
      <c r="E158" s="3066" t="s">
        <v>3591</v>
      </c>
      <c r="H158" s="3067">
        <v>166</v>
      </c>
      <c r="I158" s="3065" t="s">
        <v>3349</v>
      </c>
      <c r="J158" s="3070">
        <v>-3</v>
      </c>
      <c r="K158" s="3065" t="s">
        <v>3412</v>
      </c>
      <c r="L158" s="3068">
        <v>45.38</v>
      </c>
      <c r="M158" s="3065" t="s">
        <v>3351</v>
      </c>
      <c r="N158" s="3065" t="s">
        <v>3345</v>
      </c>
    </row>
    <row r="159" spans="1:14" ht="12.75">
      <c r="B159" s="3079" t="s">
        <v>3583</v>
      </c>
      <c r="C159" s="3066">
        <f>SUM(F6,F11:F141)</f>
        <v>46753.740000000034</v>
      </c>
      <c r="E159" s="3066">
        <f>C159+D159</f>
        <v>46753.740000000034</v>
      </c>
      <c r="H159" s="3067">
        <v>167</v>
      </c>
      <c r="I159" s="3065" t="s">
        <v>3349</v>
      </c>
      <c r="J159" s="3070">
        <v>-3</v>
      </c>
      <c r="K159" s="3065" t="s">
        <v>3413</v>
      </c>
      <c r="L159" s="3068">
        <v>45.38</v>
      </c>
      <c r="M159" s="3065" t="s">
        <v>3351</v>
      </c>
      <c r="N159" s="3065" t="s">
        <v>3345</v>
      </c>
    </row>
    <row r="160" spans="1:14" ht="12.75">
      <c r="B160" s="3079" t="s">
        <v>3584</v>
      </c>
      <c r="C160" s="3080">
        <f>SUM(F2:F5,F7:F10,L2:L5)</f>
        <v>4952.0099999999993</v>
      </c>
      <c r="D160" s="3080">
        <f>L6</f>
        <v>5379.1</v>
      </c>
      <c r="E160" s="3434">
        <f>C160+D160</f>
        <v>10331.11</v>
      </c>
      <c r="H160" s="3067">
        <v>168</v>
      </c>
      <c r="I160" s="3065" t="s">
        <v>3349</v>
      </c>
      <c r="J160" s="3070">
        <v>-3</v>
      </c>
      <c r="K160" s="3065" t="s">
        <v>3414</v>
      </c>
      <c r="L160" s="3068">
        <v>45.38</v>
      </c>
      <c r="M160" s="3065" t="s">
        <v>3351</v>
      </c>
      <c r="N160" s="3065" t="s">
        <v>3345</v>
      </c>
    </row>
    <row r="161" spans="2:14" ht="12.75">
      <c r="B161" s="3079" t="s">
        <v>3588</v>
      </c>
      <c r="D161" s="3080">
        <f>SUM(L7:L332)</f>
        <v>14680.529999999908</v>
      </c>
      <c r="E161" s="3435">
        <f>C161+D161</f>
        <v>14680.529999999908</v>
      </c>
      <c r="H161" s="3067">
        <v>169</v>
      </c>
      <c r="I161" s="3065" t="s">
        <v>3349</v>
      </c>
      <c r="J161" s="3070">
        <v>-3</v>
      </c>
      <c r="K161" s="3065" t="s">
        <v>3415</v>
      </c>
      <c r="L161" s="3068">
        <v>45.38</v>
      </c>
      <c r="M161" s="3065" t="s">
        <v>3351</v>
      </c>
      <c r="N161" s="3065" t="s">
        <v>3345</v>
      </c>
    </row>
    <row r="162" spans="2:14" ht="12.75">
      <c r="B162" s="3079" t="s">
        <v>3590</v>
      </c>
      <c r="C162" s="3080">
        <f>SUM(E146:E151)</f>
        <v>181.44</v>
      </c>
      <c r="D162" s="3080">
        <f>SUM(E152:E154)</f>
        <v>136.68</v>
      </c>
      <c r="E162" s="3434">
        <f>C162+D162</f>
        <v>318.12</v>
      </c>
      <c r="H162" s="3067">
        <v>170</v>
      </c>
      <c r="I162" s="3065" t="s">
        <v>3349</v>
      </c>
      <c r="J162" s="3070">
        <v>-3</v>
      </c>
      <c r="K162" s="3065" t="s">
        <v>3416</v>
      </c>
      <c r="L162" s="3068">
        <v>45.38</v>
      </c>
      <c r="M162" s="3065" t="s">
        <v>3351</v>
      </c>
      <c r="N162" s="3065" t="s">
        <v>3345</v>
      </c>
    </row>
    <row r="163" spans="2:14" ht="12.75">
      <c r="B163" s="3075"/>
      <c r="E163" s="3066">
        <f>SUM(E159:E162)</f>
        <v>72083.499999999942</v>
      </c>
      <c r="H163" s="3067">
        <v>171</v>
      </c>
      <c r="I163" s="3065" t="s">
        <v>3349</v>
      </c>
      <c r="J163" s="3070">
        <v>-3</v>
      </c>
      <c r="K163" s="3065" t="s">
        <v>3417</v>
      </c>
      <c r="L163" s="3068">
        <v>45.38</v>
      </c>
      <c r="M163" s="3065" t="s">
        <v>3351</v>
      </c>
      <c r="N163" s="3065" t="s">
        <v>3345</v>
      </c>
    </row>
    <row r="164" spans="2:14" ht="12.75">
      <c r="B164" s="3075"/>
      <c r="H164" s="3067">
        <v>172</v>
      </c>
      <c r="I164" s="3065" t="s">
        <v>3349</v>
      </c>
      <c r="J164" s="3070">
        <v>-3</v>
      </c>
      <c r="K164" s="3065" t="s">
        <v>3418</v>
      </c>
      <c r="L164" s="3068">
        <v>45.38</v>
      </c>
      <c r="M164" s="3065" t="s">
        <v>3351</v>
      </c>
      <c r="N164" s="3065" t="s">
        <v>3345</v>
      </c>
    </row>
    <row r="165" spans="2:14" ht="12.75">
      <c r="B165" s="3076"/>
      <c r="H165" s="3067">
        <v>173</v>
      </c>
      <c r="I165" s="3065" t="s">
        <v>3349</v>
      </c>
      <c r="J165" s="3070">
        <v>-3</v>
      </c>
      <c r="K165" s="3065" t="s">
        <v>3419</v>
      </c>
      <c r="L165" s="3068">
        <v>45.38</v>
      </c>
      <c r="M165" s="3065" t="s">
        <v>3351</v>
      </c>
      <c r="N165" s="3065" t="s">
        <v>3345</v>
      </c>
    </row>
    <row r="166" spans="2:14" ht="12.75">
      <c r="B166" s="3076"/>
      <c r="H166" s="3067">
        <v>174</v>
      </c>
      <c r="I166" s="3065" t="s">
        <v>3349</v>
      </c>
      <c r="J166" s="3070">
        <v>-3</v>
      </c>
      <c r="K166" s="3065" t="s">
        <v>3420</v>
      </c>
      <c r="L166" s="3068">
        <v>45.38</v>
      </c>
      <c r="M166" s="3065" t="s">
        <v>3351</v>
      </c>
      <c r="N166" s="3065" t="s">
        <v>3345</v>
      </c>
    </row>
    <row r="167" spans="2:14" ht="12.75">
      <c r="B167" s="3076"/>
      <c r="H167" s="3067">
        <v>175</v>
      </c>
      <c r="I167" s="3065" t="s">
        <v>3349</v>
      </c>
      <c r="J167" s="3070">
        <v>-3</v>
      </c>
      <c r="K167" s="3065" t="s">
        <v>3421</v>
      </c>
      <c r="L167" s="3068">
        <v>45.38</v>
      </c>
      <c r="M167" s="3065" t="s">
        <v>3351</v>
      </c>
      <c r="N167" s="3065" t="s">
        <v>3345</v>
      </c>
    </row>
    <row r="168" spans="2:14" ht="12.75">
      <c r="H168" s="3067">
        <v>176</v>
      </c>
      <c r="I168" s="3065" t="s">
        <v>3349</v>
      </c>
      <c r="J168" s="3070">
        <v>-3</v>
      </c>
      <c r="K168" s="3065" t="s">
        <v>3422</v>
      </c>
      <c r="L168" s="3068">
        <v>45.38</v>
      </c>
      <c r="M168" s="3065" t="s">
        <v>3351</v>
      </c>
      <c r="N168" s="3065" t="s">
        <v>3345</v>
      </c>
    </row>
    <row r="169" spans="2:14" ht="12.75">
      <c r="H169" s="3067">
        <v>177</v>
      </c>
      <c r="I169" s="3065" t="s">
        <v>3349</v>
      </c>
      <c r="J169" s="3070">
        <v>-3</v>
      </c>
      <c r="K169" s="3065" t="s">
        <v>3423</v>
      </c>
      <c r="L169" s="3068">
        <v>45.38</v>
      </c>
      <c r="M169" s="3065" t="s">
        <v>3351</v>
      </c>
      <c r="N169" s="3065" t="s">
        <v>3345</v>
      </c>
    </row>
    <row r="170" spans="2:14" ht="12.75">
      <c r="H170" s="3067">
        <v>178</v>
      </c>
      <c r="I170" s="3065" t="s">
        <v>3349</v>
      </c>
      <c r="J170" s="3070">
        <v>-3</v>
      </c>
      <c r="K170" s="3065" t="s">
        <v>3424</v>
      </c>
      <c r="L170" s="3068">
        <v>45.38</v>
      </c>
      <c r="M170" s="3065" t="s">
        <v>3351</v>
      </c>
      <c r="N170" s="3065" t="s">
        <v>3345</v>
      </c>
    </row>
    <row r="171" spans="2:14" ht="12.75">
      <c r="H171" s="3067">
        <v>179</v>
      </c>
      <c r="I171" s="3065" t="s">
        <v>3349</v>
      </c>
      <c r="J171" s="3070">
        <v>-3</v>
      </c>
      <c r="K171" s="3065" t="s">
        <v>3425</v>
      </c>
      <c r="L171" s="3068">
        <v>45.38</v>
      </c>
      <c r="M171" s="3065" t="s">
        <v>3351</v>
      </c>
      <c r="N171" s="3065" t="s">
        <v>3345</v>
      </c>
    </row>
    <row r="172" spans="2:14" ht="13.5">
      <c r="B172" s="3074" t="s">
        <v>3596</v>
      </c>
      <c r="H172" s="3067">
        <v>180</v>
      </c>
      <c r="I172" s="3065" t="s">
        <v>3349</v>
      </c>
      <c r="J172" s="3070">
        <v>-3</v>
      </c>
      <c r="K172" s="3065" t="s">
        <v>3426</v>
      </c>
      <c r="L172" s="3068">
        <v>45.38</v>
      </c>
      <c r="M172" s="3065" t="s">
        <v>3351</v>
      </c>
      <c r="N172" s="3065" t="s">
        <v>3345</v>
      </c>
    </row>
    <row r="173" spans="2:14" ht="13.5">
      <c r="B173" s="3074" t="s">
        <v>3597</v>
      </c>
      <c r="H173" s="3067">
        <v>181</v>
      </c>
      <c r="I173" s="3065" t="s">
        <v>3349</v>
      </c>
      <c r="J173" s="3070">
        <v>-2</v>
      </c>
      <c r="K173" s="3069" t="s">
        <v>3329</v>
      </c>
      <c r="L173" s="3068">
        <v>31.77</v>
      </c>
      <c r="M173" s="3065" t="s">
        <v>3351</v>
      </c>
      <c r="N173" s="3065" t="s">
        <v>3345</v>
      </c>
    </row>
    <row r="174" spans="2:14" ht="13.5">
      <c r="B174" s="3074" t="s">
        <v>3598</v>
      </c>
      <c r="H174" s="3067">
        <v>182</v>
      </c>
      <c r="I174" s="3065" t="s">
        <v>3349</v>
      </c>
      <c r="J174" s="3070">
        <v>-2</v>
      </c>
      <c r="K174" s="3065" t="s">
        <v>3266</v>
      </c>
      <c r="L174" s="3068">
        <v>31.77</v>
      </c>
      <c r="M174" s="3065" t="s">
        <v>3351</v>
      </c>
      <c r="N174" s="3065" t="s">
        <v>3345</v>
      </c>
    </row>
    <row r="175" spans="2:14" ht="12.75">
      <c r="H175" s="3067">
        <v>183</v>
      </c>
      <c r="I175" s="3065" t="s">
        <v>3349</v>
      </c>
      <c r="J175" s="3070">
        <v>-2</v>
      </c>
      <c r="K175" s="3069" t="s">
        <v>3330</v>
      </c>
      <c r="L175" s="3068">
        <v>31.77</v>
      </c>
      <c r="M175" s="3065" t="s">
        <v>3351</v>
      </c>
      <c r="N175" s="3065" t="s">
        <v>3345</v>
      </c>
    </row>
    <row r="176" spans="2:14" ht="12.75">
      <c r="H176" s="3067">
        <v>184</v>
      </c>
      <c r="I176" s="3065" t="s">
        <v>3349</v>
      </c>
      <c r="J176" s="3070">
        <v>-2</v>
      </c>
      <c r="K176" s="3069" t="s">
        <v>3331</v>
      </c>
      <c r="L176" s="3068">
        <v>31.77</v>
      </c>
      <c r="M176" s="3065" t="s">
        <v>3351</v>
      </c>
      <c r="N176" s="3065" t="s">
        <v>3345</v>
      </c>
    </row>
    <row r="177" spans="2:14" ht="12.75">
      <c r="H177" s="3067">
        <v>185</v>
      </c>
      <c r="I177" s="3065" t="s">
        <v>3349</v>
      </c>
      <c r="J177" s="3070">
        <v>-2</v>
      </c>
      <c r="K177" s="3069" t="s">
        <v>3332</v>
      </c>
      <c r="L177" s="3068">
        <v>31.77</v>
      </c>
      <c r="M177" s="3065" t="s">
        <v>3351</v>
      </c>
      <c r="N177" s="3065" t="s">
        <v>3345</v>
      </c>
    </row>
    <row r="178" spans="2:14" ht="12.75">
      <c r="H178" s="3067">
        <v>186</v>
      </c>
      <c r="I178" s="3065" t="s">
        <v>3349</v>
      </c>
      <c r="J178" s="3070">
        <v>-2</v>
      </c>
      <c r="K178" s="3069" t="s">
        <v>3333</v>
      </c>
      <c r="L178" s="3068">
        <v>31.77</v>
      </c>
      <c r="M178" s="3065" t="s">
        <v>3351</v>
      </c>
      <c r="N178" s="3065" t="s">
        <v>3345</v>
      </c>
    </row>
    <row r="179" spans="2:14" ht="12.75">
      <c r="B179" s="3066">
        <v>49896</v>
      </c>
      <c r="C179" s="3066">
        <v>150500</v>
      </c>
      <c r="D179" s="3066">
        <f>C179/B179*10000</f>
        <v>30162.738496071826</v>
      </c>
      <c r="H179" s="3067">
        <v>187</v>
      </c>
      <c r="I179" s="3065" t="s">
        <v>3349</v>
      </c>
      <c r="J179" s="3070">
        <v>-2</v>
      </c>
      <c r="K179" s="3065" t="s">
        <v>3267</v>
      </c>
      <c r="L179" s="3068">
        <v>31.77</v>
      </c>
      <c r="M179" s="3065" t="s">
        <v>3351</v>
      </c>
      <c r="N179" s="3065" t="s">
        <v>3345</v>
      </c>
    </row>
    <row r="180" spans="2:14" ht="12.75">
      <c r="B180" s="3066">
        <v>4415.92</v>
      </c>
      <c r="C180" s="3066">
        <f>D180*B180/10000</f>
        <v>3995.8872053872051</v>
      </c>
      <c r="D180" s="3066">
        <f>$D$179*E180</f>
        <v>9048.8215488215483</v>
      </c>
      <c r="E180" s="3066">
        <v>0.3</v>
      </c>
      <c r="H180" s="3067">
        <v>188</v>
      </c>
      <c r="I180" s="3065" t="s">
        <v>3349</v>
      </c>
      <c r="J180" s="3070">
        <v>-2</v>
      </c>
      <c r="K180" s="3069" t="s">
        <v>3334</v>
      </c>
      <c r="L180" s="3068">
        <v>31.77</v>
      </c>
      <c r="M180" s="3065" t="s">
        <v>3351</v>
      </c>
      <c r="N180" s="3065" t="s">
        <v>3345</v>
      </c>
    </row>
    <row r="181" spans="2:14" ht="12.75">
      <c r="B181" s="3066">
        <v>3285.58</v>
      </c>
      <c r="C181" s="3066">
        <f t="shared" ref="C181:C182" si="0">D181*B181/10000</f>
        <v>2973.0627104377104</v>
      </c>
      <c r="D181" s="3066">
        <f t="shared" ref="D181:D182" si="1">$D$179*E181</f>
        <v>9048.8215488215483</v>
      </c>
      <c r="E181" s="3066">
        <v>0.3</v>
      </c>
      <c r="H181" s="3067">
        <v>189</v>
      </c>
      <c r="I181" s="3065" t="s">
        <v>3349</v>
      </c>
      <c r="J181" s="3070">
        <v>-2</v>
      </c>
      <c r="K181" s="3069" t="s">
        <v>3335</v>
      </c>
      <c r="L181" s="3068">
        <v>31.77</v>
      </c>
      <c r="M181" s="3065" t="s">
        <v>3351</v>
      </c>
      <c r="N181" s="3065" t="s">
        <v>3345</v>
      </c>
    </row>
    <row r="182" spans="2:14" ht="12.75">
      <c r="B182" s="3066">
        <f>27383.2-B181-B180</f>
        <v>19681.700000000004</v>
      </c>
      <c r="C182" s="3066">
        <f t="shared" si="0"/>
        <v>5936.5397025813709</v>
      </c>
      <c r="D182" s="3066">
        <f t="shared" si="1"/>
        <v>3016.2738496071829</v>
      </c>
      <c r="E182" s="3066">
        <v>0.1</v>
      </c>
      <c r="H182" s="3067">
        <v>190</v>
      </c>
      <c r="I182" s="3065" t="s">
        <v>3349</v>
      </c>
      <c r="J182" s="3070">
        <v>-2</v>
      </c>
      <c r="K182" s="3065" t="s">
        <v>3268</v>
      </c>
      <c r="L182" s="3068">
        <v>31.77</v>
      </c>
      <c r="M182" s="3065" t="s">
        <v>3351</v>
      </c>
      <c r="N182" s="3065" t="s">
        <v>3345</v>
      </c>
    </row>
    <row r="183" spans="2:14" ht="12.75">
      <c r="H183" s="3067">
        <v>191</v>
      </c>
      <c r="I183" s="3065" t="s">
        <v>3349</v>
      </c>
      <c r="J183" s="3070">
        <v>-2</v>
      </c>
      <c r="K183" s="3069" t="s">
        <v>3336</v>
      </c>
      <c r="L183" s="3068">
        <v>31.77</v>
      </c>
      <c r="M183" s="3065" t="s">
        <v>3351</v>
      </c>
      <c r="N183" s="3065" t="s">
        <v>3345</v>
      </c>
    </row>
    <row r="184" spans="2:14" ht="12.75">
      <c r="H184" s="3067">
        <v>192</v>
      </c>
      <c r="I184" s="3065" t="s">
        <v>3349</v>
      </c>
      <c r="J184" s="3070">
        <v>-2</v>
      </c>
      <c r="K184" s="3069" t="s">
        <v>3337</v>
      </c>
      <c r="L184" s="3068">
        <v>31.77</v>
      </c>
      <c r="M184" s="3065" t="s">
        <v>3351</v>
      </c>
      <c r="N184" s="3065" t="s">
        <v>3345</v>
      </c>
    </row>
    <row r="185" spans="2:14" ht="12.75">
      <c r="C185" s="3066">
        <f>C180+C181+C182</f>
        <v>12905.489618406285</v>
      </c>
      <c r="H185" s="3067">
        <v>193</v>
      </c>
      <c r="I185" s="3065" t="s">
        <v>3349</v>
      </c>
      <c r="J185" s="3070">
        <v>-2</v>
      </c>
      <c r="K185" s="3065" t="s">
        <v>3269</v>
      </c>
      <c r="L185" s="3068">
        <v>31.77</v>
      </c>
      <c r="M185" s="3065" t="s">
        <v>3351</v>
      </c>
      <c r="N185" s="3065" t="s">
        <v>3345</v>
      </c>
    </row>
    <row r="186" spans="2:14" ht="12.75">
      <c r="H186" s="3067">
        <v>194</v>
      </c>
      <c r="I186" s="3065" t="s">
        <v>3349</v>
      </c>
      <c r="J186" s="3070">
        <v>-2</v>
      </c>
      <c r="K186" s="3069" t="s">
        <v>3338</v>
      </c>
      <c r="L186" s="3068">
        <v>31.77</v>
      </c>
      <c r="M186" s="3065" t="s">
        <v>3351</v>
      </c>
      <c r="N186" s="3065" t="s">
        <v>3345</v>
      </c>
    </row>
    <row r="187" spans="2:14" ht="12.75">
      <c r="H187" s="3067">
        <v>195</v>
      </c>
      <c r="I187" s="3065" t="s">
        <v>3349</v>
      </c>
      <c r="J187" s="3070">
        <v>-2</v>
      </c>
      <c r="K187" s="3065" t="s">
        <v>3270</v>
      </c>
      <c r="L187" s="3068">
        <v>45.38</v>
      </c>
      <c r="M187" s="3065" t="s">
        <v>3351</v>
      </c>
      <c r="N187" s="3065" t="s">
        <v>3345</v>
      </c>
    </row>
    <row r="188" spans="2:14" ht="12.75">
      <c r="B188" s="3066" t="s">
        <v>3697</v>
      </c>
      <c r="C188" s="3066" t="s">
        <v>3698</v>
      </c>
      <c r="H188" s="3067">
        <v>196</v>
      </c>
      <c r="I188" s="3065" t="s">
        <v>3349</v>
      </c>
      <c r="J188" s="3070">
        <v>-2</v>
      </c>
      <c r="K188" s="3069" t="s">
        <v>3339</v>
      </c>
      <c r="L188" s="3068">
        <v>45.38</v>
      </c>
      <c r="M188" s="3065" t="s">
        <v>3351</v>
      </c>
      <c r="N188" s="3065" t="s">
        <v>3345</v>
      </c>
    </row>
    <row r="189" spans="2:14" ht="12.75">
      <c r="C189" s="3066" t="s">
        <v>3699</v>
      </c>
      <c r="H189" s="3067">
        <v>197</v>
      </c>
      <c r="I189" s="3065" t="s">
        <v>3349</v>
      </c>
      <c r="J189" s="3070">
        <v>-2</v>
      </c>
      <c r="K189" s="3069" t="s">
        <v>3340</v>
      </c>
      <c r="L189" s="3068">
        <v>45.38</v>
      </c>
      <c r="M189" s="3065" t="s">
        <v>3351</v>
      </c>
      <c r="N189" s="3065" t="s">
        <v>3345</v>
      </c>
    </row>
    <row r="190" spans="2:14" ht="12.75">
      <c r="H190" s="3067">
        <v>198</v>
      </c>
      <c r="I190" s="3065" t="s">
        <v>3349</v>
      </c>
      <c r="J190" s="3070">
        <v>-2</v>
      </c>
      <c r="K190" s="3065" t="s">
        <v>3271</v>
      </c>
      <c r="L190" s="3068">
        <v>45.38</v>
      </c>
      <c r="M190" s="3065" t="s">
        <v>3351</v>
      </c>
      <c r="N190" s="3065" t="s">
        <v>3345</v>
      </c>
    </row>
    <row r="191" spans="2:14" ht="12.75">
      <c r="B191" s="3066" t="s">
        <v>3700</v>
      </c>
      <c r="C191" s="3066" t="s">
        <v>3701</v>
      </c>
      <c r="H191" s="3067">
        <v>199</v>
      </c>
      <c r="I191" s="3065" t="s">
        <v>3349</v>
      </c>
      <c r="J191" s="3070">
        <v>-2</v>
      </c>
      <c r="K191" s="3069" t="s">
        <v>3341</v>
      </c>
      <c r="L191" s="3068">
        <v>68.069999999999993</v>
      </c>
      <c r="M191" s="3065" t="s">
        <v>3351</v>
      </c>
      <c r="N191" s="3065" t="s">
        <v>3345</v>
      </c>
    </row>
    <row r="192" spans="2:14" ht="12.75">
      <c r="C192" s="3066" t="s">
        <v>3702</v>
      </c>
      <c r="H192" s="3067">
        <v>200</v>
      </c>
      <c r="I192" s="3065" t="s">
        <v>3349</v>
      </c>
      <c r="J192" s="3070">
        <v>-2</v>
      </c>
      <c r="K192" s="3065" t="s">
        <v>3427</v>
      </c>
      <c r="L192" s="3068">
        <v>45.38</v>
      </c>
      <c r="M192" s="3065" t="s">
        <v>3351</v>
      </c>
      <c r="N192" s="3065" t="s">
        <v>3345</v>
      </c>
    </row>
    <row r="193" spans="2:14" ht="12.75">
      <c r="H193" s="3067">
        <v>201</v>
      </c>
      <c r="I193" s="3065" t="s">
        <v>3349</v>
      </c>
      <c r="J193" s="3070">
        <v>-2</v>
      </c>
      <c r="K193" s="3065" t="s">
        <v>3428</v>
      </c>
      <c r="L193" s="3068">
        <v>45.38</v>
      </c>
      <c r="M193" s="3065" t="s">
        <v>3351</v>
      </c>
      <c r="N193" s="3065" t="s">
        <v>3345</v>
      </c>
    </row>
    <row r="194" spans="2:14" ht="12.75">
      <c r="H194" s="3067">
        <v>202</v>
      </c>
      <c r="I194" s="3065" t="s">
        <v>3349</v>
      </c>
      <c r="J194" s="3070">
        <v>-2</v>
      </c>
      <c r="K194" s="3065" t="s">
        <v>3429</v>
      </c>
      <c r="L194" s="3068">
        <v>45.38</v>
      </c>
      <c r="M194" s="3065" t="s">
        <v>3351</v>
      </c>
      <c r="N194" s="3065" t="s">
        <v>3345</v>
      </c>
    </row>
    <row r="195" spans="2:14" ht="12.75">
      <c r="H195" s="3067">
        <v>203</v>
      </c>
      <c r="I195" s="3065" t="s">
        <v>3349</v>
      </c>
      <c r="J195" s="3070">
        <v>-2</v>
      </c>
      <c r="K195" s="3065" t="s">
        <v>3430</v>
      </c>
      <c r="L195" s="3068">
        <v>45.38</v>
      </c>
      <c r="M195" s="3065" t="s">
        <v>3351</v>
      </c>
      <c r="N195" s="3065" t="s">
        <v>3345</v>
      </c>
    </row>
    <row r="196" spans="2:14" ht="12.75">
      <c r="H196" s="3067">
        <v>204</v>
      </c>
      <c r="I196" s="3065" t="s">
        <v>3349</v>
      </c>
      <c r="J196" s="3070">
        <v>-2</v>
      </c>
      <c r="K196" s="3065" t="s">
        <v>3431</v>
      </c>
      <c r="L196" s="3068">
        <v>45.38</v>
      </c>
      <c r="M196" s="3065" t="s">
        <v>3351</v>
      </c>
      <c r="N196" s="3065" t="s">
        <v>3345</v>
      </c>
    </row>
    <row r="197" spans="2:14" ht="12.75">
      <c r="B197" s="3066" t="s">
        <v>3708</v>
      </c>
      <c r="C197" s="3066" t="s">
        <v>3709</v>
      </c>
      <c r="H197" s="3067">
        <v>205</v>
      </c>
      <c r="I197" s="3065" t="s">
        <v>3349</v>
      </c>
      <c r="J197" s="3070">
        <v>-2</v>
      </c>
      <c r="K197" s="3065" t="s">
        <v>3432</v>
      </c>
      <c r="L197" s="3068">
        <v>45.38</v>
      </c>
      <c r="M197" s="3065" t="s">
        <v>3351</v>
      </c>
      <c r="N197" s="3065" t="s">
        <v>3345</v>
      </c>
    </row>
    <row r="198" spans="2:14" ht="12.75">
      <c r="H198" s="3067">
        <v>206</v>
      </c>
      <c r="I198" s="3065" t="s">
        <v>3349</v>
      </c>
      <c r="J198" s="3070">
        <v>-2</v>
      </c>
      <c r="K198" s="3065" t="s">
        <v>3433</v>
      </c>
      <c r="L198" s="3068">
        <v>45.38</v>
      </c>
      <c r="M198" s="3065" t="s">
        <v>3351</v>
      </c>
      <c r="N198" s="3065" t="s">
        <v>3345</v>
      </c>
    </row>
    <row r="199" spans="2:14" ht="12.75">
      <c r="H199" s="3067">
        <v>207</v>
      </c>
      <c r="I199" s="3065" t="s">
        <v>3349</v>
      </c>
      <c r="J199" s="3070">
        <v>-2</v>
      </c>
      <c r="K199" s="3065" t="s">
        <v>3434</v>
      </c>
      <c r="L199" s="3068">
        <v>45.38</v>
      </c>
      <c r="M199" s="3065" t="s">
        <v>3351</v>
      </c>
      <c r="N199" s="3065" t="s">
        <v>3345</v>
      </c>
    </row>
    <row r="200" spans="2:14" ht="12.75">
      <c r="H200" s="3067">
        <v>208</v>
      </c>
      <c r="I200" s="3065" t="s">
        <v>3349</v>
      </c>
      <c r="J200" s="3070">
        <v>-2</v>
      </c>
      <c r="K200" s="3065" t="s">
        <v>3435</v>
      </c>
      <c r="L200" s="3068">
        <v>45.38</v>
      </c>
      <c r="M200" s="3065" t="s">
        <v>3351</v>
      </c>
      <c r="N200" s="3065" t="s">
        <v>3345</v>
      </c>
    </row>
    <row r="201" spans="2:14" ht="12.75">
      <c r="H201" s="3067">
        <v>209</v>
      </c>
      <c r="I201" s="3065" t="s">
        <v>3349</v>
      </c>
      <c r="J201" s="3070">
        <v>-2</v>
      </c>
      <c r="K201" s="3065" t="s">
        <v>3436</v>
      </c>
      <c r="L201" s="3068">
        <v>45.38</v>
      </c>
      <c r="M201" s="3065" t="s">
        <v>3351</v>
      </c>
      <c r="N201" s="3065" t="s">
        <v>3345</v>
      </c>
    </row>
    <row r="202" spans="2:14" ht="12.75">
      <c r="H202" s="3067">
        <v>210</v>
      </c>
      <c r="I202" s="3065" t="s">
        <v>3349</v>
      </c>
      <c r="J202" s="3070">
        <v>-2</v>
      </c>
      <c r="K202" s="3065" t="s">
        <v>3437</v>
      </c>
      <c r="L202" s="3068">
        <v>45.38</v>
      </c>
      <c r="M202" s="3065" t="s">
        <v>3351</v>
      </c>
      <c r="N202" s="3065" t="s">
        <v>3345</v>
      </c>
    </row>
    <row r="203" spans="2:14" ht="12.75">
      <c r="H203" s="3067">
        <v>211</v>
      </c>
      <c r="I203" s="3065" t="s">
        <v>3349</v>
      </c>
      <c r="J203" s="3070">
        <v>-2</v>
      </c>
      <c r="K203" s="3065" t="s">
        <v>3438</v>
      </c>
      <c r="L203" s="3068">
        <v>45.38</v>
      </c>
      <c r="M203" s="3065" t="s">
        <v>3351</v>
      </c>
      <c r="N203" s="3065" t="s">
        <v>3345</v>
      </c>
    </row>
    <row r="204" spans="2:14" ht="12.75">
      <c r="H204" s="3067">
        <v>212</v>
      </c>
      <c r="I204" s="3065" t="s">
        <v>3349</v>
      </c>
      <c r="J204" s="3070">
        <v>-2</v>
      </c>
      <c r="K204" s="3065" t="s">
        <v>3439</v>
      </c>
      <c r="L204" s="3068">
        <v>45.38</v>
      </c>
      <c r="M204" s="3065" t="s">
        <v>3351</v>
      </c>
      <c r="N204" s="3065" t="s">
        <v>3345</v>
      </c>
    </row>
    <row r="205" spans="2:14" ht="12.75">
      <c r="H205" s="3067">
        <v>213</v>
      </c>
      <c r="I205" s="3065" t="s">
        <v>3349</v>
      </c>
      <c r="J205" s="3070">
        <v>-2</v>
      </c>
      <c r="K205" s="3065" t="s">
        <v>3440</v>
      </c>
      <c r="L205" s="3068">
        <v>45.38</v>
      </c>
      <c r="M205" s="3065" t="s">
        <v>3351</v>
      </c>
      <c r="N205" s="3065" t="s">
        <v>3345</v>
      </c>
    </row>
    <row r="206" spans="2:14" ht="12.75">
      <c r="H206" s="3067">
        <v>214</v>
      </c>
      <c r="I206" s="3065" t="s">
        <v>3349</v>
      </c>
      <c r="J206" s="3070">
        <v>-2</v>
      </c>
      <c r="K206" s="3065" t="s">
        <v>3441</v>
      </c>
      <c r="L206" s="3068">
        <v>45.38</v>
      </c>
      <c r="M206" s="3065" t="s">
        <v>3351</v>
      </c>
      <c r="N206" s="3065" t="s">
        <v>3345</v>
      </c>
    </row>
    <row r="207" spans="2:14" ht="12.75">
      <c r="H207" s="3067">
        <v>215</v>
      </c>
      <c r="I207" s="3065" t="s">
        <v>3349</v>
      </c>
      <c r="J207" s="3070">
        <v>-2</v>
      </c>
      <c r="K207" s="3065" t="s">
        <v>3442</v>
      </c>
      <c r="L207" s="3068">
        <v>45.38</v>
      </c>
      <c r="M207" s="3065" t="s">
        <v>3351</v>
      </c>
      <c r="N207" s="3065" t="s">
        <v>3345</v>
      </c>
    </row>
    <row r="208" spans="2:14" ht="12.75">
      <c r="H208" s="3067">
        <v>216</v>
      </c>
      <c r="I208" s="3065" t="s">
        <v>3349</v>
      </c>
      <c r="J208" s="3070">
        <v>-2</v>
      </c>
      <c r="K208" s="3065" t="s">
        <v>3443</v>
      </c>
      <c r="L208" s="3068">
        <v>45.38</v>
      </c>
      <c r="M208" s="3065" t="s">
        <v>3351</v>
      </c>
      <c r="N208" s="3065" t="s">
        <v>3345</v>
      </c>
    </row>
    <row r="209" spans="8:14" ht="12.75">
      <c r="H209" s="3067">
        <v>217</v>
      </c>
      <c r="I209" s="3065" t="s">
        <v>3349</v>
      </c>
      <c r="J209" s="3070">
        <v>-2</v>
      </c>
      <c r="K209" s="3065" t="s">
        <v>3444</v>
      </c>
      <c r="L209" s="3068">
        <v>45.38</v>
      </c>
      <c r="M209" s="3065" t="s">
        <v>3351</v>
      </c>
      <c r="N209" s="3065" t="s">
        <v>3345</v>
      </c>
    </row>
    <row r="210" spans="8:14" ht="12.75">
      <c r="H210" s="3067">
        <v>218</v>
      </c>
      <c r="I210" s="3065" t="s">
        <v>3349</v>
      </c>
      <c r="J210" s="3070">
        <v>-2</v>
      </c>
      <c r="K210" s="3065" t="s">
        <v>3445</v>
      </c>
      <c r="L210" s="3068">
        <v>45.38</v>
      </c>
      <c r="M210" s="3065" t="s">
        <v>3351</v>
      </c>
      <c r="N210" s="3065" t="s">
        <v>3345</v>
      </c>
    </row>
    <row r="211" spans="8:14" ht="12.75">
      <c r="H211" s="3067">
        <v>219</v>
      </c>
      <c r="I211" s="3065" t="s">
        <v>3349</v>
      </c>
      <c r="J211" s="3070">
        <v>-2</v>
      </c>
      <c r="K211" s="3065" t="s">
        <v>3446</v>
      </c>
      <c r="L211" s="3068">
        <v>45.38</v>
      </c>
      <c r="M211" s="3065" t="s">
        <v>3351</v>
      </c>
      <c r="N211" s="3065" t="s">
        <v>3345</v>
      </c>
    </row>
    <row r="212" spans="8:14" ht="12.75">
      <c r="H212" s="3067">
        <v>220</v>
      </c>
      <c r="I212" s="3065" t="s">
        <v>3349</v>
      </c>
      <c r="J212" s="3070">
        <v>-2</v>
      </c>
      <c r="K212" s="3065" t="s">
        <v>3447</v>
      </c>
      <c r="L212" s="3068">
        <v>45.38</v>
      </c>
      <c r="M212" s="3065" t="s">
        <v>3351</v>
      </c>
      <c r="N212" s="3065" t="s">
        <v>3345</v>
      </c>
    </row>
    <row r="213" spans="8:14" ht="12.75">
      <c r="H213" s="3067">
        <v>221</v>
      </c>
      <c r="I213" s="3065" t="s">
        <v>3349</v>
      </c>
      <c r="J213" s="3070">
        <v>-2</v>
      </c>
      <c r="K213" s="3065" t="s">
        <v>3448</v>
      </c>
      <c r="L213" s="3068">
        <v>45.38</v>
      </c>
      <c r="M213" s="3065" t="s">
        <v>3351</v>
      </c>
      <c r="N213" s="3065" t="s">
        <v>3345</v>
      </c>
    </row>
    <row r="214" spans="8:14" ht="12.75">
      <c r="H214" s="3067">
        <v>222</v>
      </c>
      <c r="I214" s="3065" t="s">
        <v>3349</v>
      </c>
      <c r="J214" s="3070">
        <v>-2</v>
      </c>
      <c r="K214" s="3065" t="s">
        <v>3449</v>
      </c>
      <c r="L214" s="3068">
        <v>45.38</v>
      </c>
      <c r="M214" s="3065" t="s">
        <v>3351</v>
      </c>
      <c r="N214" s="3065" t="s">
        <v>3345</v>
      </c>
    </row>
    <row r="215" spans="8:14" ht="12.75">
      <c r="H215" s="3067">
        <v>223</v>
      </c>
      <c r="I215" s="3065" t="s">
        <v>3349</v>
      </c>
      <c r="J215" s="3070">
        <v>-2</v>
      </c>
      <c r="K215" s="3065" t="s">
        <v>3450</v>
      </c>
      <c r="L215" s="3068">
        <v>45.38</v>
      </c>
      <c r="M215" s="3065" t="s">
        <v>3351</v>
      </c>
      <c r="N215" s="3065" t="s">
        <v>3345</v>
      </c>
    </row>
    <row r="216" spans="8:14" ht="12.75">
      <c r="H216" s="3067">
        <v>224</v>
      </c>
      <c r="I216" s="3065" t="s">
        <v>3349</v>
      </c>
      <c r="J216" s="3070">
        <v>-2</v>
      </c>
      <c r="K216" s="3065" t="s">
        <v>3451</v>
      </c>
      <c r="L216" s="3068">
        <v>45.38</v>
      </c>
      <c r="M216" s="3065" t="s">
        <v>3351</v>
      </c>
      <c r="N216" s="3065" t="s">
        <v>3345</v>
      </c>
    </row>
    <row r="217" spans="8:14" ht="12.75">
      <c r="H217" s="3067">
        <v>225</v>
      </c>
      <c r="I217" s="3065" t="s">
        <v>3349</v>
      </c>
      <c r="J217" s="3070">
        <v>-2</v>
      </c>
      <c r="K217" s="3065" t="s">
        <v>3452</v>
      </c>
      <c r="L217" s="3068">
        <v>45.38</v>
      </c>
      <c r="M217" s="3065" t="s">
        <v>3351</v>
      </c>
      <c r="N217" s="3065" t="s">
        <v>3345</v>
      </c>
    </row>
    <row r="218" spans="8:14" ht="12.75">
      <c r="H218" s="3067">
        <v>226</v>
      </c>
      <c r="I218" s="3065" t="s">
        <v>3349</v>
      </c>
      <c r="J218" s="3070">
        <v>-2</v>
      </c>
      <c r="K218" s="3065" t="s">
        <v>3453</v>
      </c>
      <c r="L218" s="3068">
        <v>45.38</v>
      </c>
      <c r="M218" s="3065" t="s">
        <v>3351</v>
      </c>
      <c r="N218" s="3065" t="s">
        <v>3345</v>
      </c>
    </row>
    <row r="219" spans="8:14" ht="12.75">
      <c r="H219" s="3067">
        <v>227</v>
      </c>
      <c r="I219" s="3065" t="s">
        <v>3349</v>
      </c>
      <c r="J219" s="3070">
        <v>-2</v>
      </c>
      <c r="K219" s="3065" t="s">
        <v>3454</v>
      </c>
      <c r="L219" s="3068">
        <v>45.38</v>
      </c>
      <c r="M219" s="3065" t="s">
        <v>3351</v>
      </c>
      <c r="N219" s="3065" t="s">
        <v>3345</v>
      </c>
    </row>
    <row r="220" spans="8:14" ht="12.75">
      <c r="H220" s="3067">
        <v>228</v>
      </c>
      <c r="I220" s="3065" t="s">
        <v>3349</v>
      </c>
      <c r="J220" s="3070">
        <v>-2</v>
      </c>
      <c r="K220" s="3065" t="s">
        <v>3455</v>
      </c>
      <c r="L220" s="3068">
        <v>45.38</v>
      </c>
      <c r="M220" s="3065" t="s">
        <v>3351</v>
      </c>
      <c r="N220" s="3065" t="s">
        <v>3345</v>
      </c>
    </row>
    <row r="221" spans="8:14" ht="12.75">
      <c r="H221" s="3067">
        <v>229</v>
      </c>
      <c r="I221" s="3065" t="s">
        <v>3349</v>
      </c>
      <c r="J221" s="3070">
        <v>-2</v>
      </c>
      <c r="K221" s="3065" t="s">
        <v>3456</v>
      </c>
      <c r="L221" s="3068">
        <v>45.38</v>
      </c>
      <c r="M221" s="3065" t="s">
        <v>3351</v>
      </c>
      <c r="N221" s="3065" t="s">
        <v>3345</v>
      </c>
    </row>
    <row r="222" spans="8:14" ht="12.75">
      <c r="H222" s="3067">
        <v>230</v>
      </c>
      <c r="I222" s="3065" t="s">
        <v>3349</v>
      </c>
      <c r="J222" s="3070">
        <v>-2</v>
      </c>
      <c r="K222" s="3065" t="s">
        <v>3457</v>
      </c>
      <c r="L222" s="3068">
        <v>45.38</v>
      </c>
      <c r="M222" s="3065" t="s">
        <v>3351</v>
      </c>
      <c r="N222" s="3065" t="s">
        <v>3345</v>
      </c>
    </row>
    <row r="223" spans="8:14" ht="12.75">
      <c r="H223" s="3067">
        <v>231</v>
      </c>
      <c r="I223" s="3065" t="s">
        <v>3349</v>
      </c>
      <c r="J223" s="3070">
        <v>-2</v>
      </c>
      <c r="K223" s="3065" t="s">
        <v>3458</v>
      </c>
      <c r="L223" s="3068">
        <v>45.38</v>
      </c>
      <c r="M223" s="3065" t="s">
        <v>3351</v>
      </c>
      <c r="N223" s="3065" t="s">
        <v>3345</v>
      </c>
    </row>
    <row r="224" spans="8:14" ht="12.75">
      <c r="H224" s="3067">
        <v>232</v>
      </c>
      <c r="I224" s="3065" t="s">
        <v>3349</v>
      </c>
      <c r="J224" s="3070">
        <v>-2</v>
      </c>
      <c r="K224" s="3065" t="s">
        <v>3459</v>
      </c>
      <c r="L224" s="3068">
        <v>45.38</v>
      </c>
      <c r="M224" s="3065" t="s">
        <v>3351</v>
      </c>
      <c r="N224" s="3065" t="s">
        <v>3345</v>
      </c>
    </row>
    <row r="225" spans="8:14" ht="12.75">
      <c r="H225" s="3067">
        <v>233</v>
      </c>
      <c r="I225" s="3065" t="s">
        <v>3349</v>
      </c>
      <c r="J225" s="3070">
        <v>-2</v>
      </c>
      <c r="K225" s="3065" t="s">
        <v>3460</v>
      </c>
      <c r="L225" s="3068">
        <v>45.38</v>
      </c>
      <c r="M225" s="3065" t="s">
        <v>3351</v>
      </c>
      <c r="N225" s="3065" t="s">
        <v>3345</v>
      </c>
    </row>
    <row r="226" spans="8:14" ht="12.75">
      <c r="H226" s="3067">
        <v>234</v>
      </c>
      <c r="I226" s="3065" t="s">
        <v>3349</v>
      </c>
      <c r="J226" s="3070">
        <v>-2</v>
      </c>
      <c r="K226" s="3065" t="s">
        <v>3461</v>
      </c>
      <c r="L226" s="3068">
        <v>45.38</v>
      </c>
      <c r="M226" s="3065" t="s">
        <v>3351</v>
      </c>
      <c r="N226" s="3065" t="s">
        <v>3345</v>
      </c>
    </row>
    <row r="227" spans="8:14" ht="12.75">
      <c r="H227" s="3067">
        <v>235</v>
      </c>
      <c r="I227" s="3065" t="s">
        <v>3349</v>
      </c>
      <c r="J227" s="3070">
        <v>-2</v>
      </c>
      <c r="K227" s="3065" t="s">
        <v>3462</v>
      </c>
      <c r="L227" s="3068">
        <v>45.38</v>
      </c>
      <c r="M227" s="3065" t="s">
        <v>3351</v>
      </c>
      <c r="N227" s="3065" t="s">
        <v>3345</v>
      </c>
    </row>
    <row r="228" spans="8:14" ht="12.75">
      <c r="H228" s="3067">
        <v>236</v>
      </c>
      <c r="I228" s="3065" t="s">
        <v>3349</v>
      </c>
      <c r="J228" s="3070">
        <v>-2</v>
      </c>
      <c r="K228" s="3065" t="s">
        <v>3463</v>
      </c>
      <c r="L228" s="3068">
        <v>45.38</v>
      </c>
      <c r="M228" s="3065" t="s">
        <v>3351</v>
      </c>
      <c r="N228" s="3065" t="s">
        <v>3345</v>
      </c>
    </row>
    <row r="229" spans="8:14" ht="12.75">
      <c r="H229" s="3067">
        <v>237</v>
      </c>
      <c r="I229" s="3065" t="s">
        <v>3349</v>
      </c>
      <c r="J229" s="3070">
        <v>-2</v>
      </c>
      <c r="K229" s="3065" t="s">
        <v>3464</v>
      </c>
      <c r="L229" s="3068">
        <v>45.38</v>
      </c>
      <c r="M229" s="3065" t="s">
        <v>3351</v>
      </c>
      <c r="N229" s="3065" t="s">
        <v>3345</v>
      </c>
    </row>
    <row r="230" spans="8:14" ht="12.75">
      <c r="H230" s="3067">
        <v>238</v>
      </c>
      <c r="I230" s="3065" t="s">
        <v>3349</v>
      </c>
      <c r="J230" s="3070">
        <v>-2</v>
      </c>
      <c r="K230" s="3065" t="s">
        <v>3465</v>
      </c>
      <c r="L230" s="3068">
        <v>45.38</v>
      </c>
      <c r="M230" s="3065" t="s">
        <v>3351</v>
      </c>
      <c r="N230" s="3065" t="s">
        <v>3345</v>
      </c>
    </row>
    <row r="231" spans="8:14" ht="12.75">
      <c r="H231" s="3067">
        <v>239</v>
      </c>
      <c r="I231" s="3065" t="s">
        <v>3349</v>
      </c>
      <c r="J231" s="3070">
        <v>-2</v>
      </c>
      <c r="K231" s="3065" t="s">
        <v>3466</v>
      </c>
      <c r="L231" s="3068">
        <v>45.38</v>
      </c>
      <c r="M231" s="3065" t="s">
        <v>3351</v>
      </c>
      <c r="N231" s="3065" t="s">
        <v>3345</v>
      </c>
    </row>
    <row r="232" spans="8:14" ht="12.75">
      <c r="H232" s="3067">
        <v>240</v>
      </c>
      <c r="I232" s="3065" t="s">
        <v>3349</v>
      </c>
      <c r="J232" s="3070">
        <v>-2</v>
      </c>
      <c r="K232" s="3065" t="s">
        <v>3467</v>
      </c>
      <c r="L232" s="3068">
        <v>45.38</v>
      </c>
      <c r="M232" s="3065" t="s">
        <v>3351</v>
      </c>
      <c r="N232" s="3065" t="s">
        <v>3345</v>
      </c>
    </row>
    <row r="233" spans="8:14" ht="12.75">
      <c r="H233" s="3067">
        <v>241</v>
      </c>
      <c r="I233" s="3065" t="s">
        <v>3349</v>
      </c>
      <c r="J233" s="3070">
        <v>-2</v>
      </c>
      <c r="K233" s="3065" t="s">
        <v>3468</v>
      </c>
      <c r="L233" s="3068">
        <v>45.38</v>
      </c>
      <c r="M233" s="3065" t="s">
        <v>3351</v>
      </c>
      <c r="N233" s="3065" t="s">
        <v>3345</v>
      </c>
    </row>
    <row r="234" spans="8:14" ht="12.75">
      <c r="H234" s="3067">
        <v>242</v>
      </c>
      <c r="I234" s="3065" t="s">
        <v>3349</v>
      </c>
      <c r="J234" s="3070">
        <v>-2</v>
      </c>
      <c r="K234" s="3065" t="s">
        <v>3469</v>
      </c>
      <c r="L234" s="3068">
        <v>45.38</v>
      </c>
      <c r="M234" s="3065" t="s">
        <v>3351</v>
      </c>
      <c r="N234" s="3065" t="s">
        <v>3345</v>
      </c>
    </row>
    <row r="235" spans="8:14" ht="12.75">
      <c r="H235" s="3067">
        <v>243</v>
      </c>
      <c r="I235" s="3065" t="s">
        <v>3349</v>
      </c>
      <c r="J235" s="3070">
        <v>-2</v>
      </c>
      <c r="K235" s="3065" t="s">
        <v>3470</v>
      </c>
      <c r="L235" s="3068">
        <v>45.38</v>
      </c>
      <c r="M235" s="3065" t="s">
        <v>3351</v>
      </c>
      <c r="N235" s="3065" t="s">
        <v>3345</v>
      </c>
    </row>
    <row r="236" spans="8:14" ht="12.75">
      <c r="H236" s="3067">
        <v>244</v>
      </c>
      <c r="I236" s="3065" t="s">
        <v>3349</v>
      </c>
      <c r="J236" s="3070">
        <v>-2</v>
      </c>
      <c r="K236" s="3065" t="s">
        <v>3471</v>
      </c>
      <c r="L236" s="3068">
        <v>45.38</v>
      </c>
      <c r="M236" s="3065" t="s">
        <v>3351</v>
      </c>
      <c r="N236" s="3065" t="s">
        <v>3345</v>
      </c>
    </row>
    <row r="237" spans="8:14" ht="12.75">
      <c r="H237" s="3067">
        <v>245</v>
      </c>
      <c r="I237" s="3065" t="s">
        <v>3349</v>
      </c>
      <c r="J237" s="3070">
        <v>-2</v>
      </c>
      <c r="K237" s="3065" t="s">
        <v>3472</v>
      </c>
      <c r="L237" s="3068">
        <v>45.38</v>
      </c>
      <c r="M237" s="3065" t="s">
        <v>3351</v>
      </c>
      <c r="N237" s="3065" t="s">
        <v>3345</v>
      </c>
    </row>
    <row r="238" spans="8:14" ht="12.75">
      <c r="H238" s="3067">
        <v>246</v>
      </c>
      <c r="I238" s="3065" t="s">
        <v>3349</v>
      </c>
      <c r="J238" s="3070">
        <v>-2</v>
      </c>
      <c r="K238" s="3065" t="s">
        <v>3473</v>
      </c>
      <c r="L238" s="3068">
        <v>45.38</v>
      </c>
      <c r="M238" s="3065" t="s">
        <v>3351</v>
      </c>
      <c r="N238" s="3065" t="s">
        <v>3345</v>
      </c>
    </row>
    <row r="239" spans="8:14" ht="12.75">
      <c r="H239" s="3067">
        <v>247</v>
      </c>
      <c r="I239" s="3065" t="s">
        <v>3349</v>
      </c>
      <c r="J239" s="3070">
        <v>-2</v>
      </c>
      <c r="K239" s="3065" t="s">
        <v>3474</v>
      </c>
      <c r="L239" s="3068">
        <v>45.38</v>
      </c>
      <c r="M239" s="3065" t="s">
        <v>3351</v>
      </c>
      <c r="N239" s="3065" t="s">
        <v>3345</v>
      </c>
    </row>
    <row r="240" spans="8:14" ht="12.75">
      <c r="H240" s="3067">
        <v>248</v>
      </c>
      <c r="I240" s="3065" t="s">
        <v>3349</v>
      </c>
      <c r="J240" s="3070">
        <v>-2</v>
      </c>
      <c r="K240" s="3065" t="s">
        <v>3475</v>
      </c>
      <c r="L240" s="3068">
        <v>45.38</v>
      </c>
      <c r="M240" s="3065" t="s">
        <v>3351</v>
      </c>
      <c r="N240" s="3065" t="s">
        <v>3345</v>
      </c>
    </row>
    <row r="241" spans="8:14" ht="12.75">
      <c r="H241" s="3067">
        <v>249</v>
      </c>
      <c r="I241" s="3065" t="s">
        <v>3349</v>
      </c>
      <c r="J241" s="3070">
        <v>-2</v>
      </c>
      <c r="K241" s="3065" t="s">
        <v>3476</v>
      </c>
      <c r="L241" s="3068">
        <v>45.38</v>
      </c>
      <c r="M241" s="3065" t="s">
        <v>3351</v>
      </c>
      <c r="N241" s="3065" t="s">
        <v>3345</v>
      </c>
    </row>
    <row r="242" spans="8:14" ht="12.75">
      <c r="H242" s="3067">
        <v>250</v>
      </c>
      <c r="I242" s="3065" t="s">
        <v>3349</v>
      </c>
      <c r="J242" s="3070">
        <v>-2</v>
      </c>
      <c r="K242" s="3065" t="s">
        <v>3477</v>
      </c>
      <c r="L242" s="3068">
        <v>45.38</v>
      </c>
      <c r="M242" s="3065" t="s">
        <v>3351</v>
      </c>
      <c r="N242" s="3065" t="s">
        <v>3345</v>
      </c>
    </row>
    <row r="243" spans="8:14" ht="12.75">
      <c r="H243" s="3067">
        <v>251</v>
      </c>
      <c r="I243" s="3065" t="s">
        <v>3349</v>
      </c>
      <c r="J243" s="3070">
        <v>-2</v>
      </c>
      <c r="K243" s="3065" t="s">
        <v>3478</v>
      </c>
      <c r="L243" s="3068">
        <v>45.38</v>
      </c>
      <c r="M243" s="3065" t="s">
        <v>3351</v>
      </c>
      <c r="N243" s="3065" t="s">
        <v>3345</v>
      </c>
    </row>
    <row r="244" spans="8:14" ht="12.75">
      <c r="H244" s="3067">
        <v>252</v>
      </c>
      <c r="I244" s="3065" t="s">
        <v>3349</v>
      </c>
      <c r="J244" s="3070">
        <v>-2</v>
      </c>
      <c r="K244" s="3065" t="s">
        <v>3479</v>
      </c>
      <c r="L244" s="3068">
        <v>45.38</v>
      </c>
      <c r="M244" s="3065" t="s">
        <v>3351</v>
      </c>
      <c r="N244" s="3065" t="s">
        <v>3345</v>
      </c>
    </row>
    <row r="245" spans="8:14" ht="12.75">
      <c r="H245" s="3067">
        <v>253</v>
      </c>
      <c r="I245" s="3065" t="s">
        <v>3349</v>
      </c>
      <c r="J245" s="3070">
        <v>-2</v>
      </c>
      <c r="K245" s="3065" t="s">
        <v>3480</v>
      </c>
      <c r="L245" s="3068">
        <v>45.38</v>
      </c>
      <c r="M245" s="3065" t="s">
        <v>3351</v>
      </c>
      <c r="N245" s="3065" t="s">
        <v>3345</v>
      </c>
    </row>
    <row r="246" spans="8:14" ht="12.75">
      <c r="H246" s="3067">
        <v>254</v>
      </c>
      <c r="I246" s="3065" t="s">
        <v>3349</v>
      </c>
      <c r="J246" s="3070">
        <v>-2</v>
      </c>
      <c r="K246" s="3065" t="s">
        <v>3481</v>
      </c>
      <c r="L246" s="3068">
        <v>45.38</v>
      </c>
      <c r="M246" s="3065" t="s">
        <v>3351</v>
      </c>
      <c r="N246" s="3065" t="s">
        <v>3345</v>
      </c>
    </row>
    <row r="247" spans="8:14" ht="12.75">
      <c r="H247" s="3067">
        <v>255</v>
      </c>
      <c r="I247" s="3065" t="s">
        <v>3349</v>
      </c>
      <c r="J247" s="3070">
        <v>-2</v>
      </c>
      <c r="K247" s="3065" t="s">
        <v>3482</v>
      </c>
      <c r="L247" s="3068">
        <v>45.38</v>
      </c>
      <c r="M247" s="3065" t="s">
        <v>3351</v>
      </c>
      <c r="N247" s="3065" t="s">
        <v>3345</v>
      </c>
    </row>
    <row r="248" spans="8:14" ht="12.75">
      <c r="H248" s="3067">
        <v>256</v>
      </c>
      <c r="I248" s="3065" t="s">
        <v>3349</v>
      </c>
      <c r="J248" s="3070">
        <v>-2</v>
      </c>
      <c r="K248" s="3065" t="s">
        <v>3483</v>
      </c>
      <c r="L248" s="3068">
        <v>45.38</v>
      </c>
      <c r="M248" s="3065" t="s">
        <v>3351</v>
      </c>
      <c r="N248" s="3065" t="s">
        <v>3345</v>
      </c>
    </row>
    <row r="249" spans="8:14" ht="12.75">
      <c r="H249" s="3067">
        <v>257</v>
      </c>
      <c r="I249" s="3065" t="s">
        <v>3349</v>
      </c>
      <c r="J249" s="3070">
        <v>-2</v>
      </c>
      <c r="K249" s="3065" t="s">
        <v>3484</v>
      </c>
      <c r="L249" s="3068">
        <v>45.38</v>
      </c>
      <c r="M249" s="3065" t="s">
        <v>3351</v>
      </c>
      <c r="N249" s="3065" t="s">
        <v>3345</v>
      </c>
    </row>
    <row r="250" spans="8:14" ht="12.75">
      <c r="H250" s="3067">
        <v>258</v>
      </c>
      <c r="I250" s="3065" t="s">
        <v>3349</v>
      </c>
      <c r="J250" s="3070">
        <v>-2</v>
      </c>
      <c r="K250" s="3065" t="s">
        <v>3485</v>
      </c>
      <c r="L250" s="3068">
        <v>45.38</v>
      </c>
      <c r="M250" s="3065" t="s">
        <v>3351</v>
      </c>
      <c r="N250" s="3065" t="s">
        <v>3345</v>
      </c>
    </row>
    <row r="251" spans="8:14" ht="12.75">
      <c r="H251" s="3067">
        <v>259</v>
      </c>
      <c r="I251" s="3065" t="s">
        <v>3349</v>
      </c>
      <c r="J251" s="3070">
        <v>-2</v>
      </c>
      <c r="K251" s="3065" t="s">
        <v>3486</v>
      </c>
      <c r="L251" s="3068">
        <v>45.38</v>
      </c>
      <c r="M251" s="3065" t="s">
        <v>3351</v>
      </c>
      <c r="N251" s="3065" t="s">
        <v>3345</v>
      </c>
    </row>
    <row r="252" spans="8:14" ht="12.75">
      <c r="H252" s="3067">
        <v>260</v>
      </c>
      <c r="I252" s="3065" t="s">
        <v>3349</v>
      </c>
      <c r="J252" s="3070">
        <v>-2</v>
      </c>
      <c r="K252" s="3065" t="s">
        <v>3487</v>
      </c>
      <c r="L252" s="3068">
        <v>45.38</v>
      </c>
      <c r="M252" s="3065" t="s">
        <v>3351</v>
      </c>
      <c r="N252" s="3065" t="s">
        <v>3345</v>
      </c>
    </row>
    <row r="253" spans="8:14" ht="12.75">
      <c r="H253" s="3067">
        <v>261</v>
      </c>
      <c r="I253" s="3065" t="s">
        <v>3349</v>
      </c>
      <c r="J253" s="3070">
        <v>-2</v>
      </c>
      <c r="K253" s="3065" t="s">
        <v>3488</v>
      </c>
      <c r="L253" s="3068">
        <v>45.38</v>
      </c>
      <c r="M253" s="3065" t="s">
        <v>3351</v>
      </c>
      <c r="N253" s="3065" t="s">
        <v>3345</v>
      </c>
    </row>
    <row r="254" spans="8:14" ht="12.75">
      <c r="H254" s="3067">
        <v>262</v>
      </c>
      <c r="I254" s="3065" t="s">
        <v>3349</v>
      </c>
      <c r="J254" s="3070">
        <v>-2</v>
      </c>
      <c r="K254" s="3065" t="s">
        <v>3489</v>
      </c>
      <c r="L254" s="3068">
        <v>45.38</v>
      </c>
      <c r="M254" s="3065" t="s">
        <v>3351</v>
      </c>
      <c r="N254" s="3065" t="s">
        <v>3345</v>
      </c>
    </row>
    <row r="255" spans="8:14" ht="12.75">
      <c r="H255" s="3067">
        <v>263</v>
      </c>
      <c r="I255" s="3065" t="s">
        <v>3349</v>
      </c>
      <c r="J255" s="3070">
        <v>-2</v>
      </c>
      <c r="K255" s="3065" t="s">
        <v>3490</v>
      </c>
      <c r="L255" s="3068">
        <v>45.38</v>
      </c>
      <c r="M255" s="3065" t="s">
        <v>3351</v>
      </c>
      <c r="N255" s="3065" t="s">
        <v>3345</v>
      </c>
    </row>
    <row r="256" spans="8:14" ht="12.75">
      <c r="H256" s="3067">
        <v>264</v>
      </c>
      <c r="I256" s="3065" t="s">
        <v>3349</v>
      </c>
      <c r="J256" s="3070">
        <v>-2</v>
      </c>
      <c r="K256" s="3065" t="s">
        <v>3491</v>
      </c>
      <c r="L256" s="3068">
        <v>45.38</v>
      </c>
      <c r="M256" s="3065" t="s">
        <v>3351</v>
      </c>
      <c r="N256" s="3065" t="s">
        <v>3345</v>
      </c>
    </row>
    <row r="257" spans="8:14" ht="12.75">
      <c r="H257" s="3067">
        <v>265</v>
      </c>
      <c r="I257" s="3065" t="s">
        <v>3349</v>
      </c>
      <c r="J257" s="3070">
        <v>-2</v>
      </c>
      <c r="K257" s="3065" t="s">
        <v>3492</v>
      </c>
      <c r="L257" s="3068">
        <v>45.38</v>
      </c>
      <c r="M257" s="3065" t="s">
        <v>3351</v>
      </c>
      <c r="N257" s="3065" t="s">
        <v>3345</v>
      </c>
    </row>
    <row r="258" spans="8:14" ht="12.75">
      <c r="H258" s="3067">
        <v>266</v>
      </c>
      <c r="I258" s="3065" t="s">
        <v>3349</v>
      </c>
      <c r="J258" s="3070">
        <v>-2</v>
      </c>
      <c r="K258" s="3065" t="s">
        <v>3493</v>
      </c>
      <c r="L258" s="3068">
        <v>45.38</v>
      </c>
      <c r="M258" s="3065" t="s">
        <v>3351</v>
      </c>
      <c r="N258" s="3065" t="s">
        <v>3345</v>
      </c>
    </row>
    <row r="259" spans="8:14" ht="12.75">
      <c r="H259" s="3067">
        <v>267</v>
      </c>
      <c r="I259" s="3065" t="s">
        <v>3349</v>
      </c>
      <c r="J259" s="3070">
        <v>-2</v>
      </c>
      <c r="K259" s="3065" t="s">
        <v>3494</v>
      </c>
      <c r="L259" s="3068">
        <v>45.38</v>
      </c>
      <c r="M259" s="3065" t="s">
        <v>3351</v>
      </c>
      <c r="N259" s="3065" t="s">
        <v>3345</v>
      </c>
    </row>
    <row r="260" spans="8:14" ht="12.75">
      <c r="H260" s="3067">
        <v>268</v>
      </c>
      <c r="I260" s="3065" t="s">
        <v>3349</v>
      </c>
      <c r="J260" s="3070">
        <v>-2</v>
      </c>
      <c r="K260" s="3065" t="s">
        <v>3495</v>
      </c>
      <c r="L260" s="3068">
        <v>45.38</v>
      </c>
      <c r="M260" s="3065" t="s">
        <v>3351</v>
      </c>
      <c r="N260" s="3065" t="s">
        <v>3345</v>
      </c>
    </row>
    <row r="261" spans="8:14" ht="12.75">
      <c r="H261" s="3067">
        <v>269</v>
      </c>
      <c r="I261" s="3065" t="s">
        <v>3349</v>
      </c>
      <c r="J261" s="3070">
        <v>-2</v>
      </c>
      <c r="K261" s="3065" t="s">
        <v>3496</v>
      </c>
      <c r="L261" s="3068">
        <v>45.38</v>
      </c>
      <c r="M261" s="3065" t="s">
        <v>3351</v>
      </c>
      <c r="N261" s="3065" t="s">
        <v>3345</v>
      </c>
    </row>
    <row r="262" spans="8:14" ht="12.75">
      <c r="H262" s="3067">
        <v>270</v>
      </c>
      <c r="I262" s="3065" t="s">
        <v>3349</v>
      </c>
      <c r="J262" s="3070">
        <v>-2</v>
      </c>
      <c r="K262" s="3065" t="s">
        <v>3497</v>
      </c>
      <c r="L262" s="3068">
        <v>45.38</v>
      </c>
      <c r="M262" s="3065" t="s">
        <v>3351</v>
      </c>
      <c r="N262" s="3065" t="s">
        <v>3345</v>
      </c>
    </row>
    <row r="263" spans="8:14" ht="12.75">
      <c r="H263" s="3067">
        <v>271</v>
      </c>
      <c r="I263" s="3065" t="s">
        <v>3349</v>
      </c>
      <c r="J263" s="3070">
        <v>-2</v>
      </c>
      <c r="K263" s="3065" t="s">
        <v>3498</v>
      </c>
      <c r="L263" s="3068">
        <v>45.38</v>
      </c>
      <c r="M263" s="3065" t="s">
        <v>3351</v>
      </c>
      <c r="N263" s="3065" t="s">
        <v>3345</v>
      </c>
    </row>
    <row r="264" spans="8:14" ht="12.75">
      <c r="H264" s="3067">
        <v>272</v>
      </c>
      <c r="I264" s="3065" t="s">
        <v>3349</v>
      </c>
      <c r="J264" s="3070">
        <v>-2</v>
      </c>
      <c r="K264" s="3065" t="s">
        <v>3499</v>
      </c>
      <c r="L264" s="3068">
        <v>45.38</v>
      </c>
      <c r="M264" s="3065" t="s">
        <v>3351</v>
      </c>
      <c r="N264" s="3065" t="s">
        <v>3345</v>
      </c>
    </row>
    <row r="265" spans="8:14" ht="12.75">
      <c r="H265" s="3067">
        <v>273</v>
      </c>
      <c r="I265" s="3065" t="s">
        <v>3349</v>
      </c>
      <c r="J265" s="3070">
        <v>-2</v>
      </c>
      <c r="K265" s="3065" t="s">
        <v>3500</v>
      </c>
      <c r="L265" s="3068">
        <v>45.38</v>
      </c>
      <c r="M265" s="3065" t="s">
        <v>3351</v>
      </c>
      <c r="N265" s="3065" t="s">
        <v>3345</v>
      </c>
    </row>
    <row r="266" spans="8:14" ht="12.75">
      <c r="H266" s="3067">
        <v>274</v>
      </c>
      <c r="I266" s="3065" t="s">
        <v>3349</v>
      </c>
      <c r="J266" s="3070">
        <v>-2</v>
      </c>
      <c r="K266" s="3065" t="s">
        <v>3501</v>
      </c>
      <c r="L266" s="3068">
        <v>45.38</v>
      </c>
      <c r="M266" s="3065" t="s">
        <v>3351</v>
      </c>
      <c r="N266" s="3065" t="s">
        <v>3345</v>
      </c>
    </row>
    <row r="267" spans="8:14" ht="12.75">
      <c r="H267" s="3067">
        <v>275</v>
      </c>
      <c r="I267" s="3065" t="s">
        <v>3349</v>
      </c>
      <c r="J267" s="3070">
        <v>-2</v>
      </c>
      <c r="K267" s="3065" t="s">
        <v>3502</v>
      </c>
      <c r="L267" s="3068">
        <v>45.38</v>
      </c>
      <c r="M267" s="3065" t="s">
        <v>3351</v>
      </c>
      <c r="N267" s="3065" t="s">
        <v>3345</v>
      </c>
    </row>
    <row r="268" spans="8:14" ht="12.75">
      <c r="H268" s="3067">
        <v>276</v>
      </c>
      <c r="I268" s="3065" t="s">
        <v>3349</v>
      </c>
      <c r="J268" s="3070">
        <v>-2</v>
      </c>
      <c r="K268" s="3065" t="s">
        <v>3503</v>
      </c>
      <c r="L268" s="3068">
        <v>45.38</v>
      </c>
      <c r="M268" s="3065" t="s">
        <v>3351</v>
      </c>
      <c r="N268" s="3065" t="s">
        <v>3345</v>
      </c>
    </row>
    <row r="269" spans="8:14" ht="12.75">
      <c r="H269" s="3067">
        <v>277</v>
      </c>
      <c r="I269" s="3065" t="s">
        <v>3349</v>
      </c>
      <c r="J269" s="3070">
        <v>-2</v>
      </c>
      <c r="K269" s="3065" t="s">
        <v>3504</v>
      </c>
      <c r="L269" s="3068">
        <v>45.38</v>
      </c>
      <c r="M269" s="3065" t="s">
        <v>3351</v>
      </c>
      <c r="N269" s="3065" t="s">
        <v>3345</v>
      </c>
    </row>
    <row r="270" spans="8:14" ht="12.75">
      <c r="H270" s="3067">
        <v>278</v>
      </c>
      <c r="I270" s="3065" t="s">
        <v>3349</v>
      </c>
      <c r="J270" s="3070">
        <v>-2</v>
      </c>
      <c r="K270" s="3065" t="s">
        <v>3505</v>
      </c>
      <c r="L270" s="3068">
        <v>45.38</v>
      </c>
      <c r="M270" s="3065" t="s">
        <v>3351</v>
      </c>
      <c r="N270" s="3065" t="s">
        <v>3345</v>
      </c>
    </row>
    <row r="271" spans="8:14" ht="12.75">
      <c r="H271" s="3067">
        <v>279</v>
      </c>
      <c r="I271" s="3065" t="s">
        <v>3349</v>
      </c>
      <c r="J271" s="3070">
        <v>-2</v>
      </c>
      <c r="K271" s="3065" t="s">
        <v>3506</v>
      </c>
      <c r="L271" s="3068">
        <v>45.38</v>
      </c>
      <c r="M271" s="3065" t="s">
        <v>3351</v>
      </c>
      <c r="N271" s="3065" t="s">
        <v>3345</v>
      </c>
    </row>
    <row r="272" spans="8:14" ht="12.75">
      <c r="H272" s="3067">
        <v>280</v>
      </c>
      <c r="I272" s="3065" t="s">
        <v>3349</v>
      </c>
      <c r="J272" s="3070">
        <v>-2</v>
      </c>
      <c r="K272" s="3065" t="s">
        <v>3507</v>
      </c>
      <c r="L272" s="3068">
        <v>45.38</v>
      </c>
      <c r="M272" s="3065" t="s">
        <v>3351</v>
      </c>
      <c r="N272" s="3065" t="s">
        <v>3345</v>
      </c>
    </row>
    <row r="273" spans="8:14" ht="12.75">
      <c r="H273" s="3067">
        <v>281</v>
      </c>
      <c r="I273" s="3065" t="s">
        <v>3349</v>
      </c>
      <c r="J273" s="3070">
        <v>-2</v>
      </c>
      <c r="K273" s="3065" t="s">
        <v>3508</v>
      </c>
      <c r="L273" s="3068">
        <v>45.38</v>
      </c>
      <c r="M273" s="3065" t="s">
        <v>3351</v>
      </c>
      <c r="N273" s="3065" t="s">
        <v>3345</v>
      </c>
    </row>
    <row r="274" spans="8:14" ht="12.75">
      <c r="H274" s="3067">
        <v>282</v>
      </c>
      <c r="I274" s="3065" t="s">
        <v>3349</v>
      </c>
      <c r="J274" s="3070">
        <v>-2</v>
      </c>
      <c r="K274" s="3065" t="s">
        <v>3509</v>
      </c>
      <c r="L274" s="3068">
        <v>45.38</v>
      </c>
      <c r="M274" s="3065" t="s">
        <v>3351</v>
      </c>
      <c r="N274" s="3065" t="s">
        <v>3345</v>
      </c>
    </row>
    <row r="275" spans="8:14" ht="12.75">
      <c r="H275" s="3067">
        <v>283</v>
      </c>
      <c r="I275" s="3065" t="s">
        <v>3349</v>
      </c>
      <c r="J275" s="3070">
        <v>-2</v>
      </c>
      <c r="K275" s="3065" t="s">
        <v>3510</v>
      </c>
      <c r="L275" s="3068">
        <v>45.38</v>
      </c>
      <c r="M275" s="3065" t="s">
        <v>3351</v>
      </c>
      <c r="N275" s="3065" t="s">
        <v>3345</v>
      </c>
    </row>
    <row r="276" spans="8:14" ht="12.75">
      <c r="H276" s="3067">
        <v>284</v>
      </c>
      <c r="I276" s="3065" t="s">
        <v>3349</v>
      </c>
      <c r="J276" s="3070">
        <v>-2</v>
      </c>
      <c r="K276" s="3065" t="s">
        <v>3511</v>
      </c>
      <c r="L276" s="3068">
        <v>45.38</v>
      </c>
      <c r="M276" s="3065" t="s">
        <v>3351</v>
      </c>
      <c r="N276" s="3065" t="s">
        <v>3345</v>
      </c>
    </row>
    <row r="277" spans="8:14" ht="12.75">
      <c r="H277" s="3067">
        <v>285</v>
      </c>
      <c r="I277" s="3065" t="s">
        <v>3349</v>
      </c>
      <c r="J277" s="3070">
        <v>-2</v>
      </c>
      <c r="K277" s="3065" t="s">
        <v>3512</v>
      </c>
      <c r="L277" s="3068">
        <v>45.38</v>
      </c>
      <c r="M277" s="3065" t="s">
        <v>3351</v>
      </c>
      <c r="N277" s="3065" t="s">
        <v>3345</v>
      </c>
    </row>
    <row r="278" spans="8:14" ht="12.75">
      <c r="H278" s="3067">
        <v>286</v>
      </c>
      <c r="I278" s="3065" t="s">
        <v>3349</v>
      </c>
      <c r="J278" s="3070">
        <v>-2</v>
      </c>
      <c r="K278" s="3065" t="s">
        <v>3513</v>
      </c>
      <c r="L278" s="3068">
        <v>45.38</v>
      </c>
      <c r="M278" s="3065" t="s">
        <v>3351</v>
      </c>
      <c r="N278" s="3065" t="s">
        <v>3345</v>
      </c>
    </row>
    <row r="279" spans="8:14" ht="12.75">
      <c r="H279" s="3067">
        <v>287</v>
      </c>
      <c r="I279" s="3065" t="s">
        <v>3349</v>
      </c>
      <c r="J279" s="3070">
        <v>-2</v>
      </c>
      <c r="K279" s="3065" t="s">
        <v>3514</v>
      </c>
      <c r="L279" s="3068">
        <v>45.38</v>
      </c>
      <c r="M279" s="3065" t="s">
        <v>3351</v>
      </c>
      <c r="N279" s="3065" t="s">
        <v>3345</v>
      </c>
    </row>
    <row r="280" spans="8:14" ht="12.75">
      <c r="H280" s="3067">
        <v>288</v>
      </c>
      <c r="I280" s="3065" t="s">
        <v>3349</v>
      </c>
      <c r="J280" s="3070">
        <v>-2</v>
      </c>
      <c r="K280" s="3065" t="s">
        <v>3515</v>
      </c>
      <c r="L280" s="3068">
        <v>45.38</v>
      </c>
      <c r="M280" s="3065" t="s">
        <v>3351</v>
      </c>
      <c r="N280" s="3065" t="s">
        <v>3345</v>
      </c>
    </row>
    <row r="281" spans="8:14" ht="12.75">
      <c r="H281" s="3067">
        <v>289</v>
      </c>
      <c r="I281" s="3065" t="s">
        <v>3349</v>
      </c>
      <c r="J281" s="3070">
        <v>-2</v>
      </c>
      <c r="K281" s="3065" t="s">
        <v>3516</v>
      </c>
      <c r="L281" s="3068">
        <v>45.38</v>
      </c>
      <c r="M281" s="3065" t="s">
        <v>3351</v>
      </c>
      <c r="N281" s="3065" t="s">
        <v>3345</v>
      </c>
    </row>
    <row r="282" spans="8:14" ht="12.75">
      <c r="H282" s="3067">
        <v>290</v>
      </c>
      <c r="I282" s="3065" t="s">
        <v>3349</v>
      </c>
      <c r="J282" s="3070">
        <v>-2</v>
      </c>
      <c r="K282" s="3065" t="s">
        <v>3517</v>
      </c>
      <c r="L282" s="3068">
        <v>45.38</v>
      </c>
      <c r="M282" s="3065" t="s">
        <v>3351</v>
      </c>
      <c r="N282" s="3065" t="s">
        <v>3345</v>
      </c>
    </row>
    <row r="283" spans="8:14" ht="12.75">
      <c r="H283" s="3067">
        <v>291</v>
      </c>
      <c r="I283" s="3065" t="s">
        <v>3349</v>
      </c>
      <c r="J283" s="3070">
        <v>-2</v>
      </c>
      <c r="K283" s="3065" t="s">
        <v>3518</v>
      </c>
      <c r="L283" s="3068">
        <v>45.38</v>
      </c>
      <c r="M283" s="3065" t="s">
        <v>3351</v>
      </c>
      <c r="N283" s="3065" t="s">
        <v>3345</v>
      </c>
    </row>
    <row r="284" spans="8:14" ht="12.75">
      <c r="H284" s="3067">
        <v>292</v>
      </c>
      <c r="I284" s="3065" t="s">
        <v>3349</v>
      </c>
      <c r="J284" s="3070">
        <v>-2</v>
      </c>
      <c r="K284" s="3065" t="s">
        <v>3519</v>
      </c>
      <c r="L284" s="3068">
        <v>45.38</v>
      </c>
      <c r="M284" s="3065" t="s">
        <v>3351</v>
      </c>
      <c r="N284" s="3065" t="s">
        <v>3345</v>
      </c>
    </row>
    <row r="285" spans="8:14" ht="12.75">
      <c r="H285" s="3067">
        <v>293</v>
      </c>
      <c r="I285" s="3065" t="s">
        <v>3349</v>
      </c>
      <c r="J285" s="3070">
        <v>-2</v>
      </c>
      <c r="K285" s="3065" t="s">
        <v>3520</v>
      </c>
      <c r="L285" s="3068">
        <v>45.38</v>
      </c>
      <c r="M285" s="3065" t="s">
        <v>3351</v>
      </c>
      <c r="N285" s="3065" t="s">
        <v>3345</v>
      </c>
    </row>
    <row r="286" spans="8:14" ht="12.75">
      <c r="H286" s="3067">
        <v>294</v>
      </c>
      <c r="I286" s="3065" t="s">
        <v>3349</v>
      </c>
      <c r="J286" s="3070">
        <v>-2</v>
      </c>
      <c r="K286" s="3065" t="s">
        <v>3521</v>
      </c>
      <c r="L286" s="3068">
        <v>45.38</v>
      </c>
      <c r="M286" s="3065" t="s">
        <v>3351</v>
      </c>
      <c r="N286" s="3065" t="s">
        <v>3345</v>
      </c>
    </row>
    <row r="287" spans="8:14" ht="12.75">
      <c r="H287" s="3067">
        <v>295</v>
      </c>
      <c r="I287" s="3065" t="s">
        <v>3349</v>
      </c>
      <c r="J287" s="3070">
        <v>-2</v>
      </c>
      <c r="K287" s="3065" t="s">
        <v>3522</v>
      </c>
      <c r="L287" s="3068">
        <v>45.38</v>
      </c>
      <c r="M287" s="3065" t="s">
        <v>3351</v>
      </c>
      <c r="N287" s="3065" t="s">
        <v>3345</v>
      </c>
    </row>
    <row r="288" spans="8:14" ht="12.75">
      <c r="H288" s="3067">
        <v>296</v>
      </c>
      <c r="I288" s="3065" t="s">
        <v>3349</v>
      </c>
      <c r="J288" s="3070">
        <v>-2</v>
      </c>
      <c r="K288" s="3065" t="s">
        <v>3523</v>
      </c>
      <c r="L288" s="3068">
        <v>45.38</v>
      </c>
      <c r="M288" s="3065" t="s">
        <v>3351</v>
      </c>
      <c r="N288" s="3065" t="s">
        <v>3345</v>
      </c>
    </row>
    <row r="289" spans="8:14" ht="12.75">
      <c r="H289" s="3067">
        <v>297</v>
      </c>
      <c r="I289" s="3065" t="s">
        <v>3349</v>
      </c>
      <c r="J289" s="3070">
        <v>-2</v>
      </c>
      <c r="K289" s="3065" t="s">
        <v>3524</v>
      </c>
      <c r="L289" s="3068">
        <v>45.38</v>
      </c>
      <c r="M289" s="3065" t="s">
        <v>3351</v>
      </c>
      <c r="N289" s="3065" t="s">
        <v>3345</v>
      </c>
    </row>
    <row r="290" spans="8:14" ht="12.75">
      <c r="H290" s="3067">
        <v>298</v>
      </c>
      <c r="I290" s="3065" t="s">
        <v>3349</v>
      </c>
      <c r="J290" s="3070">
        <v>-2</v>
      </c>
      <c r="K290" s="3065" t="s">
        <v>3525</v>
      </c>
      <c r="L290" s="3068">
        <v>45.38</v>
      </c>
      <c r="M290" s="3065" t="s">
        <v>3351</v>
      </c>
      <c r="N290" s="3065" t="s">
        <v>3345</v>
      </c>
    </row>
    <row r="291" spans="8:14" ht="12.75">
      <c r="H291" s="3067">
        <v>299</v>
      </c>
      <c r="I291" s="3065" t="s">
        <v>3349</v>
      </c>
      <c r="J291" s="3070">
        <v>-2</v>
      </c>
      <c r="K291" s="3065" t="s">
        <v>3526</v>
      </c>
      <c r="L291" s="3068">
        <v>45.38</v>
      </c>
      <c r="M291" s="3065" t="s">
        <v>3351</v>
      </c>
      <c r="N291" s="3065" t="s">
        <v>3345</v>
      </c>
    </row>
    <row r="292" spans="8:14" ht="12.75">
      <c r="H292" s="3067">
        <v>300</v>
      </c>
      <c r="I292" s="3065" t="s">
        <v>3349</v>
      </c>
      <c r="J292" s="3070">
        <v>-2</v>
      </c>
      <c r="K292" s="3065" t="s">
        <v>3527</v>
      </c>
      <c r="L292" s="3068">
        <v>45.38</v>
      </c>
      <c r="M292" s="3065" t="s">
        <v>3351</v>
      </c>
      <c r="N292" s="3065" t="s">
        <v>3345</v>
      </c>
    </row>
    <row r="293" spans="8:14" ht="12.75">
      <c r="H293" s="3067">
        <v>301</v>
      </c>
      <c r="I293" s="3065" t="s">
        <v>3349</v>
      </c>
      <c r="J293" s="3070">
        <v>-2</v>
      </c>
      <c r="K293" s="3065" t="s">
        <v>3528</v>
      </c>
      <c r="L293" s="3068">
        <v>45.38</v>
      </c>
      <c r="M293" s="3065" t="s">
        <v>3351</v>
      </c>
      <c r="N293" s="3065" t="s">
        <v>3345</v>
      </c>
    </row>
    <row r="294" spans="8:14" ht="12.75">
      <c r="H294" s="3067">
        <v>302</v>
      </c>
      <c r="I294" s="3065" t="s">
        <v>3349</v>
      </c>
      <c r="J294" s="3070">
        <v>-2</v>
      </c>
      <c r="K294" s="3065" t="s">
        <v>3529</v>
      </c>
      <c r="L294" s="3068">
        <v>45.38</v>
      </c>
      <c r="M294" s="3065" t="s">
        <v>3351</v>
      </c>
      <c r="N294" s="3065" t="s">
        <v>3345</v>
      </c>
    </row>
    <row r="295" spans="8:14" ht="12.75">
      <c r="H295" s="3067">
        <v>303</v>
      </c>
      <c r="I295" s="3065" t="s">
        <v>3349</v>
      </c>
      <c r="J295" s="3070">
        <v>-2</v>
      </c>
      <c r="K295" s="3065" t="s">
        <v>3530</v>
      </c>
      <c r="L295" s="3068">
        <v>45.38</v>
      </c>
      <c r="M295" s="3065" t="s">
        <v>3351</v>
      </c>
      <c r="N295" s="3065" t="s">
        <v>3345</v>
      </c>
    </row>
    <row r="296" spans="8:14" ht="12.75">
      <c r="H296" s="3067">
        <v>304</v>
      </c>
      <c r="I296" s="3065" t="s">
        <v>3349</v>
      </c>
      <c r="J296" s="3070">
        <v>-2</v>
      </c>
      <c r="K296" s="3065" t="s">
        <v>3531</v>
      </c>
      <c r="L296" s="3068">
        <v>45.38</v>
      </c>
      <c r="M296" s="3065" t="s">
        <v>3351</v>
      </c>
      <c r="N296" s="3065" t="s">
        <v>3345</v>
      </c>
    </row>
    <row r="297" spans="8:14" ht="12.75">
      <c r="H297" s="3067">
        <v>305</v>
      </c>
      <c r="I297" s="3065" t="s">
        <v>3349</v>
      </c>
      <c r="J297" s="3070">
        <v>-2</v>
      </c>
      <c r="K297" s="3065" t="s">
        <v>3532</v>
      </c>
      <c r="L297" s="3068">
        <v>45.38</v>
      </c>
      <c r="M297" s="3065" t="s">
        <v>3351</v>
      </c>
      <c r="N297" s="3065" t="s">
        <v>3345</v>
      </c>
    </row>
    <row r="298" spans="8:14" ht="12.75">
      <c r="H298" s="3067">
        <v>306</v>
      </c>
      <c r="I298" s="3065" t="s">
        <v>3349</v>
      </c>
      <c r="J298" s="3070">
        <v>-2</v>
      </c>
      <c r="K298" s="3065" t="s">
        <v>3533</v>
      </c>
      <c r="L298" s="3068">
        <v>45.38</v>
      </c>
      <c r="M298" s="3065" t="s">
        <v>3351</v>
      </c>
      <c r="N298" s="3065" t="s">
        <v>3345</v>
      </c>
    </row>
    <row r="299" spans="8:14" ht="12.75">
      <c r="H299" s="3067">
        <v>307</v>
      </c>
      <c r="I299" s="3065" t="s">
        <v>3349</v>
      </c>
      <c r="J299" s="3070">
        <v>-2</v>
      </c>
      <c r="K299" s="3065" t="s">
        <v>3534</v>
      </c>
      <c r="L299" s="3068">
        <v>45.38</v>
      </c>
      <c r="M299" s="3065" t="s">
        <v>3351</v>
      </c>
      <c r="N299" s="3065" t="s">
        <v>3345</v>
      </c>
    </row>
    <row r="300" spans="8:14" ht="12.75">
      <c r="H300" s="3067">
        <v>308</v>
      </c>
      <c r="I300" s="3065" t="s">
        <v>3349</v>
      </c>
      <c r="J300" s="3070">
        <v>-2</v>
      </c>
      <c r="K300" s="3065" t="s">
        <v>3535</v>
      </c>
      <c r="L300" s="3068">
        <v>45.38</v>
      </c>
      <c r="M300" s="3065" t="s">
        <v>3351</v>
      </c>
      <c r="N300" s="3065" t="s">
        <v>3345</v>
      </c>
    </row>
    <row r="301" spans="8:14" ht="12.75">
      <c r="H301" s="3067">
        <v>309</v>
      </c>
      <c r="I301" s="3065" t="s">
        <v>3349</v>
      </c>
      <c r="J301" s="3070">
        <v>-2</v>
      </c>
      <c r="K301" s="3065" t="s">
        <v>3536</v>
      </c>
      <c r="L301" s="3068">
        <v>45.38</v>
      </c>
      <c r="M301" s="3065" t="s">
        <v>3351</v>
      </c>
      <c r="N301" s="3065" t="s">
        <v>3345</v>
      </c>
    </row>
    <row r="302" spans="8:14" ht="12.75">
      <c r="H302" s="3067">
        <v>310</v>
      </c>
      <c r="I302" s="3065" t="s">
        <v>3349</v>
      </c>
      <c r="J302" s="3070">
        <v>-2</v>
      </c>
      <c r="K302" s="3065" t="s">
        <v>3537</v>
      </c>
      <c r="L302" s="3068">
        <v>45.38</v>
      </c>
      <c r="M302" s="3065" t="s">
        <v>3351</v>
      </c>
      <c r="N302" s="3065" t="s">
        <v>3345</v>
      </c>
    </row>
    <row r="303" spans="8:14" ht="12.75">
      <c r="H303" s="3067">
        <v>311</v>
      </c>
      <c r="I303" s="3065" t="s">
        <v>3349</v>
      </c>
      <c r="J303" s="3070">
        <v>-2</v>
      </c>
      <c r="K303" s="3065" t="s">
        <v>3538</v>
      </c>
      <c r="L303" s="3068">
        <v>45.38</v>
      </c>
      <c r="M303" s="3065" t="s">
        <v>3351</v>
      </c>
      <c r="N303" s="3065" t="s">
        <v>3345</v>
      </c>
    </row>
    <row r="304" spans="8:14" ht="12.75">
      <c r="H304" s="3067">
        <v>312</v>
      </c>
      <c r="I304" s="3065" t="s">
        <v>3349</v>
      </c>
      <c r="J304" s="3070">
        <v>-2</v>
      </c>
      <c r="K304" s="3065" t="s">
        <v>3539</v>
      </c>
      <c r="L304" s="3068">
        <v>45.38</v>
      </c>
      <c r="M304" s="3065" t="s">
        <v>3351</v>
      </c>
      <c r="N304" s="3065" t="s">
        <v>3345</v>
      </c>
    </row>
    <row r="305" spans="8:14" ht="12.75">
      <c r="H305" s="3067">
        <v>313</v>
      </c>
      <c r="I305" s="3065" t="s">
        <v>3349</v>
      </c>
      <c r="J305" s="3070">
        <v>-2</v>
      </c>
      <c r="K305" s="3065" t="s">
        <v>3540</v>
      </c>
      <c r="L305" s="3068">
        <v>45.38</v>
      </c>
      <c r="M305" s="3065" t="s">
        <v>3351</v>
      </c>
      <c r="N305" s="3065" t="s">
        <v>3345</v>
      </c>
    </row>
    <row r="306" spans="8:14" ht="12.75">
      <c r="H306" s="3067">
        <v>314</v>
      </c>
      <c r="I306" s="3065" t="s">
        <v>3349</v>
      </c>
      <c r="J306" s="3070">
        <v>-2</v>
      </c>
      <c r="K306" s="3065" t="s">
        <v>3541</v>
      </c>
      <c r="L306" s="3068">
        <v>45.38</v>
      </c>
      <c r="M306" s="3065" t="s">
        <v>3351</v>
      </c>
      <c r="N306" s="3065" t="s">
        <v>3345</v>
      </c>
    </row>
    <row r="307" spans="8:14" ht="12.75">
      <c r="H307" s="3067">
        <v>315</v>
      </c>
      <c r="I307" s="3065" t="s">
        <v>3349</v>
      </c>
      <c r="J307" s="3070">
        <v>-2</v>
      </c>
      <c r="K307" s="3065" t="s">
        <v>3542</v>
      </c>
      <c r="L307" s="3068">
        <v>45.38</v>
      </c>
      <c r="M307" s="3065" t="s">
        <v>3351</v>
      </c>
      <c r="N307" s="3065" t="s">
        <v>3345</v>
      </c>
    </row>
    <row r="308" spans="8:14" ht="12.75">
      <c r="H308" s="3067">
        <v>316</v>
      </c>
      <c r="I308" s="3065" t="s">
        <v>3349</v>
      </c>
      <c r="J308" s="3070">
        <v>-2</v>
      </c>
      <c r="K308" s="3065" t="s">
        <v>3543</v>
      </c>
      <c r="L308" s="3068">
        <v>45.38</v>
      </c>
      <c r="M308" s="3065" t="s">
        <v>3351</v>
      </c>
      <c r="N308" s="3065" t="s">
        <v>3345</v>
      </c>
    </row>
    <row r="309" spans="8:14" ht="12.75">
      <c r="H309" s="3067">
        <v>317</v>
      </c>
      <c r="I309" s="3065" t="s">
        <v>3349</v>
      </c>
      <c r="J309" s="3070">
        <v>-2</v>
      </c>
      <c r="K309" s="3065" t="s">
        <v>3544</v>
      </c>
      <c r="L309" s="3068">
        <v>45.38</v>
      </c>
      <c r="M309" s="3065" t="s">
        <v>3351</v>
      </c>
      <c r="N309" s="3065" t="s">
        <v>3345</v>
      </c>
    </row>
    <row r="310" spans="8:14" ht="12.75">
      <c r="H310" s="3067">
        <v>318</v>
      </c>
      <c r="I310" s="3065" t="s">
        <v>3349</v>
      </c>
      <c r="J310" s="3070">
        <v>-2</v>
      </c>
      <c r="K310" s="3065" t="s">
        <v>3545</v>
      </c>
      <c r="L310" s="3068">
        <v>45.38</v>
      </c>
      <c r="M310" s="3065" t="s">
        <v>3351</v>
      </c>
      <c r="N310" s="3065" t="s">
        <v>3345</v>
      </c>
    </row>
    <row r="311" spans="8:14" ht="12.75">
      <c r="H311" s="3067">
        <v>319</v>
      </c>
      <c r="I311" s="3065" t="s">
        <v>3349</v>
      </c>
      <c r="J311" s="3070">
        <v>-2</v>
      </c>
      <c r="K311" s="3065" t="s">
        <v>3546</v>
      </c>
      <c r="L311" s="3068">
        <v>45.38</v>
      </c>
      <c r="M311" s="3065" t="s">
        <v>3351</v>
      </c>
      <c r="N311" s="3065" t="s">
        <v>3345</v>
      </c>
    </row>
    <row r="312" spans="8:14" ht="12.75">
      <c r="H312" s="3067">
        <v>320</v>
      </c>
      <c r="I312" s="3065" t="s">
        <v>3349</v>
      </c>
      <c r="J312" s="3070">
        <v>-2</v>
      </c>
      <c r="K312" s="3065" t="s">
        <v>3547</v>
      </c>
      <c r="L312" s="3068">
        <v>45.38</v>
      </c>
      <c r="M312" s="3065" t="s">
        <v>3351</v>
      </c>
      <c r="N312" s="3065" t="s">
        <v>3345</v>
      </c>
    </row>
    <row r="313" spans="8:14" ht="12.75">
      <c r="H313" s="3067">
        <v>321</v>
      </c>
      <c r="I313" s="3065" t="s">
        <v>3349</v>
      </c>
      <c r="J313" s="3070">
        <v>-2</v>
      </c>
      <c r="K313" s="3065" t="s">
        <v>3548</v>
      </c>
      <c r="L313" s="3068">
        <v>45.38</v>
      </c>
      <c r="M313" s="3065" t="s">
        <v>3351</v>
      </c>
      <c r="N313" s="3065" t="s">
        <v>3345</v>
      </c>
    </row>
    <row r="314" spans="8:14" ht="12.75">
      <c r="H314" s="3067">
        <v>322</v>
      </c>
      <c r="I314" s="3065" t="s">
        <v>3349</v>
      </c>
      <c r="J314" s="3070">
        <v>-2</v>
      </c>
      <c r="K314" s="3065" t="s">
        <v>3549</v>
      </c>
      <c r="L314" s="3068">
        <v>45.38</v>
      </c>
      <c r="M314" s="3065" t="s">
        <v>3351</v>
      </c>
      <c r="N314" s="3065" t="s">
        <v>3345</v>
      </c>
    </row>
    <row r="315" spans="8:14" ht="12.75">
      <c r="H315" s="3067">
        <v>323</v>
      </c>
      <c r="I315" s="3065" t="s">
        <v>3349</v>
      </c>
      <c r="J315" s="3070">
        <v>-2</v>
      </c>
      <c r="K315" s="3065" t="s">
        <v>3550</v>
      </c>
      <c r="L315" s="3068">
        <v>45.38</v>
      </c>
      <c r="M315" s="3065" t="s">
        <v>3351</v>
      </c>
      <c r="N315" s="3065" t="s">
        <v>3345</v>
      </c>
    </row>
    <row r="316" spans="8:14" ht="12.75">
      <c r="H316" s="3067">
        <v>324</v>
      </c>
      <c r="I316" s="3065" t="s">
        <v>3349</v>
      </c>
      <c r="J316" s="3070">
        <v>-2</v>
      </c>
      <c r="K316" s="3065" t="s">
        <v>3551</v>
      </c>
      <c r="L316" s="3068">
        <v>45.38</v>
      </c>
      <c r="M316" s="3065" t="s">
        <v>3351</v>
      </c>
      <c r="N316" s="3065" t="s">
        <v>3345</v>
      </c>
    </row>
    <row r="317" spans="8:14" ht="12.75">
      <c r="H317" s="3067">
        <v>325</v>
      </c>
      <c r="I317" s="3065" t="s">
        <v>3349</v>
      </c>
      <c r="J317" s="3070">
        <v>-2</v>
      </c>
      <c r="K317" s="3065" t="s">
        <v>3552</v>
      </c>
      <c r="L317" s="3068">
        <v>45.38</v>
      </c>
      <c r="M317" s="3065" t="s">
        <v>3351</v>
      </c>
      <c r="N317" s="3065" t="s">
        <v>3345</v>
      </c>
    </row>
    <row r="318" spans="8:14" ht="12.75">
      <c r="H318" s="3067">
        <v>326</v>
      </c>
      <c r="I318" s="3065" t="s">
        <v>3349</v>
      </c>
      <c r="J318" s="3070">
        <v>-2</v>
      </c>
      <c r="K318" s="3065" t="s">
        <v>3553</v>
      </c>
      <c r="L318" s="3068">
        <v>45.38</v>
      </c>
      <c r="M318" s="3065" t="s">
        <v>3351</v>
      </c>
      <c r="N318" s="3065" t="s">
        <v>3345</v>
      </c>
    </row>
    <row r="319" spans="8:14" ht="12.75">
      <c r="H319" s="3067">
        <v>327</v>
      </c>
      <c r="I319" s="3065" t="s">
        <v>3349</v>
      </c>
      <c r="J319" s="3070">
        <v>-2</v>
      </c>
      <c r="K319" s="3065" t="s">
        <v>3554</v>
      </c>
      <c r="L319" s="3068">
        <v>45.38</v>
      </c>
      <c r="M319" s="3065" t="s">
        <v>3351</v>
      </c>
      <c r="N319" s="3065" t="s">
        <v>3345</v>
      </c>
    </row>
    <row r="320" spans="8:14" ht="12.75">
      <c r="H320" s="3067">
        <v>328</v>
      </c>
      <c r="I320" s="3065" t="s">
        <v>3349</v>
      </c>
      <c r="J320" s="3070">
        <v>-2</v>
      </c>
      <c r="K320" s="3065" t="s">
        <v>3555</v>
      </c>
      <c r="L320" s="3068">
        <v>45.38</v>
      </c>
      <c r="M320" s="3065" t="s">
        <v>3351</v>
      </c>
      <c r="N320" s="3065" t="s">
        <v>3345</v>
      </c>
    </row>
    <row r="321" spans="8:14" ht="12.75">
      <c r="H321" s="3067">
        <v>329</v>
      </c>
      <c r="I321" s="3065" t="s">
        <v>3349</v>
      </c>
      <c r="J321" s="3070">
        <v>-2</v>
      </c>
      <c r="K321" s="3065" t="s">
        <v>3556</v>
      </c>
      <c r="L321" s="3068">
        <v>45.38</v>
      </c>
      <c r="M321" s="3065" t="s">
        <v>3351</v>
      </c>
      <c r="N321" s="3065" t="s">
        <v>3345</v>
      </c>
    </row>
    <row r="322" spans="8:14" ht="12.75">
      <c r="H322" s="3067">
        <v>330</v>
      </c>
      <c r="I322" s="3065" t="s">
        <v>3349</v>
      </c>
      <c r="J322" s="3070">
        <v>-2</v>
      </c>
      <c r="K322" s="3065" t="s">
        <v>3557</v>
      </c>
      <c r="L322" s="3068">
        <v>45.38</v>
      </c>
      <c r="M322" s="3065" t="s">
        <v>3351</v>
      </c>
      <c r="N322" s="3065" t="s">
        <v>3345</v>
      </c>
    </row>
    <row r="323" spans="8:14" ht="12.75">
      <c r="H323" s="3067">
        <v>331</v>
      </c>
      <c r="I323" s="3065" t="s">
        <v>3349</v>
      </c>
      <c r="J323" s="3070">
        <v>-2</v>
      </c>
      <c r="K323" s="3065" t="s">
        <v>3558</v>
      </c>
      <c r="L323" s="3068">
        <v>45.38</v>
      </c>
      <c r="M323" s="3065" t="s">
        <v>3351</v>
      </c>
      <c r="N323" s="3065" t="s">
        <v>3345</v>
      </c>
    </row>
    <row r="324" spans="8:14" ht="12.75">
      <c r="H324" s="3067">
        <v>332</v>
      </c>
      <c r="I324" s="3065" t="s">
        <v>3349</v>
      </c>
      <c r="J324" s="3070">
        <v>-2</v>
      </c>
      <c r="K324" s="3065" t="s">
        <v>3559</v>
      </c>
      <c r="L324" s="3068">
        <v>45.38</v>
      </c>
      <c r="M324" s="3065" t="s">
        <v>3351</v>
      </c>
      <c r="N324" s="3065" t="s">
        <v>3345</v>
      </c>
    </row>
    <row r="325" spans="8:14" ht="12.75">
      <c r="H325" s="3067">
        <v>333</v>
      </c>
      <c r="I325" s="3065" t="s">
        <v>3349</v>
      </c>
      <c r="J325" s="3070">
        <v>-2</v>
      </c>
      <c r="K325" s="3065" t="s">
        <v>3560</v>
      </c>
      <c r="L325" s="3068">
        <v>45.38</v>
      </c>
      <c r="M325" s="3065" t="s">
        <v>3351</v>
      </c>
      <c r="N325" s="3065" t="s">
        <v>3345</v>
      </c>
    </row>
    <row r="326" spans="8:14" ht="12.75">
      <c r="H326" s="3067">
        <v>334</v>
      </c>
      <c r="I326" s="3065" t="s">
        <v>3349</v>
      </c>
      <c r="J326" s="3070">
        <v>-2</v>
      </c>
      <c r="K326" s="3065" t="s">
        <v>3561</v>
      </c>
      <c r="L326" s="3068">
        <v>45.38</v>
      </c>
      <c r="M326" s="3065" t="s">
        <v>3351</v>
      </c>
      <c r="N326" s="3065" t="s">
        <v>3345</v>
      </c>
    </row>
    <row r="327" spans="8:14" ht="12.75">
      <c r="H327" s="3067">
        <v>335</v>
      </c>
      <c r="I327" s="3065" t="s">
        <v>3349</v>
      </c>
      <c r="J327" s="3070">
        <v>-2</v>
      </c>
      <c r="K327" s="3065" t="s">
        <v>3562</v>
      </c>
      <c r="L327" s="3068">
        <v>45.38</v>
      </c>
      <c r="M327" s="3065" t="s">
        <v>3351</v>
      </c>
      <c r="N327" s="3065" t="s">
        <v>3345</v>
      </c>
    </row>
    <row r="328" spans="8:14" ht="12.75">
      <c r="H328" s="3067">
        <v>336</v>
      </c>
      <c r="I328" s="3065" t="s">
        <v>3349</v>
      </c>
      <c r="J328" s="3070">
        <v>-2</v>
      </c>
      <c r="K328" s="3065" t="s">
        <v>3563</v>
      </c>
      <c r="L328" s="3068">
        <v>45.38</v>
      </c>
      <c r="M328" s="3065" t="s">
        <v>3351</v>
      </c>
      <c r="N328" s="3065" t="s">
        <v>3345</v>
      </c>
    </row>
    <row r="329" spans="8:14" ht="12.75">
      <c r="H329" s="3067">
        <v>337</v>
      </c>
      <c r="I329" s="3065" t="s">
        <v>3349</v>
      </c>
      <c r="J329" s="3070">
        <v>-2</v>
      </c>
      <c r="K329" s="3065" t="s">
        <v>3564</v>
      </c>
      <c r="L329" s="3068">
        <v>45.38</v>
      </c>
      <c r="M329" s="3065" t="s">
        <v>3351</v>
      </c>
      <c r="N329" s="3065" t="s">
        <v>3345</v>
      </c>
    </row>
    <row r="330" spans="8:14" ht="12.75">
      <c r="H330" s="3067">
        <v>338</v>
      </c>
      <c r="I330" s="3065" t="s">
        <v>3349</v>
      </c>
      <c r="J330" s="3070">
        <v>-2</v>
      </c>
      <c r="K330" s="3065" t="s">
        <v>3565</v>
      </c>
      <c r="L330" s="3068">
        <v>45.38</v>
      </c>
      <c r="M330" s="3065" t="s">
        <v>3351</v>
      </c>
      <c r="N330" s="3065" t="s">
        <v>3345</v>
      </c>
    </row>
    <row r="331" spans="8:14" ht="12.75">
      <c r="H331" s="3067">
        <v>339</v>
      </c>
      <c r="I331" s="3065" t="s">
        <v>3349</v>
      </c>
      <c r="J331" s="3070">
        <v>-2</v>
      </c>
      <c r="K331" s="3065" t="s">
        <v>3566</v>
      </c>
      <c r="L331" s="3068">
        <v>45.38</v>
      </c>
      <c r="M331" s="3065" t="s">
        <v>3351</v>
      </c>
      <c r="N331" s="3065" t="s">
        <v>3345</v>
      </c>
    </row>
    <row r="332" spans="8:14" ht="12.75">
      <c r="H332" s="3067">
        <v>340</v>
      </c>
      <c r="I332" s="3065" t="s">
        <v>3349</v>
      </c>
      <c r="J332" s="3070">
        <v>-2</v>
      </c>
      <c r="K332" s="3065" t="s">
        <v>3567</v>
      </c>
      <c r="L332" s="3068">
        <v>45.38</v>
      </c>
      <c r="M332" s="3065" t="s">
        <v>3351</v>
      </c>
      <c r="N332" s="3065" t="s">
        <v>3345</v>
      </c>
    </row>
  </sheetData>
  <mergeCells count="1">
    <mergeCell ref="A142:E14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79" t="s">
        <v>1817</v>
      </c>
      <c r="B2" s="3179"/>
      <c r="C2" s="3179"/>
      <c r="D2" s="903" t="s">
        <v>1793</v>
      </c>
      <c r="E2" s="1823" t="s">
        <v>1794</v>
      </c>
      <c r="F2" s="2884"/>
      <c r="G2" s="2875"/>
      <c r="H2" s="2876"/>
      <c r="I2" s="2546" t="s">
        <v>1818</v>
      </c>
      <c r="J2" s="2884"/>
      <c r="K2" s="2884"/>
      <c r="L2" s="2884"/>
      <c r="M2" s="2884"/>
      <c r="N2" s="2886"/>
      <c r="O2" s="2884"/>
      <c r="P2" s="2884"/>
    </row>
    <row r="3" spans="1:16" ht="15.75" thickBot="1">
      <c r="A3" s="3180" t="s">
        <v>1791</v>
      </c>
      <c r="B3" s="3180"/>
      <c r="C3" s="3180"/>
      <c r="D3" s="46">
        <f>'数据-基础表'!AY6</f>
        <v>11088</v>
      </c>
      <c r="E3" s="46">
        <f>'数据-基础表'!AZ5</f>
        <v>72083.499999999942</v>
      </c>
      <c r="F3" s="2884"/>
      <c r="G3" s="1306"/>
      <c r="H3" s="1156" t="s">
        <v>1792</v>
      </c>
      <c r="I3" s="963">
        <f>ROUND('数据-基础表'!B3/'数据-基础表'!A3,2)</f>
        <v>6.5</v>
      </c>
      <c r="J3" s="2884"/>
      <c r="K3" s="2884"/>
      <c r="L3" s="2884"/>
      <c r="M3" s="2884"/>
      <c r="N3" s="2886"/>
      <c r="O3" s="2884"/>
      <c r="P3" s="2884"/>
    </row>
    <row r="4" spans="1:16" ht="15">
      <c r="A4" s="3181"/>
      <c r="B4" s="3182"/>
      <c r="C4" s="3183"/>
      <c r="D4" s="1825" t="s">
        <v>1793</v>
      </c>
      <c r="E4" s="1826" t="s">
        <v>1794</v>
      </c>
      <c r="F4" s="2884"/>
      <c r="G4" s="2877" t="s">
        <v>1819</v>
      </c>
      <c r="H4" s="1156" t="s">
        <v>1799</v>
      </c>
      <c r="I4" s="963">
        <f>ROUND(SUMIF('数据-基础表'!I9:AS9,"地上",'数据-基础表'!I5:AS5)/'数据-基础表'!A3,2)</f>
        <v>4.68</v>
      </c>
      <c r="J4" s="2884"/>
      <c r="K4" s="2884"/>
      <c r="L4" s="2884"/>
      <c r="M4" s="2884"/>
      <c r="N4" s="2886"/>
      <c r="O4" s="2884"/>
      <c r="P4" s="2884"/>
    </row>
    <row r="5" spans="1:16">
      <c r="A5" s="47" t="s">
        <v>1795</v>
      </c>
      <c r="B5" s="3184" t="s">
        <v>1796</v>
      </c>
      <c r="C5" s="3184"/>
      <c r="D5" s="48">
        <f>ROUND($D$3*E5/$E$3,2)</f>
        <v>0</v>
      </c>
      <c r="E5" s="49">
        <f>SUMIF('数据-基础表'!$11:$11,"住宅",'数据-基础表'!$5:$5)</f>
        <v>0</v>
      </c>
      <c r="F5" s="2884"/>
      <c r="G5" s="1306"/>
      <c r="H5" s="1156" t="s">
        <v>1792</v>
      </c>
      <c r="I5" s="963">
        <f>ROUND(E31/D31,2)</f>
        <v>6.5</v>
      </c>
      <c r="J5" s="2884"/>
      <c r="K5" s="2884"/>
      <c r="L5" s="2884"/>
      <c r="M5" s="2884"/>
      <c r="N5" s="2884"/>
      <c r="O5" s="2884"/>
      <c r="P5" s="2884"/>
    </row>
    <row r="6" spans="1:16" ht="15" thickBot="1">
      <c r="A6" s="1828"/>
      <c r="B6" s="3184" t="s">
        <v>1797</v>
      </c>
      <c r="C6" s="3184"/>
      <c r="D6" s="48">
        <f>ROUND($D$3*E6/$E$3,2)</f>
        <v>11088</v>
      </c>
      <c r="E6" s="49">
        <f>E3-E5</f>
        <v>72083.499999999942</v>
      </c>
      <c r="F6" s="2884"/>
      <c r="G6" s="2878" t="s">
        <v>1798</v>
      </c>
      <c r="H6" s="1307" t="s">
        <v>1799</v>
      </c>
      <c r="I6" s="2879">
        <f>ROUND(F31/D31,2)</f>
        <v>4.68</v>
      </c>
      <c r="J6" s="2884"/>
      <c r="K6" s="2884"/>
      <c r="L6" s="2884"/>
      <c r="M6" s="2884"/>
      <c r="N6" s="2884"/>
      <c r="O6" s="2884"/>
      <c r="P6" s="2884"/>
    </row>
    <row r="7" spans="1:16" ht="15.75" thickBot="1">
      <c r="A7" s="3176"/>
      <c r="B7" s="3177"/>
      <c r="C7" s="3178"/>
      <c r="D7" s="1825" t="s">
        <v>1793</v>
      </c>
      <c r="E7" s="1829"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7981.37</v>
      </c>
      <c r="E8" s="51">
        <f>SUMIF('数据-基础表'!BB10:BK10,"地上",'数据-基础表'!BB5:BK5)</f>
        <v>51887.190000000039</v>
      </c>
      <c r="F8" s="2884"/>
      <c r="G8" s="2885"/>
      <c r="H8" s="2885"/>
      <c r="I8" s="2884"/>
      <c r="J8" s="2884"/>
      <c r="K8" s="2884"/>
      <c r="L8" s="2884"/>
      <c r="M8" s="2884"/>
      <c r="N8" s="2884"/>
      <c r="O8" s="2884"/>
      <c r="P8" s="2884"/>
    </row>
    <row r="9" spans="1:16">
      <c r="A9" s="1830"/>
      <c r="B9" s="1831"/>
      <c r="C9" s="48" t="s">
        <v>1805</v>
      </c>
      <c r="D9" s="48">
        <f t="shared" si="0"/>
        <v>0</v>
      </c>
      <c r="E9" s="52">
        <v>0</v>
      </c>
      <c r="F9" s="2884"/>
      <c r="G9" s="2885"/>
      <c r="H9" s="2885"/>
      <c r="I9" s="2884"/>
      <c r="J9" s="2884"/>
      <c r="K9" s="2884"/>
      <c r="L9" s="2884"/>
      <c r="M9" s="2884"/>
      <c r="N9" s="2884"/>
      <c r="O9" s="2884"/>
      <c r="P9" s="2884"/>
    </row>
    <row r="10" spans="1:16">
      <c r="A10" s="1830"/>
      <c r="B10" s="1831"/>
      <c r="C10" s="48" t="s">
        <v>1814</v>
      </c>
      <c r="D10" s="48">
        <f t="shared" si="0"/>
        <v>827.42</v>
      </c>
      <c r="E10" s="51">
        <f>SUMPRODUCT(('数据-基础表'!BB10:BK10="地下")*('数据-基础表'!BB11:BK11="商业")*('数据-基础表'!BB5:BK5))</f>
        <v>5379.1</v>
      </c>
      <c r="F10" s="2884"/>
      <c r="G10" s="2885"/>
      <c r="H10" s="2885"/>
      <c r="I10" s="2884"/>
      <c r="J10" s="2884"/>
      <c r="K10" s="2884"/>
      <c r="L10" s="2884"/>
      <c r="M10" s="2884"/>
      <c r="N10" s="2884"/>
      <c r="O10" s="2884"/>
      <c r="P10" s="2884"/>
    </row>
    <row r="11" spans="1:16">
      <c r="A11" s="1830"/>
      <c r="B11" s="1831"/>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1807</v>
      </c>
      <c r="D12" s="48">
        <f t="shared" si="0"/>
        <v>21.02</v>
      </c>
      <c r="E12" s="51">
        <f>SUMPRODUCT(('数据-基础表'!BB10:BK10="地下")*('数据-基础表'!BB11:BK11="仓储")*('数据-基础表'!BB5:BK5))</f>
        <v>136.68</v>
      </c>
      <c r="F12" s="2884"/>
      <c r="G12" s="2885"/>
      <c r="H12" s="2885"/>
      <c r="I12" s="2884"/>
      <c r="J12" s="2884"/>
      <c r="K12" s="2884"/>
      <c r="L12" s="2884"/>
      <c r="M12" s="2884"/>
      <c r="N12" s="2884"/>
      <c r="O12" s="2884"/>
      <c r="P12" s="2884"/>
    </row>
    <row r="13" spans="1:16">
      <c r="A13" s="1830"/>
      <c r="B13" s="1831"/>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1815</v>
      </c>
      <c r="D15" s="48">
        <f t="shared" si="0"/>
        <v>2258.1799999999998</v>
      </c>
      <c r="E15" s="51">
        <f>SUMPRODUCT(('数据-基础表'!BB10:BK10="地下")*('数据-基础表'!BB11:BK11="车库—办公")*('数据-基础表'!BB5:BK5))</f>
        <v>14680.529999999908</v>
      </c>
      <c r="F15" s="2884"/>
      <c r="G15" s="2885"/>
      <c r="H15" s="2885"/>
      <c r="I15" s="2884"/>
      <c r="J15" s="2884"/>
      <c r="K15" s="2884"/>
      <c r="L15" s="2884"/>
      <c r="M15" s="2884"/>
      <c r="N15" s="2884"/>
      <c r="O15" s="2884"/>
      <c r="P15" s="2884"/>
    </row>
    <row r="16" spans="1:16" ht="15.75" thickBot="1">
      <c r="A16" s="1828"/>
      <c r="B16" s="1831"/>
      <c r="C16" s="50" t="s">
        <v>1809</v>
      </c>
      <c r="D16" s="50">
        <f>SUM(D8:D15)</f>
        <v>11087.99</v>
      </c>
      <c r="E16" s="53">
        <f>SUM(E8:E15)</f>
        <v>72083.499999999942</v>
      </c>
      <c r="F16" s="2884"/>
      <c r="G16" s="2885"/>
      <c r="H16" s="1832" t="s">
        <v>1821</v>
      </c>
      <c r="I16" s="1833"/>
      <c r="J16" s="1300"/>
      <c r="K16" s="3173" t="s">
        <v>1821</v>
      </c>
      <c r="L16" s="3174"/>
      <c r="M16" s="3174"/>
      <c r="N16" s="3174"/>
      <c r="O16" s="3174"/>
      <c r="P16" s="3175"/>
    </row>
    <row r="17" spans="1:19" ht="15">
      <c r="A17" s="1834" t="s">
        <v>1822</v>
      </c>
      <c r="B17" s="1835" t="s">
        <v>1823</v>
      </c>
      <c r="C17" s="1836" t="s">
        <v>1824</v>
      </c>
      <c r="D17" s="1837" t="s">
        <v>1812</v>
      </c>
      <c r="E17" s="1838" t="s">
        <v>1813</v>
      </c>
      <c r="F17" s="1839"/>
      <c r="G17" s="1840"/>
      <c r="H17" s="1841" t="s">
        <v>1825</v>
      </c>
      <c r="I17" s="1842" t="s">
        <v>1810</v>
      </c>
      <c r="J17" s="1300"/>
      <c r="K17" s="3170" t="s">
        <v>1826</v>
      </c>
      <c r="L17" s="3171"/>
      <c r="M17" s="3172"/>
      <c r="N17" s="3170" t="s">
        <v>1827</v>
      </c>
      <c r="O17" s="3171"/>
      <c r="P17" s="3172"/>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81" t="s">
        <v>3592</v>
      </c>
      <c r="D19" s="48">
        <f>ROUND($D$3*E19/$E$3,2)</f>
        <v>7191.74</v>
      </c>
      <c r="E19" s="56">
        <f t="shared" ref="E19:E26" si="1">SUM(F19:G19)</f>
        <v>46753.740000000034</v>
      </c>
      <c r="F19" s="3024">
        <f>'数据-基础表'!I13</f>
        <v>46753.740000000034</v>
      </c>
      <c r="G19" s="3025"/>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7191.74</v>
      </c>
      <c r="S19" s="1157">
        <f t="shared" si="5"/>
        <v>46753.740000000034</v>
      </c>
    </row>
    <row r="20" spans="1:19">
      <c r="A20" s="1854"/>
      <c r="B20" s="50" t="s">
        <v>1839</v>
      </c>
      <c r="C20" s="3081" t="s">
        <v>3593</v>
      </c>
      <c r="D20" s="48">
        <f t="shared" ref="D20:D26" si="6">ROUND($D$3*E20/$E$3,2)</f>
        <v>1589.15</v>
      </c>
      <c r="E20" s="56">
        <f t="shared" si="1"/>
        <v>10331.11</v>
      </c>
      <c r="F20" s="3024">
        <f>'数据-基础表'!K13</f>
        <v>4952.0099999999993</v>
      </c>
      <c r="G20" s="3025">
        <f>'数据-基础表'!M13</f>
        <v>5379.1</v>
      </c>
      <c r="H20" s="679">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1589.15</v>
      </c>
      <c r="S20" s="1157">
        <f t="shared" si="5"/>
        <v>10331.11</v>
      </c>
    </row>
    <row r="21" spans="1:19">
      <c r="A21" s="1854"/>
      <c r="B21" s="50" t="s">
        <v>1839</v>
      </c>
      <c r="C21" s="3081" t="s">
        <v>3594</v>
      </c>
      <c r="D21" s="48">
        <f t="shared" si="6"/>
        <v>2258.1799999999998</v>
      </c>
      <c r="E21" s="56">
        <f t="shared" si="1"/>
        <v>14680.529999999908</v>
      </c>
      <c r="F21" s="3024"/>
      <c r="G21" s="3438">
        <f>'数据-基础表'!O13</f>
        <v>14680.529999999908</v>
      </c>
      <c r="H21" s="679">
        <f t="shared" si="7"/>
        <v>0</v>
      </c>
      <c r="I21" s="51">
        <f t="shared" si="2"/>
        <v>0</v>
      </c>
      <c r="J21" s="1300"/>
      <c r="K21" s="1299">
        <f t="shared" si="3"/>
        <v>0</v>
      </c>
      <c r="L21" s="1156">
        <f t="shared" si="4"/>
        <v>0</v>
      </c>
      <c r="M21" s="1311">
        <f t="shared" si="8"/>
        <v>0</v>
      </c>
      <c r="N21" s="1852"/>
      <c r="O21" s="1853"/>
      <c r="P21" s="1311">
        <f t="shared" si="9"/>
        <v>0</v>
      </c>
      <c r="R21" s="1156">
        <f t="shared" si="5"/>
        <v>2258.1799999999998</v>
      </c>
      <c r="S21" s="1157">
        <f t="shared" si="5"/>
        <v>14680.529999999908</v>
      </c>
    </row>
    <row r="22" spans="1:19">
      <c r="A22" s="1854"/>
      <c r="B22" s="50" t="s">
        <v>1839</v>
      </c>
      <c r="C22" s="3082" t="s">
        <v>3595</v>
      </c>
      <c r="D22" s="48">
        <f t="shared" si="6"/>
        <v>48.93</v>
      </c>
      <c r="E22" s="56">
        <f t="shared" si="1"/>
        <v>318.12</v>
      </c>
      <c r="F22" s="3026">
        <f>'数据-基础表'!Q13</f>
        <v>181.44</v>
      </c>
      <c r="G22" s="3027">
        <f>'数据-基础表'!S13</f>
        <v>136.68</v>
      </c>
      <c r="H22" s="679">
        <f t="shared" si="7"/>
        <v>0</v>
      </c>
      <c r="I22" s="51">
        <f t="shared" si="2"/>
        <v>0</v>
      </c>
      <c r="J22" s="1300"/>
      <c r="K22" s="1299">
        <f t="shared" si="3"/>
        <v>0</v>
      </c>
      <c r="L22" s="1156">
        <f t="shared" si="4"/>
        <v>0</v>
      </c>
      <c r="M22" s="1311">
        <f t="shared" si="8"/>
        <v>0</v>
      </c>
      <c r="N22" s="1852"/>
      <c r="O22" s="1853"/>
      <c r="P22" s="1311">
        <f t="shared" si="9"/>
        <v>0</v>
      </c>
      <c r="R22" s="1156">
        <f t="shared" si="5"/>
        <v>48.93</v>
      </c>
      <c r="S22" s="1157">
        <f t="shared" si="5"/>
        <v>318.12</v>
      </c>
    </row>
    <row r="23" spans="1:19">
      <c r="A23" s="1854"/>
      <c r="B23" s="50" t="s">
        <v>1839</v>
      </c>
      <c r="C23" s="58"/>
      <c r="D23" s="48">
        <f>ROUND($D$3*E23/$E$3,2)</f>
        <v>0</v>
      </c>
      <c r="E23" s="56">
        <f>SUM(F23:G23)</f>
        <v>0</v>
      </c>
      <c r="F23" s="3026"/>
      <c r="G23" s="3027"/>
      <c r="H23" s="679">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9">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11088</v>
      </c>
      <c r="E27" s="1302">
        <f>IF(SUM(E19:E26)='数据-基础表'!BA5,SUM(E19:E26),IF(F27="地上面积有误","面积有误","地下面积有误"))</f>
        <v>72083.499999999942</v>
      </c>
      <c r="F27" s="1301">
        <f>IF(SUM(F19:F26)=E8,SUM(F19:F26),"地上面积有误")</f>
        <v>51887.190000000039</v>
      </c>
      <c r="G27" s="1303">
        <f>SUM(G19:G26)</f>
        <v>20196.30999999991</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11088</v>
      </c>
      <c r="S27" s="1156">
        <f>IF(SUM(S19:S26)=$E$3,SUM(S19:S26),SUM(S19:S26)&amp;"误差"&amp;ROUND(SUM(S19:S26)-E3,2))</f>
        <v>72083.499999999942</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5">
        <f>D27+D30</f>
        <v>11088</v>
      </c>
      <c r="E31" s="685">
        <f>E27+E30</f>
        <v>72083.499999999942</v>
      </c>
      <c r="F31" s="686">
        <f>F27+F30</f>
        <v>51887.190000000039</v>
      </c>
      <c r="G31" s="687">
        <f>G27+G30</f>
        <v>20196.30999999991</v>
      </c>
      <c r="H31" s="2884"/>
      <c r="I31" s="2884"/>
      <c r="J31" s="2884"/>
      <c r="K31" s="2884"/>
      <c r="L31" s="2884"/>
      <c r="M31" s="2884"/>
      <c r="N31" s="2884"/>
      <c r="O31" s="2884"/>
      <c r="P31" s="2884"/>
    </row>
    <row r="32" spans="1:19">
      <c r="A32" s="1827"/>
      <c r="B32" s="1827" t="s">
        <v>1845</v>
      </c>
      <c r="C32" s="1827"/>
      <c r="D32" s="1827"/>
      <c r="E32" s="1183">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8"/>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3" customFormat="1" ht="15.75" thickBot="1">
      <c r="A2" s="1867" t="s">
        <v>1847</v>
      </c>
      <c r="B2" s="1175">
        <f>项目基本情况!D3</f>
        <v>44299</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6" t="s">
        <v>1852</v>
      </c>
      <c r="AA4" s="1836"/>
      <c r="AB4" s="1836"/>
      <c r="AC4" s="1836"/>
      <c r="AD4" s="1836"/>
      <c r="AE4" s="1834" t="s">
        <v>1853</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3599</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6" t="s">
        <v>1887</v>
      </c>
      <c r="AP5" s="1158"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6">
        <f>SUMIF(项目基本情况!D$12:I$12,C6,项目基本情况!D$14:I$14)</f>
        <v>50</v>
      </c>
      <c r="E6" s="965">
        <f>IF(B6="","",SUMIF(项目基本情况!D$12:I$12,C6,项目基本情况!D$13:I$13))</f>
        <v>59684</v>
      </c>
      <c r="F6" s="68">
        <f>SUMIF(项目基本情况!D$12:I$12,C6,项目基本情况!D$15:I$15)</f>
        <v>42.15</v>
      </c>
      <c r="G6" s="69">
        <f>IF(ISERROR(ROUND(POWER(1+H6,D6-F6)*(POWER(1+H6,F6)-1)/(POWER(1+H6,D6)-1),3)),0,ROUND(POWER(1+H6,D6-F6)*(POWER(1+H6,F6)-1)/(POWER(1+H6,D6)-1),3))</f>
        <v>0.95499999999999996</v>
      </c>
      <c r="H6" s="741">
        <v>0.05</v>
      </c>
      <c r="I6" s="741">
        <v>5.5E-2</v>
      </c>
      <c r="J6" s="70">
        <v>8.5000000000000006E-2</v>
      </c>
      <c r="K6" s="1160">
        <f>SUMIF('数据-汇总表'!C$19:C$33,A6,'数据-汇总表'!E$19:E$33)</f>
        <v>46753.740000000034</v>
      </c>
      <c r="L6" s="3441">
        <v>5000</v>
      </c>
      <c r="M6" s="71">
        <f t="shared" ref="M6:M14" si="0">ROUND(K6*L6/10000,0)</f>
        <v>23377</v>
      </c>
      <c r="N6" s="740">
        <f>ROUND(1-(2021-2020)/60,2)</f>
        <v>0.98</v>
      </c>
      <c r="O6" s="71" t="str">
        <f>IF($N$5="成新度","——",ROUND(M6*N6,0))</f>
        <v>——</v>
      </c>
      <c r="P6" s="72" t="str">
        <f>IF($N$5="成新度","——",M6-O6)</f>
        <v>——</v>
      </c>
      <c r="Q6" s="743">
        <v>0.2</v>
      </c>
      <c r="R6" s="73">
        <f ca="1">SUMIF('数据-汇总表'!C$19:C$33,A6,'数据-汇总表'!R$19:R$27)</f>
        <v>7191.74</v>
      </c>
      <c r="S6" s="54">
        <f>IF('数据-汇总表'!$I$17="按面积比例",SUMIF('数据-汇总表'!C$19:C$33,A6,'数据-汇总表'!K$19:K$33),SUMIF('数据-汇总表'!C$19:C$33,A6,'数据-汇总表'!N$19:N$33))</f>
        <v>0</v>
      </c>
      <c r="T6" s="1333">
        <f>ROUND($L$14*S6/10000,0)</f>
        <v>0</v>
      </c>
      <c r="U6" s="74">
        <v>11.5</v>
      </c>
      <c r="V6" s="75">
        <v>0.03</v>
      </c>
      <c r="W6" s="75">
        <v>0.1</v>
      </c>
      <c r="X6" s="1170"/>
      <c r="Y6" s="76">
        <f>N6</f>
        <v>0.98</v>
      </c>
      <c r="Z6" s="77"/>
      <c r="AA6" s="70"/>
      <c r="AB6" s="70"/>
      <c r="AC6" s="1170"/>
      <c r="AD6" s="78"/>
      <c r="AE6" s="1171">
        <f ca="1">IF(AN6="",0,SUMIF(INDIRECT("'"&amp;AN6&amp;"'"&amp;"!E:E"),$AE$5,INDIRECT("'"&amp;AN6&amp;"'"&amp;"!F:F")))</f>
        <v>42.15</v>
      </c>
      <c r="AF6" s="1531"/>
      <c r="AG6" s="143">
        <f>IF(AF6="",0,AE6-AF6)</f>
        <v>0</v>
      </c>
      <c r="AH6" s="79"/>
      <c r="AI6" s="81">
        <v>365</v>
      </c>
      <c r="AJ6" s="82"/>
      <c r="AK6" s="83">
        <v>1.4999999999999999E-2</v>
      </c>
      <c r="AL6" s="84">
        <v>1.5E-3</v>
      </c>
      <c r="AM6" s="85">
        <v>0.02</v>
      </c>
      <c r="AN6" s="1899" t="s">
        <v>3677</v>
      </c>
      <c r="AO6" s="55">
        <f ca="1">SUMIF(INDIRECT("'"&amp;AN6&amp;"'"&amp;"!A:A"),"总价",INDIRECT("'"&amp;AN6&amp;"'"&amp;"!B:B"))</f>
        <v>350707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6">
        <f>SUMIF(项目基本情况!D$12:I$12,C7,项目基本情况!D$14:I$14)</f>
        <v>40</v>
      </c>
      <c r="E7" s="965">
        <f>IF(B7="","",SUMIF(项目基本情况!D$12:I$12,C7,项目基本情况!D$13:I$13))</f>
        <v>56032</v>
      </c>
      <c r="F7" s="68">
        <f>SUMIF(项目基本情况!D$12:I$12,C7,项目基本情况!D$15:I$15)</f>
        <v>32.14</v>
      </c>
      <c r="G7" s="69">
        <f t="shared" ref="G7:G11" si="2">IF(ISERROR(ROUND(POWER(1+H7,D7-F7)*(POWER(1+H7,F7)-1)/(POWER(1+H7,D7)-1),3)),0,ROUND(POWER(1+H7,D7-F7)*(POWER(1+H7,F7)-1)/(POWER(1+H7,D7)-1),3))</f>
        <v>0.93</v>
      </c>
      <c r="H7" s="741">
        <v>5.5E-2</v>
      </c>
      <c r="I7" s="741">
        <v>0.06</v>
      </c>
      <c r="J7" s="70">
        <v>8.5000000000000006E-2</v>
      </c>
      <c r="K7" s="1160">
        <f>SUMIF('数据-汇总表'!C$19:C$33,A7,'数据-汇总表'!E$19:E$33)</f>
        <v>10331.11</v>
      </c>
      <c r="L7" s="3441">
        <v>5000</v>
      </c>
      <c r="M7" s="71">
        <f t="shared" si="0"/>
        <v>5166</v>
      </c>
      <c r="N7" s="740">
        <f>N6</f>
        <v>0.98</v>
      </c>
      <c r="O7" s="71" t="str">
        <f t="shared" ref="O7:O14" si="3">IF($N$5="成新度","——",ROUND(M7*N7,0))</f>
        <v>——</v>
      </c>
      <c r="P7" s="72" t="str">
        <f t="shared" ref="P7:P14" si="4">IF($N$5="成新度","——",M7-O7)</f>
        <v>——</v>
      </c>
      <c r="Q7" s="743">
        <v>0.2</v>
      </c>
      <c r="R7" s="73">
        <f ca="1">SUMIF('数据-汇总表'!C$19:C$33,A7,'数据-汇总表'!R$19:R$27)</f>
        <v>1589.15</v>
      </c>
      <c r="S7" s="54">
        <f>IF('数据-汇总表'!$I$17="按面积比例",SUMIF('数据-汇总表'!C$19:C$33,A7,'数据-汇总表'!K$19:K$33),SUMIF('数据-汇总表'!C$19:C$33,A7,'数据-汇总表'!N$19:N$33))</f>
        <v>0</v>
      </c>
      <c r="T7" s="1333">
        <f t="shared" ref="T7:T13" si="5">ROUND($L$14*S7/10000,0)</f>
        <v>0</v>
      </c>
      <c r="U7" s="74">
        <v>9</v>
      </c>
      <c r="V7" s="75">
        <v>0.03</v>
      </c>
      <c r="W7" s="75">
        <v>0.1</v>
      </c>
      <c r="X7" s="1170"/>
      <c r="Y7" s="76">
        <f>N6</f>
        <v>0.98</v>
      </c>
      <c r="Z7" s="77"/>
      <c r="AA7" s="70"/>
      <c r="AB7" s="70"/>
      <c r="AC7" s="1170"/>
      <c r="AD7" s="78"/>
      <c r="AE7" s="1171">
        <f t="shared" ref="AE7:AE13" ca="1" si="6">IF(AN7="",0,SUMIF(INDIRECT("'"&amp;AN7&amp;"'"&amp;"!E:E"),$AE$5,INDIRECT("'"&amp;AN7&amp;"'"&amp;"!F:F")))</f>
        <v>32.14</v>
      </c>
      <c r="AF7" s="1531"/>
      <c r="AG7" s="143">
        <f t="shared" ref="AG7:AG13" si="7">IF(AF7="",0,AE7-AF7)</f>
        <v>0</v>
      </c>
      <c r="AH7" s="79"/>
      <c r="AI7" s="81">
        <v>365</v>
      </c>
      <c r="AJ7" s="82"/>
      <c r="AK7" s="83">
        <v>1.4999999999999999E-2</v>
      </c>
      <c r="AL7" s="84">
        <v>1.5E-3</v>
      </c>
      <c r="AM7" s="85">
        <v>0.02</v>
      </c>
      <c r="AN7" s="1899" t="s">
        <v>3673</v>
      </c>
      <c r="AO7" s="55">
        <f t="shared" ref="AO7:AO13" ca="1" si="8">SUMIF(INDIRECT("'"&amp;AN7&amp;"'"&amp;"!A:A"),"总价",INDIRECT("'"&amp;AN7&amp;"'"&amp;"!B:B"))</f>
        <v>47463</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3587</v>
      </c>
      <c r="D8" s="966">
        <f>SUMIF(项目基本情况!D$12:I$12,C8,项目基本情况!D$14:I$14)</f>
        <v>50</v>
      </c>
      <c r="E8" s="965">
        <f>IF(B8="","",SUMIF(项目基本情况!D$12:I$12,C8,项目基本情况!D$13:I$13))</f>
        <v>59684</v>
      </c>
      <c r="F8" s="68">
        <f>SUMIF(项目基本情况!D$12:I$12,C8,项目基本情况!D$15:I$15)</f>
        <v>42.15</v>
      </c>
      <c r="G8" s="69">
        <f t="shared" si="2"/>
        <v>0.94099999999999995</v>
      </c>
      <c r="H8" s="741">
        <v>0.04</v>
      </c>
      <c r="I8" s="741">
        <v>4.4999999999999998E-2</v>
      </c>
      <c r="J8" s="70">
        <v>8.5000000000000006E-2</v>
      </c>
      <c r="K8" s="1160">
        <f>SUMIF('数据-汇总表'!C$19:C$33,A8,'数据-汇总表'!E$19:E$33)</f>
        <v>14680.529999999908</v>
      </c>
      <c r="L8" s="742">
        <v>4500</v>
      </c>
      <c r="M8" s="71">
        <f>ROUND(K8*L8/10000,0)</f>
        <v>6606</v>
      </c>
      <c r="N8" s="740">
        <f>N6</f>
        <v>0.98</v>
      </c>
      <c r="O8" s="71" t="str">
        <f t="shared" si="3"/>
        <v>——</v>
      </c>
      <c r="P8" s="72" t="str">
        <f t="shared" si="4"/>
        <v>——</v>
      </c>
      <c r="Q8" s="743">
        <v>0.05</v>
      </c>
      <c r="R8" s="73">
        <f ca="1">SUMIF('数据-汇总表'!C$19:C$33,A8,'数据-汇总表'!R$19:R$27)</f>
        <v>2258.1799999999998</v>
      </c>
      <c r="S8" s="54">
        <f>IF('数据-汇总表'!$I$17="按面积比例",SUMIF('数据-汇总表'!C$19:C$33,A8,'数据-汇总表'!K$19:K$33),SUMIF('数据-汇总表'!C$19:C$33,A8,'数据-汇总表'!N$19:N$33))</f>
        <v>0</v>
      </c>
      <c r="T8" s="1333">
        <f t="shared" si="5"/>
        <v>0</v>
      </c>
      <c r="U8" s="744">
        <v>1800</v>
      </c>
      <c r="V8" s="745">
        <v>0.03</v>
      </c>
      <c r="W8" s="745">
        <v>0.1</v>
      </c>
      <c r="X8" s="1170"/>
      <c r="Y8" s="746">
        <f>N6</f>
        <v>0.98</v>
      </c>
      <c r="Z8" s="77"/>
      <c r="AA8" s="70"/>
      <c r="AB8" s="70"/>
      <c r="AC8" s="1170"/>
      <c r="AD8" s="78"/>
      <c r="AE8" s="1171">
        <f t="shared" ca="1" si="6"/>
        <v>42.15</v>
      </c>
      <c r="AF8" s="1531"/>
      <c r="AG8" s="143">
        <f t="shared" si="7"/>
        <v>0</v>
      </c>
      <c r="AH8" s="3440">
        <v>326</v>
      </c>
      <c r="AI8" s="81">
        <v>12</v>
      </c>
      <c r="AJ8" s="82"/>
      <c r="AK8" s="747">
        <v>1.4999999999999999E-2</v>
      </c>
      <c r="AL8" s="748">
        <v>1.5E-3</v>
      </c>
      <c r="AM8" s="749">
        <v>0.02</v>
      </c>
      <c r="AN8" s="1899" t="s">
        <v>3675</v>
      </c>
      <c r="AO8" s="55">
        <f t="shared" ca="1" si="8"/>
        <v>11197</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仓储</v>
      </c>
      <c r="B9" s="1897" t="str">
        <f t="shared" si="1"/>
        <v>经营性</v>
      </c>
      <c r="C9" s="1898" t="s">
        <v>3589</v>
      </c>
      <c r="D9" s="966">
        <f>SUMIF(项目基本情况!D$12:I$12,C9,项目基本情况!D$14:I$14)</f>
        <v>50</v>
      </c>
      <c r="E9" s="965">
        <f>IF(B9="","",SUMIF(项目基本情况!D$12:I$12,C9,项目基本情况!D$13:I$13))</f>
        <v>59684</v>
      </c>
      <c r="F9" s="68">
        <f>SUMIF(项目基本情况!D$12:I$12,C9,项目基本情况!D$15:I$15)</f>
        <v>42.15</v>
      </c>
      <c r="G9" s="69">
        <f t="shared" si="2"/>
        <v>0.94099999999999995</v>
      </c>
      <c r="H9" s="70">
        <v>0.04</v>
      </c>
      <c r="I9" s="70">
        <v>4.4999999999999998E-2</v>
      </c>
      <c r="J9" s="70">
        <v>8.5000000000000006E-2</v>
      </c>
      <c r="K9" s="1160">
        <f>SUMIF('数据-汇总表'!C$19:C$33,A9,'数据-汇总表'!E$19:E$33)</f>
        <v>318.12</v>
      </c>
      <c r="L9" s="742">
        <v>4500</v>
      </c>
      <c r="M9" s="71">
        <f t="shared" si="0"/>
        <v>143</v>
      </c>
      <c r="N9" s="740">
        <f>N6</f>
        <v>0.98</v>
      </c>
      <c r="O9" s="71" t="str">
        <f t="shared" si="3"/>
        <v>——</v>
      </c>
      <c r="P9" s="72" t="str">
        <f t="shared" si="4"/>
        <v>——</v>
      </c>
      <c r="Q9" s="86">
        <v>0.05</v>
      </c>
      <c r="R9" s="73">
        <f ca="1">SUMIF('数据-汇总表'!C$19:C$33,A9,'数据-汇总表'!R$19:R$27)</f>
        <v>48.93</v>
      </c>
      <c r="S9" s="54">
        <f>IF('数据-汇总表'!$I$17="按面积比例",SUMIF('数据-汇总表'!C$19:C$33,A9,'数据-汇总表'!K$19:K$33),SUMIF('数据-汇总表'!C$19:C$33,A9,'数据-汇总表'!N$19:N$33))</f>
        <v>0</v>
      </c>
      <c r="T9" s="1333">
        <f t="shared" si="5"/>
        <v>0</v>
      </c>
      <c r="U9" s="74"/>
      <c r="V9" s="75"/>
      <c r="W9" s="75"/>
      <c r="X9" s="1170"/>
      <c r="Y9" s="76">
        <f>N6</f>
        <v>0.98</v>
      </c>
      <c r="Z9" s="77"/>
      <c r="AA9" s="70"/>
      <c r="AB9" s="70"/>
      <c r="AC9" s="1170"/>
      <c r="AD9" s="78"/>
      <c r="AE9" s="1171">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0"/>
      <c r="AJ14" s="713"/>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0"/>
      <c r="AJ15" s="713"/>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1"/>
      <c r="D16" s="1904"/>
      <c r="E16" s="93"/>
      <c r="F16" s="93"/>
      <c r="G16" s="94">
        <f>ROUND(SUMPRODUCT(G6:G13,K6:K13)/SUMPRODUCT((G6:G13&gt;0)*(K6:K13)),3)</f>
        <v>0.94899999999999995</v>
      </c>
      <c r="H16" s="95">
        <f>ROUND(SUMPRODUCT(H6:H13,K6:K13)/SUMPRODUCT((H6:H13&gt;0)*(K6:K13)),3)</f>
        <v>4.9000000000000002E-2</v>
      </c>
      <c r="I16" s="96"/>
      <c r="J16" s="96"/>
      <c r="K16" s="97">
        <f>SUM(K6:K15)</f>
        <v>72083.499999999942</v>
      </c>
      <c r="L16" s="98">
        <f>ROUND(M16*10000/SUM(K6:K14),0)</f>
        <v>4896</v>
      </c>
      <c r="M16" s="98">
        <f>SUM(M6:M14)</f>
        <v>35292</v>
      </c>
      <c r="N16" s="99">
        <f>ROUND(SUMPRODUCT(M6:M14,N6:N14)/M16,3)</f>
        <v>0.98</v>
      </c>
      <c r="O16" s="98">
        <f>SUM(O6:O14)</f>
        <v>0</v>
      </c>
      <c r="P16" s="98">
        <f>SUM(P6:P14)</f>
        <v>0</v>
      </c>
      <c r="Q16" s="100">
        <f>ROUND(SUMPRODUCT(Q6:Q13,K6:K13)/SUMPRODUCT((Q6:Q13&gt;0)*(K6:K13)),2)</f>
        <v>0.17</v>
      </c>
      <c r="R16" s="1164">
        <f ca="1">SUM(R6:R13)</f>
        <v>11088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3049</v>
      </c>
      <c r="D20" s="2903"/>
      <c r="E20" s="2900"/>
      <c r="F20" s="2900"/>
      <c r="G20" s="2900"/>
      <c r="H20" s="2900"/>
      <c r="I20" s="2900"/>
      <c r="J20" s="2900"/>
      <c r="K20" s="2899"/>
      <c r="L20" s="2899"/>
      <c r="M20" s="2898"/>
      <c r="N20" s="2898"/>
      <c r="O20" s="2898"/>
      <c r="P20" s="2898"/>
      <c r="Q20" s="2898"/>
      <c r="R20" s="2898"/>
      <c r="S20" s="2898"/>
      <c r="T20" s="3087" t="s">
        <v>3703</v>
      </c>
      <c r="U20" s="3087" t="s">
        <v>3704</v>
      </c>
      <c r="V20" s="3087" t="s">
        <v>3705</v>
      </c>
      <c r="W20" s="3087" t="s">
        <v>3706</v>
      </c>
      <c r="X20" s="2898"/>
      <c r="Y20" s="3087" t="s">
        <v>3707</v>
      </c>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c r="O21" s="2898"/>
      <c r="P21" s="2898"/>
      <c r="Q21" s="2898"/>
      <c r="R21" s="2898"/>
      <c r="S21" s="2898" t="s">
        <v>3684</v>
      </c>
      <c r="T21" s="2898">
        <f>Sheet1!F2+Sheet1!F3+Sheet1!F4+Sheet1!F5+Sheet1!L2+Sheet1!L3+Sheet1!L4+Sheet1!L5</f>
        <v>2601.2600000000002</v>
      </c>
      <c r="U21" s="2898">
        <v>8</v>
      </c>
      <c r="V21" s="2898">
        <v>1</v>
      </c>
      <c r="W21" s="2898">
        <f>ROUND(T21/$T$24,2)</f>
        <v>0.25</v>
      </c>
      <c r="X21" s="2898"/>
      <c r="Y21" s="2898">
        <v>4</v>
      </c>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t="s">
        <v>3685</v>
      </c>
      <c r="T22" s="2898">
        <f>Sheet1!F7+Sheet1!F8+Sheet1!F9+Sheet1!F10</f>
        <v>2350.75</v>
      </c>
      <c r="U22" s="3439">
        <v>8</v>
      </c>
      <c r="V22" s="2898">
        <v>0.6</v>
      </c>
      <c r="W22" s="2898">
        <f>ROUND(T22/$T$24,2)</f>
        <v>0.23</v>
      </c>
      <c r="X22" s="2898"/>
      <c r="Y22" s="2898">
        <f>V22*Y21</f>
        <v>2.4</v>
      </c>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t="s">
        <v>3686</v>
      </c>
      <c r="T23" s="2898">
        <f>Sheet1!L6</f>
        <v>5379.1</v>
      </c>
      <c r="U23" s="3439">
        <v>10</v>
      </c>
      <c r="V23" s="2898">
        <v>0.6</v>
      </c>
      <c r="W23" s="2898">
        <f>ROUND(T23/$T$24,2)</f>
        <v>0.52</v>
      </c>
      <c r="X23" s="2898"/>
      <c r="Y23" s="2898">
        <f>V23*Y21</f>
        <v>2.4</v>
      </c>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f>T21+T22+T23</f>
        <v>10331.11</v>
      </c>
      <c r="U24" s="2898">
        <f>U21*W21+U22*W22+U23*W23</f>
        <v>9.0399999999999991</v>
      </c>
      <c r="V24" s="2898"/>
      <c r="W24" s="2898"/>
      <c r="X24" s="2898"/>
      <c r="Y24" s="2898">
        <f>Y21*T21+Y22*T22+Y23*T23</f>
        <v>28956.68</v>
      </c>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430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430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f ca="1">成本法!C10</f>
        <v>3100</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2">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0.03</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0.03</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436" t="s">
        <v>3062</v>
      </c>
      <c r="B40" s="1209">
        <f ca="1">IF(A40="利息：取LPR",存贷款利率!G1,存贷款利率!G1+C40)</f>
        <v>3.85E-2</v>
      </c>
      <c r="C40" s="305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212</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20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7"/>
      <c r="L69" s="737"/>
    </row>
    <row r="70" spans="1:44" s="900" customFormat="1">
      <c r="A70" s="1925"/>
      <c r="D70" s="1926"/>
      <c r="K70" s="737"/>
      <c r="L70" s="737"/>
    </row>
    <row r="71" spans="1:44" s="900" customFormat="1">
      <c r="A71" s="1925"/>
      <c r="D71" s="1926"/>
      <c r="K71" s="737"/>
      <c r="L71" s="737"/>
    </row>
    <row r="72" spans="1:44" s="900" customFormat="1">
      <c r="A72" s="1925"/>
      <c r="D72" s="1926"/>
      <c r="K72" s="737"/>
      <c r="L72" s="737"/>
    </row>
    <row r="73" spans="1:44" s="900" customFormat="1">
      <c r="A73" s="1925"/>
      <c r="D73" s="1926"/>
      <c r="K73" s="737"/>
      <c r="L73" s="737"/>
    </row>
    <row r="74" spans="1:44" s="900" customFormat="1">
      <c r="A74" s="1925"/>
      <c r="D74" s="1926"/>
      <c r="K74" s="737"/>
      <c r="L74" s="737"/>
    </row>
    <row r="75" spans="1:44" s="900" customFormat="1">
      <c r="A75" s="1925"/>
      <c r="D75" s="1926"/>
      <c r="K75" s="737"/>
      <c r="L75" s="737"/>
    </row>
    <row r="76" spans="1:44" s="900" customFormat="1">
      <c r="A76" s="1925"/>
      <c r="D76" s="1926"/>
      <c r="K76" s="737"/>
      <c r="L76" s="737"/>
    </row>
    <row r="77" spans="1:44" s="900" customFormat="1">
      <c r="A77" s="1925"/>
      <c r="D77" s="1926"/>
      <c r="K77" s="737"/>
      <c r="L77" s="737"/>
    </row>
    <row r="78" spans="1:44" s="900" customFormat="1">
      <c r="A78" s="1925"/>
      <c r="D78" s="1926"/>
      <c r="K78" s="737"/>
      <c r="L78" s="737"/>
    </row>
    <row r="79" spans="1:44" s="900" customFormat="1">
      <c r="A79" s="1925"/>
      <c r="D79" s="1926"/>
      <c r="K79" s="737"/>
      <c r="L79" s="737"/>
    </row>
    <row r="80" spans="1:44" s="900" customFormat="1">
      <c r="A80" s="1925"/>
      <c r="D80" s="1926"/>
      <c r="K80" s="737"/>
      <c r="L80" s="737"/>
    </row>
    <row r="81" spans="1:12" s="900" customFormat="1">
      <c r="A81" s="1925"/>
      <c r="D81" s="1926"/>
      <c r="K81" s="737"/>
      <c r="L81" s="737"/>
    </row>
    <row r="82" spans="1:12" s="900" customFormat="1">
      <c r="A82" s="1925"/>
      <c r="D82" s="1926"/>
      <c r="K82" s="737"/>
      <c r="L82" s="737"/>
    </row>
    <row r="83" spans="1:12" s="900" customFormat="1">
      <c r="A83" s="1925"/>
      <c r="D83" s="1926"/>
      <c r="K83" s="737"/>
      <c r="L83" s="737"/>
    </row>
    <row r="84" spans="1:12" s="900" customFormat="1">
      <c r="A84" s="1925"/>
      <c r="D84" s="1926"/>
      <c r="K84" s="737"/>
      <c r="L84" s="737"/>
    </row>
    <row r="85" spans="1:12" s="900" customFormat="1">
      <c r="A85" s="1925"/>
      <c r="D85" s="1926"/>
      <c r="K85" s="737"/>
      <c r="L85" s="737"/>
    </row>
    <row r="86" spans="1:12" s="900" customFormat="1">
      <c r="A86" s="1925"/>
      <c r="D86" s="1926"/>
      <c r="K86" s="737"/>
      <c r="L86" s="737"/>
    </row>
    <row r="87" spans="1:12" s="900" customFormat="1">
      <c r="A87" s="1925"/>
      <c r="D87" s="1926"/>
      <c r="K87" s="737"/>
      <c r="L87" s="737"/>
    </row>
    <row r="88" spans="1:12" s="900" customFormat="1">
      <c r="A88" s="1925"/>
      <c r="D88" s="1926"/>
      <c r="K88" s="737"/>
      <c r="L88" s="737"/>
    </row>
    <row r="89" spans="1:12" s="900" customFormat="1">
      <c r="A89" s="1925"/>
      <c r="D89" s="1926"/>
      <c r="K89" s="737"/>
      <c r="L89" s="737"/>
    </row>
    <row r="90" spans="1:12" s="900" customFormat="1">
      <c r="A90" s="1925"/>
      <c r="D90" s="1926"/>
      <c r="K90" s="737"/>
      <c r="L90" s="737"/>
    </row>
    <row r="91" spans="1:12" s="900" customFormat="1">
      <c r="A91" s="1925"/>
      <c r="D91" s="1926"/>
      <c r="K91" s="737"/>
      <c r="L91" s="737"/>
    </row>
    <row r="92" spans="1:12" s="900" customFormat="1">
      <c r="A92" s="1925"/>
      <c r="D92" s="1926"/>
      <c r="K92" s="737"/>
      <c r="L92" s="737"/>
    </row>
    <row r="93" spans="1:12" s="900" customFormat="1">
      <c r="A93" s="1925"/>
      <c r="D93" s="1926"/>
      <c r="K93" s="737"/>
      <c r="L93" s="737"/>
    </row>
    <row r="94" spans="1:12" s="900" customFormat="1">
      <c r="A94" s="1925"/>
      <c r="D94" s="1926"/>
      <c r="K94" s="737"/>
      <c r="L94" s="737"/>
    </row>
    <row r="95" spans="1:12" s="900" customFormat="1">
      <c r="A95" s="1925"/>
      <c r="D95" s="1926"/>
      <c r="K95" s="737"/>
      <c r="L95" s="737"/>
    </row>
    <row r="96" spans="1:12" s="900" customFormat="1">
      <c r="A96" s="1925"/>
      <c r="D96" s="1926"/>
      <c r="K96" s="737"/>
      <c r="L96" s="737"/>
    </row>
    <row r="97" spans="1:12" s="900" customFormat="1">
      <c r="A97" s="1925"/>
      <c r="D97" s="1926"/>
      <c r="K97" s="737"/>
      <c r="L97" s="737"/>
    </row>
    <row r="98" spans="1:12" s="900" customFormat="1">
      <c r="A98" s="1925"/>
      <c r="D98" s="1926"/>
      <c r="K98" s="737"/>
      <c r="L98" s="737"/>
    </row>
    <row r="99" spans="1:12" s="900" customFormat="1">
      <c r="A99" s="1925"/>
      <c r="D99" s="1926"/>
      <c r="K99" s="737"/>
      <c r="L99" s="737"/>
    </row>
    <row r="100" spans="1:12" s="900" customFormat="1">
      <c r="A100" s="1925"/>
      <c r="D100" s="1926"/>
      <c r="K100" s="737"/>
      <c r="L100" s="737"/>
    </row>
    <row r="101" spans="1:12" s="900" customFormat="1">
      <c r="A101" s="1925"/>
      <c r="D101" s="1926"/>
      <c r="K101" s="737"/>
      <c r="L101" s="737"/>
    </row>
    <row r="102" spans="1:12" s="900" customFormat="1">
      <c r="A102" s="1925"/>
      <c r="D102" s="1926"/>
      <c r="K102" s="737"/>
      <c r="L102" s="737"/>
    </row>
    <row r="103" spans="1:12" s="900" customFormat="1">
      <c r="A103" s="1925"/>
      <c r="D103" s="1926"/>
      <c r="K103" s="737"/>
      <c r="L103" s="737"/>
    </row>
    <row r="104" spans="1:12" s="900" customFormat="1">
      <c r="A104" s="1925"/>
      <c r="D104" s="1926"/>
      <c r="K104" s="737"/>
      <c r="L104" s="737"/>
    </row>
    <row r="105" spans="1:12" s="900" customFormat="1">
      <c r="A105" s="1925"/>
      <c r="D105" s="1926"/>
      <c r="K105" s="737"/>
      <c r="L105" s="737"/>
    </row>
    <row r="106" spans="1:12" s="900" customFormat="1">
      <c r="A106" s="1925"/>
      <c r="D106" s="1926"/>
      <c r="K106" s="737"/>
      <c r="L106" s="737"/>
    </row>
    <row r="107" spans="1:12" s="900" customFormat="1">
      <c r="A107" s="1925"/>
      <c r="D107" s="1926"/>
      <c r="K107" s="737"/>
      <c r="L107" s="737"/>
    </row>
    <row r="108" spans="1:12" s="900" customFormat="1">
      <c r="A108" s="1925"/>
      <c r="D108" s="1926"/>
      <c r="K108" s="737"/>
      <c r="L108" s="737"/>
    </row>
    <row r="109" spans="1:12" s="900" customFormat="1">
      <c r="A109" s="1925"/>
      <c r="D109" s="1926"/>
      <c r="K109" s="737"/>
      <c r="L109" s="737"/>
    </row>
    <row r="110" spans="1:12" s="900" customFormat="1">
      <c r="A110" s="1925"/>
      <c r="D110" s="1926"/>
      <c r="K110" s="737"/>
      <c r="L110" s="737"/>
    </row>
    <row r="111" spans="1:12" s="900" customFormat="1">
      <c r="A111" s="1925"/>
      <c r="D111" s="1926"/>
      <c r="K111" s="737"/>
      <c r="L111" s="737"/>
    </row>
    <row r="112" spans="1:12" s="900" customFormat="1">
      <c r="A112" s="1925"/>
      <c r="D112" s="1926"/>
      <c r="K112" s="737"/>
      <c r="L112" s="737"/>
    </row>
    <row r="113" spans="1:12" s="900" customFormat="1">
      <c r="A113" s="1925"/>
      <c r="D113" s="1926"/>
      <c r="K113" s="737"/>
      <c r="L113" s="737"/>
    </row>
    <row r="114" spans="1:12" s="900" customFormat="1">
      <c r="A114" s="1925"/>
      <c r="D114" s="1926"/>
      <c r="K114" s="737"/>
      <c r="L114" s="737"/>
    </row>
    <row r="115" spans="1:12" s="900" customFormat="1">
      <c r="A115" s="1925"/>
      <c r="D115" s="1926"/>
      <c r="K115" s="737"/>
      <c r="L115" s="737"/>
    </row>
    <row r="116" spans="1:12" s="900" customFormat="1">
      <c r="A116" s="1925"/>
      <c r="D116" s="1926"/>
      <c r="K116" s="737"/>
      <c r="L116" s="737"/>
    </row>
    <row r="117" spans="1:12" s="900" customFormat="1">
      <c r="A117" s="1925"/>
      <c r="D117" s="1926"/>
      <c r="K117" s="737"/>
      <c r="L117" s="737"/>
    </row>
    <row r="118" spans="1:12" s="900" customFormat="1">
      <c r="A118" s="1925"/>
      <c r="D118" s="1926"/>
      <c r="K118" s="737"/>
      <c r="L118" s="737"/>
    </row>
    <row r="119" spans="1:12" s="900" customFormat="1">
      <c r="A119" s="1925"/>
      <c r="D119" s="1926"/>
      <c r="K119" s="737"/>
      <c r="L119" s="737"/>
    </row>
    <row r="120" spans="1:12" s="900" customFormat="1">
      <c r="A120" s="1925"/>
      <c r="D120" s="1926"/>
      <c r="K120" s="737"/>
      <c r="L120" s="737"/>
    </row>
    <row r="121" spans="1:12" s="900" customFormat="1">
      <c r="A121" s="1925"/>
      <c r="D121" s="1926"/>
      <c r="K121" s="737"/>
      <c r="L121" s="737"/>
    </row>
    <row r="122" spans="1:12" s="900" customFormat="1">
      <c r="A122" s="1925"/>
      <c r="D122" s="1926"/>
      <c r="K122" s="737"/>
      <c r="L122" s="737"/>
    </row>
    <row r="123" spans="1:12" s="900" customFormat="1">
      <c r="A123" s="1925"/>
      <c r="D123" s="1926"/>
      <c r="K123" s="737"/>
      <c r="L123" s="737"/>
    </row>
    <row r="124" spans="1:12" s="900" customFormat="1">
      <c r="A124" s="1925"/>
      <c r="D124" s="1926"/>
      <c r="K124" s="737"/>
      <c r="L124" s="737"/>
    </row>
    <row r="125" spans="1:12" s="900" customFormat="1">
      <c r="A125" s="1925"/>
      <c r="D125" s="1926"/>
      <c r="K125" s="737"/>
      <c r="L125" s="737"/>
    </row>
    <row r="126" spans="1:12" s="900" customFormat="1">
      <c r="A126" s="1925"/>
      <c r="D126" s="1926"/>
      <c r="K126" s="737"/>
      <c r="L126" s="737"/>
    </row>
    <row r="127" spans="1:12" s="900" customFormat="1">
      <c r="A127" s="1925"/>
      <c r="D127" s="1926"/>
      <c r="K127" s="737"/>
      <c r="L127" s="737"/>
    </row>
    <row r="128" spans="1:12" s="900" customFormat="1">
      <c r="A128" s="1925"/>
      <c r="D128" s="1926"/>
      <c r="K128" s="737"/>
      <c r="L128" s="737"/>
    </row>
    <row r="129" spans="1:12" s="900" customFormat="1">
      <c r="A129" s="1925"/>
      <c r="D129" s="1926"/>
      <c r="K129" s="737"/>
      <c r="L129" s="737"/>
    </row>
    <row r="130" spans="1:12" s="900" customFormat="1">
      <c r="A130" s="1925"/>
      <c r="D130" s="1926"/>
      <c r="K130" s="737"/>
      <c r="L130" s="737"/>
    </row>
    <row r="131" spans="1:12" s="900" customFormat="1">
      <c r="A131" s="1925"/>
      <c r="D131" s="1926"/>
      <c r="K131" s="737"/>
      <c r="L131" s="737"/>
    </row>
    <row r="132" spans="1:12" s="900" customFormat="1">
      <c r="A132" s="1925"/>
      <c r="D132" s="1926"/>
      <c r="K132" s="737"/>
      <c r="L132" s="737"/>
    </row>
    <row r="133" spans="1:12" s="900"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6" sqref="F26"/>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85" t="s">
        <v>3032</v>
      </c>
      <c r="B1" s="3186"/>
      <c r="C1" s="3186"/>
      <c r="D1" s="3186"/>
      <c r="E1" s="3186"/>
      <c r="F1" s="3186"/>
      <c r="G1" s="318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9" t="s">
        <v>3000</v>
      </c>
      <c r="C4" s="2692" t="s">
        <v>3001</v>
      </c>
      <c r="D4" s="2689"/>
      <c r="E4" s="2693"/>
      <c r="F4" s="1556" t="s">
        <v>3002</v>
      </c>
      <c r="G4" s="2694" t="s">
        <v>3003</v>
      </c>
      <c r="H4" s="906"/>
      <c r="I4" s="906"/>
      <c r="J4" s="906"/>
      <c r="K4" s="906"/>
      <c r="L4" s="906"/>
      <c r="M4" s="906"/>
      <c r="N4" s="906"/>
      <c r="O4" s="906"/>
      <c r="P4" s="906"/>
      <c r="Q4" s="906"/>
      <c r="R4" s="906"/>
    </row>
    <row r="5" spans="1:29" ht="36.75">
      <c r="A5" s="2666"/>
      <c r="B5" s="329" t="s">
        <v>3004</v>
      </c>
      <c r="C5" s="2692" t="s">
        <v>3005</v>
      </c>
      <c r="D5" s="2689"/>
      <c r="E5" s="2693"/>
      <c r="F5" s="329" t="s">
        <v>3006</v>
      </c>
      <c r="G5" s="2694" t="s">
        <v>3007</v>
      </c>
      <c r="H5" s="906"/>
      <c r="I5" s="906"/>
      <c r="J5" s="906"/>
      <c r="K5" s="906"/>
      <c r="L5" s="906"/>
      <c r="M5" s="906"/>
      <c r="N5" s="906"/>
      <c r="O5" s="906"/>
      <c r="P5" s="906"/>
      <c r="Q5" s="906"/>
      <c r="R5" s="906"/>
    </row>
    <row r="6" spans="1:29" ht="36">
      <c r="A6" s="2666"/>
      <c r="B6" s="329" t="s">
        <v>3008</v>
      </c>
      <c r="C6" s="2694" t="s">
        <v>3003</v>
      </c>
      <c r="D6" s="2689"/>
      <c r="E6" s="2693"/>
      <c r="F6" s="329" t="s">
        <v>3009</v>
      </c>
      <c r="G6" s="2694" t="s">
        <v>3010</v>
      </c>
      <c r="H6" s="906"/>
      <c r="I6" s="906"/>
      <c r="J6" s="906"/>
      <c r="K6" s="906"/>
      <c r="L6" s="906"/>
      <c r="M6" s="906"/>
      <c r="N6" s="906"/>
      <c r="O6" s="906"/>
      <c r="P6" s="906"/>
      <c r="Q6" s="906"/>
      <c r="R6" s="906"/>
    </row>
    <row r="7" spans="1:29" ht="24.75" thickBot="1">
      <c r="A7" s="2666"/>
      <c r="B7" s="329" t="s">
        <v>3006</v>
      </c>
      <c r="C7" s="2694" t="s">
        <v>3007</v>
      </c>
      <c r="D7" s="2695"/>
      <c r="E7" s="2696"/>
      <c r="F7" s="2697" t="s">
        <v>3011</v>
      </c>
      <c r="G7" s="2698" t="s">
        <v>3012</v>
      </c>
      <c r="H7" s="906"/>
      <c r="I7" s="906"/>
      <c r="J7" s="906"/>
      <c r="K7" s="906"/>
      <c r="L7" s="906"/>
      <c r="M7" s="906"/>
      <c r="N7" s="906"/>
      <c r="O7" s="906"/>
      <c r="P7" s="906"/>
      <c r="Q7" s="906"/>
      <c r="R7" s="906"/>
    </row>
    <row r="8" spans="1:29">
      <c r="A8" s="2666"/>
      <c r="B8" s="329" t="s">
        <v>3009</v>
      </c>
      <c r="C8" s="2694" t="s">
        <v>3010</v>
      </c>
      <c r="D8" s="2695"/>
      <c r="E8" s="2695"/>
      <c r="F8" s="2699"/>
      <c r="G8" s="2699"/>
      <c r="H8" s="906"/>
      <c r="I8" s="906"/>
      <c r="J8" s="906"/>
      <c r="K8" s="906"/>
      <c r="L8" s="906"/>
      <c r="M8" s="906"/>
      <c r="N8" s="906"/>
      <c r="O8" s="906"/>
      <c r="P8" s="906"/>
      <c r="Q8" s="906"/>
      <c r="R8" s="906"/>
    </row>
    <row r="9" spans="1:29" ht="24">
      <c r="A9" s="2666"/>
      <c r="B9" s="329"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9"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9" t="s">
        <v>3009</v>
      </c>
      <c r="G20" s="2727" t="str">
        <f>G6</f>
        <v>估价对象所在区域基础设施水平</v>
      </c>
    </row>
    <row r="21" spans="1:18" ht="25.5">
      <c r="A21" s="2670"/>
      <c r="B21" s="329" t="s">
        <v>3006</v>
      </c>
      <c r="C21" s="2727" t="str">
        <f>C7</f>
        <v>估价对象所在区域公共配套设施齐备情况</v>
      </c>
      <c r="D21" s="2689"/>
      <c r="E21" s="2671"/>
      <c r="F21" s="2726" t="s">
        <v>3024</v>
      </c>
      <c r="G21" s="2729"/>
    </row>
    <row r="22" spans="1:18" ht="13.5" customHeight="1">
      <c r="A22" s="2670"/>
      <c r="B22" s="329"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72083.499999999942</v>
      </c>
      <c r="C1" s="2913"/>
      <c r="D1" s="2913"/>
      <c r="E1" s="2913"/>
      <c r="F1" s="2913"/>
      <c r="G1" s="2914"/>
      <c r="H1" s="2915"/>
      <c r="I1" s="2915"/>
      <c r="J1" s="2915"/>
      <c r="K1" s="2915"/>
    </row>
    <row r="2" spans="1:11" ht="16.5">
      <c r="A2" s="2736" t="s">
        <v>1319</v>
      </c>
      <c r="B2" s="2736">
        <f>SUM(C14:C23)</f>
        <v>11088</v>
      </c>
      <c r="C2" s="2913"/>
      <c r="D2" s="2913"/>
      <c r="E2" s="2913"/>
      <c r="F2" s="2913"/>
      <c r="G2" s="2914"/>
      <c r="H2" s="2915"/>
      <c r="I2" s="2915"/>
      <c r="J2" s="2915"/>
      <c r="K2" s="2915"/>
    </row>
    <row r="3" spans="1:11" ht="16.5">
      <c r="A3" s="2736" t="s">
        <v>1328</v>
      </c>
      <c r="B3" s="2738">
        <f>项目基本情况!D3</f>
        <v>44299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366886</v>
      </c>
      <c r="C5" s="2736">
        <f ca="1">ROUND(B5*10000/$B$1,0)</f>
        <v>50897</v>
      </c>
      <c r="D5" s="2736">
        <f ca="1">ROUND(B5*10000/$B$2,0)</f>
        <v>330886</v>
      </c>
      <c r="E5" s="2913"/>
      <c r="F5" s="2914"/>
      <c r="G5" s="2914"/>
      <c r="H5" s="2915"/>
      <c r="I5" s="2915"/>
      <c r="J5" s="2915"/>
      <c r="K5" s="2915"/>
    </row>
    <row r="6" spans="1:11" ht="16.5">
      <c r="A6" s="2736" t="s">
        <v>1322</v>
      </c>
      <c r="B6" s="2736">
        <f ca="1">SUM(G14:G23)</f>
        <v>366886</v>
      </c>
      <c r="C6" s="2736">
        <f ca="1">ROUND(B6*10000/$B$1,0)</f>
        <v>50897</v>
      </c>
      <c r="D6" s="2736">
        <f ca="1">ROUND(B6*10000/$B$2,0)</f>
        <v>330886</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 ca="1">SUM(I14:I23)</f>
        <v>337622</v>
      </c>
      <c r="C8" s="2736">
        <f ca="1">ROUND(B8*10000/$B$1,0)</f>
        <v>46838</v>
      </c>
      <c r="D8" s="2736">
        <f ca="1">ROUND(B8*10000/$B$2,0)</f>
        <v>304493</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72083.499999999942</v>
      </c>
      <c r="C14" s="2742">
        <f>结果表!C118</f>
        <v>11088</v>
      </c>
      <c r="D14" s="2742">
        <f ca="1">结果表!H118</f>
        <v>366886</v>
      </c>
      <c r="E14" s="2742">
        <f ca="1">ROUND(D14*10000/B14,0)</f>
        <v>50897</v>
      </c>
      <c r="F14" s="2742">
        <f ca="1">ROUND(D14*10000/C14,0)</f>
        <v>330886</v>
      </c>
      <c r="G14" s="2742">
        <f ca="1">结果表!D122</f>
        <v>366886</v>
      </c>
      <c r="H14" s="2742" t="str">
        <f>结果表!D124</f>
        <v>——</v>
      </c>
      <c r="I14" s="2742">
        <f ca="1">结果表!D126</f>
        <v>337622</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0" zoomScaleNormal="100" zoomScaleSheetLayoutView="80" zoomScalePageLayoutView="80" workbookViewId="0">
      <selection activeCell="D17" sqref="D17"/>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57" t="str">
        <f>项目基本情况!S2</f>
        <v>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8" t="s">
        <v>1951</v>
      </c>
      <c r="B4" s="1939" t="s">
        <v>1952</v>
      </c>
      <c r="C4" s="1940" t="s">
        <v>3681</v>
      </c>
      <c r="D4" s="1940" t="s">
        <v>3682</v>
      </c>
      <c r="E4" s="3266" t="s">
        <v>1953</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1954</v>
      </c>
      <c r="B5" s="3260">
        <v>25</v>
      </c>
      <c r="C5" s="3263"/>
      <c r="D5" s="3251"/>
      <c r="E5" s="136" t="s">
        <v>1955</v>
      </c>
      <c r="F5" s="1941"/>
      <c r="G5" s="1941"/>
      <c r="H5" s="1941"/>
      <c r="I5" s="1556"/>
    </row>
    <row r="6" spans="1:12" ht="12.75">
      <c r="A6" s="3202"/>
      <c r="B6" s="3260"/>
      <c r="C6" s="3265"/>
      <c r="D6" s="3251"/>
      <c r="E6" s="136" t="s">
        <v>1956</v>
      </c>
      <c r="F6" s="1941"/>
      <c r="G6" s="1941"/>
      <c r="H6" s="1941"/>
      <c r="I6" s="1556"/>
    </row>
    <row r="7" spans="1:12" ht="12.75">
      <c r="A7" s="3202"/>
      <c r="B7" s="3260"/>
      <c r="C7" s="3264"/>
      <c r="D7" s="3251"/>
      <c r="E7" s="136" t="s">
        <v>1957</v>
      </c>
      <c r="F7" s="1941"/>
      <c r="G7" s="1941"/>
      <c r="H7" s="1941"/>
      <c r="I7" s="1556"/>
    </row>
    <row r="8" spans="1:12" ht="12.75">
      <c r="A8" s="3202" t="s">
        <v>1958</v>
      </c>
      <c r="B8" s="3260">
        <v>15</v>
      </c>
      <c r="C8" s="3263"/>
      <c r="D8" s="3251"/>
      <c r="E8" s="136" t="s">
        <v>1959</v>
      </c>
      <c r="F8" s="1941"/>
      <c r="G8" s="1941"/>
      <c r="H8" s="1941"/>
      <c r="I8" s="1556"/>
    </row>
    <row r="9" spans="1:12" ht="12.75">
      <c r="A9" s="3202"/>
      <c r="B9" s="3260"/>
      <c r="C9" s="3264"/>
      <c r="D9" s="3251"/>
      <c r="E9" s="136" t="s">
        <v>1960</v>
      </c>
      <c r="F9" s="1941"/>
      <c r="G9" s="1941"/>
      <c r="H9" s="1941"/>
      <c r="I9" s="1556"/>
    </row>
    <row r="10" spans="1:12" ht="12.75">
      <c r="A10" s="3202" t="s">
        <v>1961</v>
      </c>
      <c r="B10" s="3260">
        <v>15</v>
      </c>
      <c r="C10" s="3263"/>
      <c r="D10" s="3251"/>
      <c r="E10" s="136" t="s">
        <v>1962</v>
      </c>
      <c r="F10" s="1941"/>
      <c r="G10" s="1941"/>
      <c r="H10" s="1941"/>
      <c r="I10" s="1556"/>
    </row>
    <row r="11" spans="1:12" ht="12.75">
      <c r="A11" s="3202"/>
      <c r="B11" s="3260"/>
      <c r="C11" s="3264"/>
      <c r="D11" s="3251"/>
      <c r="E11" s="136" t="s">
        <v>1963</v>
      </c>
      <c r="F11" s="1941"/>
      <c r="G11" s="1941"/>
      <c r="H11" s="1941"/>
      <c r="I11" s="1556"/>
    </row>
    <row r="12" spans="1:12" ht="12.75">
      <c r="A12" s="3202" t="s">
        <v>1964</v>
      </c>
      <c r="B12" s="3260">
        <v>15</v>
      </c>
      <c r="C12" s="3263"/>
      <c r="D12" s="3251"/>
      <c r="E12" s="136" t="s">
        <v>1965</v>
      </c>
      <c r="F12" s="1941"/>
      <c r="G12" s="1941"/>
      <c r="H12" s="1941"/>
      <c r="I12" s="1556"/>
    </row>
    <row r="13" spans="1:12" ht="12.75">
      <c r="A13" s="3202"/>
      <c r="B13" s="3260"/>
      <c r="C13" s="3264"/>
      <c r="D13" s="3251"/>
      <c r="E13" s="136" t="s">
        <v>1966</v>
      </c>
      <c r="F13" s="1941"/>
      <c r="G13" s="1941"/>
      <c r="H13" s="1941"/>
      <c r="I13" s="1556"/>
    </row>
    <row r="14" spans="1:12" ht="12.75">
      <c r="A14" s="3202" t="s">
        <v>1967</v>
      </c>
      <c r="B14" s="3260">
        <v>30</v>
      </c>
      <c r="C14" s="3263">
        <v>4</v>
      </c>
      <c r="D14" s="3251">
        <v>6</v>
      </c>
      <c r="E14" s="136" t="s">
        <v>1968</v>
      </c>
      <c r="F14" s="1941"/>
      <c r="G14" s="1941"/>
      <c r="H14" s="1941"/>
      <c r="I14" s="1556"/>
    </row>
    <row r="15" spans="1:12" ht="12.75">
      <c r="A15" s="3202"/>
      <c r="B15" s="3260"/>
      <c r="C15" s="3265"/>
      <c r="D15" s="3251"/>
      <c r="E15" s="136" t="s">
        <v>1969</v>
      </c>
      <c r="F15" s="1941"/>
      <c r="G15" s="1941"/>
      <c r="H15" s="1941"/>
      <c r="I15" s="1556"/>
    </row>
    <row r="16" spans="1:12" ht="12.75">
      <c r="A16" s="3202"/>
      <c r="B16" s="3260"/>
      <c r="C16" s="3264"/>
      <c r="D16" s="3251"/>
      <c r="E16" s="136" t="s">
        <v>1970</v>
      </c>
      <c r="F16" s="1941"/>
      <c r="G16" s="1941"/>
      <c r="H16" s="1941"/>
      <c r="I16" s="1556"/>
    </row>
    <row r="17" spans="1:36" ht="15">
      <c r="A17" s="1942" t="s">
        <v>1971</v>
      </c>
      <c r="B17" s="60"/>
      <c r="C17" s="137">
        <f>SUM(C5:C16)</f>
        <v>4</v>
      </c>
      <c r="D17" s="137">
        <f>SUM(D5:D16)</f>
        <v>6</v>
      </c>
      <c r="E17" s="134"/>
      <c r="F17" s="134"/>
      <c r="G17" s="134"/>
      <c r="H17" s="134"/>
      <c r="I17" s="134"/>
      <c r="K17" s="308"/>
      <c r="L17" s="308" t="s">
        <v>1972</v>
      </c>
      <c r="M17" s="308" t="s">
        <v>1973</v>
      </c>
    </row>
    <row r="18" spans="1:36" ht="31.9" customHeight="1" thickBot="1">
      <c r="A18" s="1943" t="s">
        <v>1974</v>
      </c>
      <c r="B18" s="1944"/>
      <c r="C18" s="138">
        <f>ROUND(C17/SUM(C17:D17),2)</f>
        <v>0.4</v>
      </c>
      <c r="D18" s="138">
        <f>1-C18</f>
        <v>0.6</v>
      </c>
      <c r="E18" s="3282" t="s">
        <v>2873</v>
      </c>
      <c r="F18" s="3283"/>
      <c r="G18" s="3283"/>
      <c r="H18" s="3283"/>
      <c r="I18" s="3283"/>
      <c r="K18" s="308" t="s">
        <v>1975</v>
      </c>
      <c r="L18" s="308">
        <f>IF(C1="",'数据-汇总表'!E3,SUMIF(项目类型,C1,'数据-汇总表'!E17:E26)+SUMIF(项目类型,C1,'数据-汇总表'!I17:I26))</f>
        <v>72083.499999999942</v>
      </c>
      <c r="M18" s="308">
        <f>IF(C1="",'数据-汇总表'!E3,SUMIF(项目类型,C1,'数据-汇总表'!E17:E26))</f>
        <v>72083.499999999942</v>
      </c>
    </row>
    <row r="19" spans="1:36" ht="15">
      <c r="A19" s="1945" t="s">
        <v>1976</v>
      </c>
      <c r="B19" s="1946" t="s">
        <v>1977</v>
      </c>
      <c r="C19" s="139">
        <f ca="1">SUMIF(INDIRECT("'"&amp;C4&amp;"'"&amp;"!A:A"),结果表!B19,INDIRECT("'"&amp;C4&amp;"'"&amp;"!B:B"))</f>
        <v>303164</v>
      </c>
      <c r="D19" s="140">
        <f ca="1">SUMIF(INDIRECT("'"&amp;D4&amp;"'"&amp;"!A:A"),结果表!B19,INDIRECT("'"&amp;D4&amp;"'"&amp;"!B:B"))</f>
        <v>409367</v>
      </c>
      <c r="E19" s="1945" t="s">
        <v>1978</v>
      </c>
      <c r="F19" s="1946" t="s">
        <v>1977</v>
      </c>
      <c r="G19" s="141">
        <f ca="1">ROUND(C19*$C$18+D19*$D$18,0)</f>
        <v>366886</v>
      </c>
      <c r="H19" s="1947" t="s">
        <v>1979</v>
      </c>
      <c r="I19" s="134"/>
      <c r="K19" s="308" t="s">
        <v>1980</v>
      </c>
      <c r="L19" s="308">
        <f>IF(C1="",'数据-汇总表'!D3,SUMIF(项目类型,C1,'数据-汇总表'!D17:D26)+SUMIF(项目类型,C1,'数据-汇总表'!H17:H27))</f>
        <v>11088</v>
      </c>
      <c r="M19" s="308">
        <f>IF(C1="",'数据-汇总表'!D3,SUMIF(项目类型,C1,'数据-汇总表'!D17:D26))</f>
        <v>11088</v>
      </c>
    </row>
    <row r="20" spans="1:36" ht="15">
      <c r="A20" s="1948"/>
      <c r="B20" s="1156" t="s">
        <v>1981</v>
      </c>
      <c r="C20" s="142">
        <f ca="1">SUMIF(INDIRECT("'"&amp;C4&amp;"'"&amp;"!A:A"),结果表!B20,INDIRECT("'"&amp;C4&amp;"'"&amp;"!B:B"))</f>
        <v>42057</v>
      </c>
      <c r="D20" s="143">
        <f ca="1">SUMIF(INDIRECT("'"&amp;D4&amp;"'"&amp;"!A:A"),结果表!B20,INDIRECT("'"&amp;D4&amp;"'"&amp;"!B:B"))</f>
        <v>57042</v>
      </c>
      <c r="E20" s="1948"/>
      <c r="F20" s="1156" t="s">
        <v>1981</v>
      </c>
      <c r="G20" s="144">
        <f ca="1">ROUND(C20*$C$18+D20*$D$18,0)</f>
        <v>51048</v>
      </c>
      <c r="H20" s="916" t="s">
        <v>1982</v>
      </c>
      <c r="I20" s="134"/>
    </row>
    <row r="21" spans="1:36" ht="15" customHeight="1" thickBot="1">
      <c r="A21" s="936"/>
      <c r="B21" s="1949" t="s">
        <v>1983</v>
      </c>
      <c r="C21" s="728">
        <f ca="1">ROUND(C19*10000/L19,0)</f>
        <v>273416</v>
      </c>
      <c r="D21" s="729">
        <f ca="1">ROUND(D19*10000/L19,0)</f>
        <v>369198</v>
      </c>
      <c r="E21" s="936"/>
      <c r="F21" s="1949" t="s">
        <v>1983</v>
      </c>
      <c r="G21" s="145">
        <f ca="1">ROUND(G19*10000/L19,0)</f>
        <v>330886</v>
      </c>
      <c r="H21" s="1950" t="s">
        <v>1982</v>
      </c>
      <c r="I21" s="134"/>
    </row>
    <row r="22" spans="1:36" ht="15" thickBot="1">
      <c r="A22" s="1872" t="s">
        <v>1984</v>
      </c>
      <c r="B22" s="1951"/>
      <c r="C22" s="1952"/>
      <c r="D22" s="730">
        <f ca="1">IF(C19&lt;D19,D19/C19-1,C19/D19-1)</f>
        <v>0.35031534087160754</v>
      </c>
      <c r="E22" s="134"/>
      <c r="F22" s="134"/>
      <c r="G22" s="134"/>
      <c r="H22" s="134"/>
      <c r="I22" s="134"/>
    </row>
    <row r="23" spans="1:36" ht="13.5" thickBot="1">
      <c r="A23" s="1931"/>
      <c r="B23" s="1931"/>
      <c r="C23" s="1931"/>
      <c r="D23" s="1931"/>
      <c r="E23" s="134"/>
      <c r="F23" s="134"/>
      <c r="G23" s="134"/>
      <c r="H23" s="134"/>
      <c r="I23" s="134"/>
      <c r="L23" s="734">
        <v>50000</v>
      </c>
    </row>
    <row r="24" spans="1:36" ht="14.25">
      <c r="A24" s="3275" t="s">
        <v>1985</v>
      </c>
      <c r="B24" s="1946" t="s">
        <v>1977</v>
      </c>
      <c r="C24" s="141">
        <f>IF(B30=0,0,D30)</f>
        <v>0</v>
      </c>
      <c r="D24" s="1953"/>
      <c r="E24" s="134"/>
      <c r="F24" s="134"/>
      <c r="G24" s="134"/>
      <c r="H24" s="134"/>
      <c r="I24" s="134"/>
      <c r="L24" s="734">
        <f>L23*L18/10000</f>
        <v>360417.49999999971</v>
      </c>
    </row>
    <row r="25" spans="1:36" ht="14.25">
      <c r="A25" s="3276"/>
      <c r="B25" s="1156" t="s">
        <v>1981</v>
      </c>
      <c r="C25" s="146">
        <f>IF(B30=0,0,C30)</f>
        <v>0</v>
      </c>
      <c r="D25" s="1954"/>
      <c r="E25" s="134"/>
      <c r="F25" s="134"/>
      <c r="G25" s="134"/>
      <c r="H25" s="134"/>
      <c r="I25" s="134"/>
      <c r="K25" s="734">
        <v>0.64</v>
      </c>
    </row>
    <row r="26" spans="1:36" ht="13.5" customHeight="1">
      <c r="A26" s="1955" t="s">
        <v>1986</v>
      </c>
      <c r="B26" s="147" t="s">
        <v>1987</v>
      </c>
      <c r="C26" s="147" t="s">
        <v>1988</v>
      </c>
      <c r="D26" s="148" t="s">
        <v>1989</v>
      </c>
      <c r="E26" s="134"/>
      <c r="F26" s="134"/>
      <c r="G26" s="134"/>
      <c r="H26" s="134"/>
      <c r="I26" s="134"/>
      <c r="K26" s="734">
        <f ca="1">G19*K25</f>
        <v>234807.04000000001</v>
      </c>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2874</v>
      </c>
      <c r="F30" s="134"/>
      <c r="G30" s="134"/>
      <c r="H30" s="134"/>
      <c r="I30" s="134"/>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366886</v>
      </c>
      <c r="D32" s="1959" t="s">
        <v>3683</v>
      </c>
      <c r="E32" s="134"/>
      <c r="F32" s="134"/>
      <c r="G32" s="134"/>
      <c r="H32" s="134"/>
      <c r="I32" s="134"/>
    </row>
    <row r="33" spans="1:15" ht="15">
      <c r="A33" s="893" t="s">
        <v>1992</v>
      </c>
      <c r="B33" s="1960"/>
      <c r="C33" s="1961" t="s">
        <v>3730</v>
      </c>
      <c r="D33" s="1962" t="s">
        <v>3681</v>
      </c>
      <c r="E33" s="1963" t="s">
        <v>1993</v>
      </c>
      <c r="F33" s="1964" t="str">
        <f>IF(D32="楼面单价","取值（单价）","取值（总价）")</f>
        <v>取值（总价）</v>
      </c>
      <c r="G33" s="134"/>
      <c r="H33" s="134"/>
      <c r="I33" s="134"/>
    </row>
    <row r="34" spans="1:15" ht="15">
      <c r="A34" s="1965"/>
      <c r="B34" s="1966" t="s">
        <v>1994</v>
      </c>
      <c r="C34" s="153">
        <f ca="1">IF(C33="自定义",F34,C32-C35)</f>
        <v>304882</v>
      </c>
      <c r="D34" s="969">
        <f ca="1">IF(C33="自定义",ROUND(C34/C32,3),IF(C33="收益比率",SUMIF(INDIRECT("'"&amp;D33&amp;"'"&amp;"!b:b"),"土地收益比率",INDIRECT("'"&amp;D33&amp;"'"&amp;"!c:c")),SUMIF(INDIRECT("'"&amp;D33&amp;"'"&amp;"!b:b"),"土地成本比率",INDIRECT("'"&amp;D33&amp;"'"&amp;"!c:c"))))</f>
        <v>0.83099999999999996</v>
      </c>
      <c r="E34" s="1967" t="s">
        <v>1995</v>
      </c>
      <c r="F34" s="1497"/>
      <c r="G34" s="134"/>
      <c r="H34" s="134"/>
      <c r="I34" s="134"/>
    </row>
    <row r="35" spans="1:15" ht="15.75" thickBot="1">
      <c r="A35" s="1968"/>
      <c r="B35" s="1969" t="s">
        <v>1996</v>
      </c>
      <c r="C35" s="1331">
        <f ca="1">IF(C33="自定义",F35,ROUND(C32*D35,0))</f>
        <v>62004</v>
      </c>
      <c r="D35" s="1332">
        <f ca="1">IF(C33="自定义",ROUND(C35/C32,3),IF(C33="收益比率",SUMIF(INDIRECT("'"&amp;D33&amp;"'"&amp;"!b:b"),"建筑物收益比率",INDIRECT("'"&amp;D33&amp;"'"&amp;"!c:c")),SUMIF(INDIRECT("'"&amp;D33&amp;"'"&amp;"!b:b"),"建筑物成本比率",INDIRECT("'"&amp;D33&amp;"'"&amp;"!c:c"))))</f>
        <v>0.16900000000000001</v>
      </c>
      <c r="E35" s="1970" t="s">
        <v>1997</v>
      </c>
      <c r="F35" s="159"/>
      <c r="G35" s="134"/>
      <c r="H35" s="134"/>
      <c r="I35" s="134"/>
    </row>
    <row r="36" spans="1:15" ht="15.75" thickBot="1">
      <c r="A36" s="3252" t="s">
        <v>1998</v>
      </c>
      <c r="B36" s="1971" t="s">
        <v>1999</v>
      </c>
      <c r="C36" s="150"/>
      <c r="D36" s="1972"/>
      <c r="E36" s="1973"/>
      <c r="F36" s="1974"/>
      <c r="G36" s="134"/>
      <c r="H36" s="134"/>
      <c r="I36" s="134"/>
    </row>
    <row r="37" spans="1:15" ht="15.75" thickBot="1">
      <c r="A37" s="3253"/>
      <c r="B37" s="1858" t="s">
        <v>2000</v>
      </c>
      <c r="C37" s="152"/>
      <c r="D37" s="1300"/>
      <c r="E37" s="1300"/>
      <c r="F37" s="1974"/>
      <c r="G37" s="134"/>
      <c r="H37" s="134"/>
      <c r="I37" s="134"/>
    </row>
    <row r="38" spans="1:15" ht="15.75" thickBot="1">
      <c r="A38" s="3254"/>
      <c r="B38" s="1975" t="s">
        <v>2001</v>
      </c>
      <c r="C38" s="683"/>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72" t="s">
        <v>2012</v>
      </c>
      <c r="B45" s="3273"/>
      <c r="C45" s="3274"/>
      <c r="D45" s="160">
        <f ca="1">ROUND(H101*F45,0)</f>
        <v>366886</v>
      </c>
      <c r="E45" s="161" t="s">
        <v>2013</v>
      </c>
      <c r="F45" s="162">
        <v>1</v>
      </c>
      <c r="G45" s="163" t="s">
        <v>2014</v>
      </c>
      <c r="H45" s="134"/>
      <c r="I45" s="134"/>
      <c r="J45" s="3189" t="s">
        <v>2015</v>
      </c>
      <c r="K45" s="3189"/>
      <c r="L45" s="3189"/>
      <c r="M45" s="3189"/>
      <c r="N45" s="3189"/>
      <c r="O45" s="3189"/>
    </row>
    <row r="46" spans="1:15" ht="14.25" customHeight="1">
      <c r="A46" s="3269" t="s">
        <v>2016</v>
      </c>
      <c r="B46" s="3270"/>
      <c r="C46" s="3270"/>
      <c r="D46" s="3270"/>
      <c r="E46" s="3270"/>
      <c r="F46" s="3270"/>
      <c r="G46" s="3271"/>
      <c r="H46" s="1990"/>
      <c r="I46" s="164"/>
      <c r="J46" s="2747">
        <v>1</v>
      </c>
      <c r="K46" s="3190" t="s">
        <v>2017</v>
      </c>
      <c r="L46" s="3190"/>
      <c r="M46" s="3191"/>
      <c r="N46" s="3191"/>
      <c r="O46" s="3191"/>
    </row>
    <row r="47" spans="1:15" ht="12" customHeight="1">
      <c r="A47" s="165" t="s">
        <v>2018</v>
      </c>
      <c r="B47" s="166"/>
      <c r="C47" s="167"/>
      <c r="D47" s="1246" t="s">
        <v>2019</v>
      </c>
      <c r="E47" s="308" t="s">
        <v>2020</v>
      </c>
      <c r="F47" s="168" t="s">
        <v>2021</v>
      </c>
      <c r="G47" s="2770" t="s">
        <v>2022</v>
      </c>
      <c r="H47" s="2771"/>
      <c r="I47" s="164"/>
      <c r="J47" s="2747">
        <v>2</v>
      </c>
      <c r="K47" s="3190" t="s">
        <v>2023</v>
      </c>
      <c r="L47" s="3190"/>
      <c r="M47" s="3192">
        <f>'数据-取费表'!B2</f>
        <v>44299</v>
      </c>
      <c r="N47" s="3192"/>
      <c r="O47" s="3192"/>
    </row>
    <row r="48" spans="1:15" ht="25.5">
      <c r="A48" s="3255" t="s">
        <v>2024</v>
      </c>
      <c r="B48" s="3256"/>
      <c r="C48" s="3256"/>
      <c r="D48" s="2545">
        <f ca="1">IF(H48="情况1",0,IF(H48="情况2",D52,IF(H48="情况3",D53,IF(H48="情况4",D54))))</f>
        <v>19567</v>
      </c>
      <c r="E48" s="2555" t="str">
        <f>IF(H48="情况4","(销售额-原购置价)×税（费）率","销售额×税（费）率")</f>
        <v>销售额×税（费）率</v>
      </c>
      <c r="F48" s="2772">
        <f>IF(H48="情况1","免征",'数据-取费表'!B41)</f>
        <v>5.6000000000000001E-2</v>
      </c>
      <c r="G48" s="2773" t="s">
        <v>2025</v>
      </c>
      <c r="H48" s="2774" t="s">
        <v>3691</v>
      </c>
      <c r="I48" s="1990"/>
      <c r="J48" s="2747">
        <v>3</v>
      </c>
      <c r="K48" s="3190" t="s">
        <v>2026</v>
      </c>
      <c r="L48" s="3190"/>
      <c r="M48" s="3193">
        <f ca="1">H101</f>
        <v>366886</v>
      </c>
      <c r="N48" s="3193"/>
      <c r="O48" s="3193"/>
    </row>
    <row r="49" spans="1:35" ht="25.5" customHeight="1">
      <c r="A49" s="2554" t="s">
        <v>2027</v>
      </c>
      <c r="B49" s="3238" t="s">
        <v>2028</v>
      </c>
      <c r="C49" s="3238"/>
      <c r="D49" s="1774">
        <v>0</v>
      </c>
      <c r="E49" s="330" t="s">
        <v>2029</v>
      </c>
      <c r="F49" s="2648" t="s">
        <v>34</v>
      </c>
      <c r="G49" s="3221"/>
      <c r="H49" s="2526" t="s">
        <v>2876</v>
      </c>
      <c r="I49" s="2527"/>
      <c r="J49" s="2747">
        <v>4</v>
      </c>
      <c r="K49" s="3190" t="str">
        <f>IF(项目基本情况!E8="房地产抵押价值","房地产抵押价值","抵押担保权已注销时的房地产抵押价值")</f>
        <v>房地产抵押价值</v>
      </c>
      <c r="L49" s="3190"/>
      <c r="M49" s="3193">
        <f ca="1">IF(项目基本情况!E8="房地产抵押价值",H107,H109)</f>
        <v>366886</v>
      </c>
      <c r="N49" s="3193"/>
      <c r="O49" s="3193"/>
    </row>
    <row r="50" spans="1:35" ht="25.5" customHeight="1">
      <c r="A50" s="2775"/>
      <c r="B50" s="3238" t="s">
        <v>2030</v>
      </c>
      <c r="C50" s="3238"/>
      <c r="D50" s="2776"/>
      <c r="E50" s="338"/>
      <c r="F50" s="2648"/>
      <c r="G50" s="3222"/>
      <c r="H50" s="2528" t="s">
        <v>2877</v>
      </c>
      <c r="I50" s="2527"/>
      <c r="J50" s="3189" t="s">
        <v>2031</v>
      </c>
      <c r="K50" s="3189"/>
      <c r="L50" s="3189"/>
      <c r="M50" s="3189"/>
      <c r="N50" s="3189"/>
      <c r="O50" s="3189"/>
    </row>
    <row r="51" spans="1:35" ht="20.45" customHeight="1">
      <c r="A51" s="2777"/>
      <c r="B51" s="3238" t="s">
        <v>2032</v>
      </c>
      <c r="C51" s="3238"/>
      <c r="D51" s="1246"/>
      <c r="E51" s="333"/>
      <c r="F51" s="2648"/>
      <c r="G51" s="3223"/>
      <c r="H51" s="2528" t="s">
        <v>2878</v>
      </c>
      <c r="I51" s="2527"/>
      <c r="J51" s="2748" t="s">
        <v>2033</v>
      </c>
      <c r="K51" s="3190" t="s">
        <v>2034</v>
      </c>
      <c r="L51" s="3190"/>
      <c r="M51" s="2748" t="s">
        <v>2035</v>
      </c>
      <c r="N51" s="2748" t="s">
        <v>2036</v>
      </c>
      <c r="O51" s="2748" t="s">
        <v>2037</v>
      </c>
    </row>
    <row r="52" spans="1:35" ht="24" customHeight="1">
      <c r="A52" s="2556" t="s">
        <v>2038</v>
      </c>
      <c r="B52" s="3238" t="s">
        <v>2039</v>
      </c>
      <c r="C52" s="3238"/>
      <c r="D52" s="1246">
        <f ca="1">ROUND(D45*'数据-取费表'!B41/(1+'数据-取费表'!C42),0)</f>
        <v>19567</v>
      </c>
      <c r="E52" s="2555" t="s">
        <v>2040</v>
      </c>
      <c r="F52" s="2778">
        <f>'数据-取费表'!B41</f>
        <v>5.6000000000000001E-2</v>
      </c>
      <c r="G52" s="2779"/>
      <c r="H52" s="2768"/>
      <c r="I52" s="1991"/>
      <c r="J52" s="2747">
        <v>1</v>
      </c>
      <c r="K52" s="3215" t="s">
        <v>2041</v>
      </c>
      <c r="L52" s="3215"/>
      <c r="M52" s="2749">
        <f ca="1">D48</f>
        <v>19567</v>
      </c>
      <c r="N52" s="2747" t="str">
        <f>E48</f>
        <v>销售额×税（费）率</v>
      </c>
      <c r="O52" s="2750">
        <f>F48</f>
        <v>5.6000000000000001E-2</v>
      </c>
    </row>
    <row r="53" spans="1:35" ht="12" customHeight="1">
      <c r="A53" s="2556" t="s">
        <v>2042</v>
      </c>
      <c r="B53" s="3239" t="s">
        <v>3037</v>
      </c>
      <c r="C53" s="3240"/>
      <c r="D53" s="1246">
        <f ca="1">ROUND(D45*'数据-取费表'!B41/(1+'数据-取费表'!C42),0)</f>
        <v>19567</v>
      </c>
      <c r="E53" s="2555" t="s">
        <v>2040</v>
      </c>
      <c r="F53" s="2778">
        <f>'数据-取费表'!B41</f>
        <v>5.6000000000000001E-2</v>
      </c>
      <c r="G53" s="2779"/>
      <c r="H53" s="2768"/>
      <c r="I53" s="1991"/>
      <c r="J53" s="2747">
        <v>2</v>
      </c>
      <c r="K53" s="3215" t="s">
        <v>2043</v>
      </c>
      <c r="L53" s="3215"/>
      <c r="M53" s="2749">
        <f t="shared" ref="M53:O54" ca="1" si="0">D55</f>
        <v>183</v>
      </c>
      <c r="N53" s="2747" t="str">
        <f t="shared" si="0"/>
        <v>销售额×税（费）率</v>
      </c>
      <c r="O53" s="2750">
        <f t="shared" si="0"/>
        <v>5.0000000000000001E-4</v>
      </c>
    </row>
    <row r="54" spans="1:35" ht="12" customHeight="1">
      <c r="A54" s="2556" t="s">
        <v>2044</v>
      </c>
      <c r="B54" s="3239" t="s">
        <v>3038</v>
      </c>
      <c r="C54" s="3240"/>
      <c r="D54" s="1246">
        <f ca="1">C68</f>
        <v>19567</v>
      </c>
      <c r="E54" s="333" t="s">
        <v>2045</v>
      </c>
      <c r="F54" s="2778">
        <f>'数据-取费表'!B41</f>
        <v>5.6000000000000001E-2</v>
      </c>
      <c r="G54" s="2779"/>
      <c r="H54" s="2780"/>
      <c r="I54" s="1991"/>
      <c r="J54" s="2747">
        <v>3</v>
      </c>
      <c r="K54" s="3215" t="s">
        <v>2046</v>
      </c>
      <c r="L54" s="3215"/>
      <c r="M54" s="2749">
        <f t="shared" ca="1" si="0"/>
        <v>9514</v>
      </c>
      <c r="N54" s="2747" t="str">
        <f t="shared" si="0"/>
        <v>增值额×税（费）率</v>
      </c>
      <c r="O54" s="2751" t="str">
        <f t="shared" si="0"/>
        <v>——</v>
      </c>
    </row>
    <row r="55" spans="1:35" ht="24" customHeight="1">
      <c r="A55" s="3278" t="s">
        <v>2047</v>
      </c>
      <c r="B55" s="3256"/>
      <c r="C55" s="3256"/>
      <c r="D55" s="2545">
        <f ca="1">IF(H55="个人住宅",0,ROUND(D45*I55,0))</f>
        <v>183</v>
      </c>
      <c r="E55" s="2555" t="s">
        <v>2048</v>
      </c>
      <c r="F55" s="2778">
        <f>IF(H55="正常",I55,"免征")</f>
        <v>5.0000000000000001E-4</v>
      </c>
      <c r="G55" s="2779"/>
      <c r="H55" s="2774" t="s">
        <v>3664</v>
      </c>
      <c r="I55" s="170">
        <f>'数据-取费表'!B49</f>
        <v>5.0000000000000001E-4</v>
      </c>
      <c r="J55" s="2747" t="str">
        <f>IF(H59="非个人房产","",4)</f>
        <v/>
      </c>
      <c r="K55" s="3215" t="str">
        <f>IF(H59="非个人房产","——","个人所得税")</f>
        <v>——</v>
      </c>
      <c r="L55" s="3215"/>
      <c r="M55" s="2752" t="str">
        <f>D59</f>
        <v>——</v>
      </c>
      <c r="N55" s="2226" t="str">
        <f>E59</f>
        <v>——</v>
      </c>
      <c r="O55" s="2753" t="str">
        <f>F59</f>
        <v>——</v>
      </c>
    </row>
    <row r="56" spans="1:35" ht="24.75">
      <c r="A56" s="3278" t="s">
        <v>2049</v>
      </c>
      <c r="B56" s="3256"/>
      <c r="C56" s="3256"/>
      <c r="D56" s="2545">
        <f ca="1">IF(H56="个人住宅",D57,D58)</f>
        <v>9514</v>
      </c>
      <c r="E56" s="2555" t="s">
        <v>2050</v>
      </c>
      <c r="F56" s="2778" t="str">
        <f>IF(H56="正常",F58,"免征")</f>
        <v>——</v>
      </c>
      <c r="G56" s="2781" t="s">
        <v>2051</v>
      </c>
      <c r="H56" s="2782" t="s">
        <v>3664</v>
      </c>
      <c r="I56" s="1992"/>
      <c r="J56" s="2747"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2556" t="s">
        <v>2027</v>
      </c>
      <c r="B57" s="3239" t="s">
        <v>2052</v>
      </c>
      <c r="C57" s="3240"/>
      <c r="D57" s="1774">
        <v>0</v>
      </c>
      <c r="E57" s="330" t="s">
        <v>2029</v>
      </c>
      <c r="F57" s="308"/>
      <c r="G57" s="2779"/>
      <c r="H57" s="2783"/>
      <c r="I57" s="1992"/>
      <c r="J57" s="3215">
        <f>IF(AND(J55="",J56=""),4,IF(项目基本情况!K6="上海银行",结果表!J56+1,结果表!J55+1))</f>
        <v>4</v>
      </c>
      <c r="K57" s="3215" t="s">
        <v>2053</v>
      </c>
      <c r="L57" s="2754" t="s">
        <v>2054</v>
      </c>
      <c r="M57" s="2755"/>
      <c r="N57" s="2756">
        <f ca="1">SUMIF(M52:M56,"&lt;9e307")</f>
        <v>29264</v>
      </c>
      <c r="O57" s="2757"/>
      <c r="P57" s="2917">
        <f ca="1">N57/M49</f>
        <v>7.9763196197183861E-2</v>
      </c>
    </row>
    <row r="58" spans="1:35" ht="24.75">
      <c r="A58" s="2556" t="s">
        <v>2038</v>
      </c>
      <c r="B58" s="3239" t="s">
        <v>2055</v>
      </c>
      <c r="C58" s="3238"/>
      <c r="D58" s="2545">
        <f ca="1">IF(H58="转让取得",C81,C97)</f>
        <v>9514</v>
      </c>
      <c r="E58" s="2555" t="s">
        <v>2050</v>
      </c>
      <c r="F58" s="308" t="s">
        <v>34</v>
      </c>
      <c r="G58" s="2779"/>
      <c r="H58" s="2782" t="s">
        <v>3692</v>
      </c>
      <c r="I58" s="1992"/>
      <c r="J58" s="3215"/>
      <c r="K58" s="3215"/>
      <c r="L58" s="2754" t="s">
        <v>2056</v>
      </c>
      <c r="M58" s="2758"/>
      <c r="N58" s="2759" t="str">
        <f ca="1">NUMBERSTRING(INT(N57*10000),2)&amp;"元整"</f>
        <v>贰亿玖仟贰佰陆拾肆万元整</v>
      </c>
      <c r="O58" s="2760"/>
    </row>
    <row r="59" spans="1:35" ht="24.75" thickBot="1">
      <c r="A59" s="3219" t="s">
        <v>2057</v>
      </c>
      <c r="B59" s="3220"/>
      <c r="C59" s="3220"/>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0" t="s">
        <v>3693</v>
      </c>
      <c r="I59" s="2529" t="s">
        <v>2879</v>
      </c>
      <c r="J59" s="3217">
        <f>J57+1</f>
        <v>5</v>
      </c>
      <c r="K59" s="3215" t="s">
        <v>2058</v>
      </c>
      <c r="L59" s="2747" t="s">
        <v>2054</v>
      </c>
      <c r="M59" s="2761"/>
      <c r="N59" s="2762">
        <f ca="1">M49-N57</f>
        <v>337622</v>
      </c>
      <c r="O59" s="2763"/>
    </row>
    <row r="60" spans="1:35" ht="12" customHeight="1">
      <c r="A60" s="1993"/>
      <c r="B60" s="1931"/>
      <c r="C60" s="1931"/>
      <c r="D60" s="1931"/>
      <c r="E60" s="1762"/>
      <c r="F60" s="1992"/>
      <c r="G60" s="1992"/>
      <c r="H60" s="1994"/>
      <c r="I60" s="134"/>
      <c r="J60" s="3218"/>
      <c r="K60" s="3215"/>
      <c r="L60" s="2754" t="s">
        <v>2056</v>
      </c>
      <c r="M60" s="2758"/>
      <c r="N60" s="2759" t="str">
        <f ca="1">NUMBERSTRING(INT(N59*10000),2)&amp;"元整"</f>
        <v>叁拾叁亿柒仟陆佰贰拾贰万元整</v>
      </c>
      <c r="O60" s="2760"/>
    </row>
    <row r="61" spans="1:35" ht="13.5" thickBot="1">
      <c r="A61" s="3277" t="s">
        <v>2059</v>
      </c>
      <c r="B61" s="3277"/>
      <c r="C61" s="3277"/>
      <c r="D61" s="3277"/>
      <c r="E61" s="3277"/>
      <c r="F61" s="1992"/>
      <c r="G61" s="1992"/>
      <c r="H61" s="1994"/>
      <c r="I61" s="134"/>
      <c r="J61" s="2747">
        <f>J59+1</f>
        <v>6</v>
      </c>
      <c r="K61" s="3215" t="s">
        <v>2060</v>
      </c>
      <c r="L61" s="3215"/>
      <c r="M61" s="2764"/>
      <c r="N61" s="2765">
        <f ca="1">ROUND(N59*10000/'数据-汇总表'!E3,0)</f>
        <v>46838</v>
      </c>
      <c r="O61" s="2766"/>
    </row>
    <row r="62" spans="1:35" ht="12.75">
      <c r="A62" s="3234" t="s">
        <v>2061</v>
      </c>
      <c r="B62" s="3235"/>
      <c r="C62" s="2207"/>
      <c r="D62" s="2207" t="s">
        <v>2062</v>
      </c>
      <c r="E62" s="171" t="s">
        <v>2063</v>
      </c>
      <c r="F62" s="1992"/>
      <c r="G62" s="1992"/>
      <c r="H62" s="1994"/>
      <c r="I62" s="134"/>
    </row>
    <row r="63" spans="1:35" ht="12.75">
      <c r="A63" s="178" t="s">
        <v>775</v>
      </c>
      <c r="B63" s="172" t="s">
        <v>2064</v>
      </c>
      <c r="C63" s="2788">
        <f ca="1">ROUND((C64+C65)/(1+'数据-取费表'!C42),0)</f>
        <v>349415</v>
      </c>
      <c r="D63" s="172"/>
      <c r="E63" s="173"/>
      <c r="F63" s="1992"/>
      <c r="G63" s="1992"/>
      <c r="H63" s="1994"/>
      <c r="I63" s="134"/>
      <c r="J63" s="3198" t="s">
        <v>2065</v>
      </c>
      <c r="K63" s="1500" t="s">
        <v>2066</v>
      </c>
      <c r="L63" s="1500">
        <f ca="1">IF(M49&gt;10000,M49*0.5%,IF(AND(M49&gt;1000,M49&lt;=10000),M49*1%,IF(AND(M49&gt;100,M49&lt;=1000),M49*3%,IF(AND(M49&gt;10,M49&lt;=100),M49*5%,M49*8%))))</f>
        <v>1834.43</v>
      </c>
      <c r="M63" s="308">
        <f ca="1">ROUND(L63,1)</f>
        <v>1834.4</v>
      </c>
      <c r="N63" s="2767"/>
      <c r="Z63" s="1936"/>
      <c r="AI63" s="1937"/>
    </row>
    <row r="64" spans="1:35" ht="14.25" customHeight="1">
      <c r="A64" s="174" t="s">
        <v>770</v>
      </c>
      <c r="B64" s="175" t="s">
        <v>2067</v>
      </c>
      <c r="C64" s="2789">
        <f ca="1">D45</f>
        <v>366886</v>
      </c>
      <c r="D64" s="175" t="s">
        <v>32</v>
      </c>
      <c r="E64" s="177"/>
      <c r="F64" s="1992"/>
      <c r="G64" s="1992"/>
      <c r="H64" s="1994"/>
      <c r="I64" s="134"/>
      <c r="J64" s="3198"/>
      <c r="K64" s="1500" t="s">
        <v>2068</v>
      </c>
      <c r="L64" s="1500">
        <f ca="1">IF(M49&gt;2000,M49*0.5%,IF(AND(M49&gt;1000,M49&lt;=2000),M49*0.6%,IF(AND(M49&gt;500,M49&lt;=1000),M49*0.7%,IF(AND(M49&gt;200,M49&lt;=500),M49*0.8%,IF(AND(M49&gt;100,M49&lt;=200),M49*0.9%,IF(AND(M49&gt;50,M49&lt;=100),M49*1%,IF(AND(M49&gt;20,M49&lt;=50),M49*1.5%,IF(AND(M49&gt;10,M49&lt;=20),M49*2%,IF(AND(M49&gt;1,M49&lt;=10),M49*2.5%)))))))))</f>
        <v>1834.43</v>
      </c>
      <c r="M64" s="308">
        <f t="shared" ref="M64:M65" ca="1" si="1">ROUND(L64,1)</f>
        <v>1834.4</v>
      </c>
      <c r="N64" s="2768" t="s">
        <v>2069</v>
      </c>
      <c r="Z64" s="1936"/>
      <c r="AI64" s="1937"/>
    </row>
    <row r="65" spans="1:35" ht="14.25" customHeight="1">
      <c r="A65" s="174" t="s">
        <v>771</v>
      </c>
      <c r="B65" s="175" t="s">
        <v>2070</v>
      </c>
      <c r="C65" s="2790"/>
      <c r="D65" s="175"/>
      <c r="E65" s="177"/>
      <c r="F65" s="1992"/>
      <c r="G65" s="1992"/>
      <c r="H65" s="1994"/>
      <c r="I65" s="134"/>
      <c r="J65" s="3198"/>
      <c r="K65" s="1500" t="s">
        <v>2071</v>
      </c>
      <c r="L65" s="1500">
        <f ca="1">IF(M49&gt;1000,M49*0.1%,IF(AND(M49&gt;500,M49&lt;=1000),M49*0.5%,IF(AND(M49&gt;50,M49&lt;=500),M49*1%,IF(AND(M49&gt;1,M49&lt;=50),M49*1.5%))))</f>
        <v>366.88600000000002</v>
      </c>
      <c r="M65" s="308">
        <f t="shared" ca="1" si="1"/>
        <v>366.9</v>
      </c>
      <c r="N65" s="2768" t="s">
        <v>2069</v>
      </c>
      <c r="Z65" s="1936"/>
      <c r="AI65" s="1937"/>
    </row>
    <row r="66" spans="1:35" ht="14.25" customHeight="1">
      <c r="A66" s="178" t="s">
        <v>772</v>
      </c>
      <c r="B66" s="179" t="s">
        <v>2072</v>
      </c>
      <c r="C66" s="2791"/>
      <c r="D66" s="179" t="s">
        <v>32</v>
      </c>
      <c r="E66" s="1508" t="s">
        <v>1337</v>
      </c>
      <c r="F66" s="1992"/>
      <c r="G66" s="1992"/>
      <c r="H66" s="1994"/>
      <c r="I66" s="134"/>
      <c r="J66" s="3198"/>
      <c r="K66" s="1500" t="s">
        <v>2073</v>
      </c>
      <c r="L66" s="1500">
        <f ca="1">M49*0.5%</f>
        <v>1834.43</v>
      </c>
      <c r="M66" s="308">
        <f ca="1">IF(L66&gt;0.5,0.5,ROUND(L66,0))</f>
        <v>0.5</v>
      </c>
      <c r="N66" s="2768" t="s">
        <v>2074</v>
      </c>
      <c r="Z66" s="1936"/>
      <c r="AI66" s="1937"/>
    </row>
    <row r="67" spans="1:35" ht="14.25" customHeight="1">
      <c r="A67" s="178" t="s">
        <v>773</v>
      </c>
      <c r="B67" s="179" t="s">
        <v>2075</v>
      </c>
      <c r="C67" s="2792">
        <f ca="1">C63-C66</f>
        <v>349415</v>
      </c>
      <c r="D67" s="175" t="s">
        <v>32</v>
      </c>
      <c r="E67" s="177"/>
      <c r="F67" s="1992"/>
      <c r="G67" s="1992"/>
      <c r="H67" s="1994"/>
      <c r="I67" s="134"/>
      <c r="J67" s="3198"/>
      <c r="K67" s="1500" t="s">
        <v>2076</v>
      </c>
      <c r="L67" s="1500">
        <f ca="1">IF(M49&gt;=10000,(8.25+(M49-10000)*0.01%),IF(AND(M49&gt;=8000,M49&lt;10000),(7.85+(M49-8000)*0.02%),IF(AND(M49&gt;=5000,M49&lt;8000),(6.65+(M49-5000)*0.04%),IF(AND(M49&gt;=2000,M49&lt;5000),(4.25+(PM49-2000)*0.08%),IF(AND(M49&gt;=1000,M49&lt;2000),(2.75+(M49-1000)*0.15%),IF(AND(M49&gt;=100,M49&lt;1000),(0.5+(M49-100)*0.25%),IF(AND(M49&gt;0,M49&lt;100),M49*0.5%)))))))</f>
        <v>43.938600000000001</v>
      </c>
      <c r="M67" s="308">
        <f ca="1">ROUND(L67*0.9,1)</f>
        <v>39.5</v>
      </c>
      <c r="N67" s="2767"/>
      <c r="Z67" s="1936"/>
      <c r="AI67" s="1937"/>
    </row>
    <row r="68" spans="1:35" ht="14.25" customHeight="1" thickBot="1">
      <c r="A68" s="181" t="s">
        <v>774</v>
      </c>
      <c r="B68" s="182" t="s">
        <v>2077</v>
      </c>
      <c r="C68" s="2793">
        <f ca="1">IF(C67&lt;=0,0,ROUND(C67*D68,0))</f>
        <v>19567</v>
      </c>
      <c r="D68" s="2794">
        <f>'数据-取费表'!B41</f>
        <v>5.6000000000000001E-2</v>
      </c>
      <c r="E68" s="184"/>
      <c r="F68" s="1992"/>
      <c r="G68" s="1992"/>
      <c r="H68" s="1994"/>
      <c r="I68" s="134"/>
      <c r="J68" s="3198"/>
      <c r="K68" s="1500" t="s">
        <v>2078</v>
      </c>
      <c r="L68" s="1500">
        <f ca="1">IF(M49&gt;10000,M49*0.5%,IF(AND(M49&gt;5000,M49&lt;=10000),M49*1%,IF(AND(M49&gt;1000,M49&lt;=5000),M49*2%,IF(AND(M49&gt;200,M49&lt;=1000),M49*3%,M49*5%))))</f>
        <v>1834.43</v>
      </c>
      <c r="M68" s="308">
        <f ca="1">ROUND(L68,1)</f>
        <v>1834.4</v>
      </c>
      <c r="N68" s="2767"/>
      <c r="Z68" s="1936"/>
      <c r="AI68" s="1937"/>
    </row>
    <row r="69" spans="1:35" s="1956" customFormat="1" ht="16.5" customHeight="1">
      <c r="A69" s="1995"/>
      <c r="B69" s="1996"/>
      <c r="C69" s="1997"/>
      <c r="D69" s="1998"/>
      <c r="E69" s="1999"/>
      <c r="F69" s="1762"/>
      <c r="G69" s="1762"/>
      <c r="H69" s="1761"/>
      <c r="I69" s="1931"/>
      <c r="J69" s="3198"/>
      <c r="K69" s="1500" t="s">
        <v>2079</v>
      </c>
      <c r="L69" s="1500"/>
      <c r="M69" s="308">
        <f ca="1">ROUND(SUM(M63:M68),0)</f>
        <v>5910</v>
      </c>
      <c r="N69" s="2769">
        <f ca="1">M69/M49</f>
        <v>1.6108545978859919E-2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2080</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2061</v>
      </c>
      <c r="B71" s="3235"/>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349415</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2096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9" t="s">
        <v>2088</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2096</v>
      </c>
      <c r="D78" s="2801">
        <f>'数据-取费表'!B43</f>
        <v>6.000000000000001E-3</v>
      </c>
      <c r="E78" s="3231" t="s">
        <v>2092</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347319</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165.70562977099237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207658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2096</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2061</v>
      </c>
      <c r="B84" s="3235"/>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349415</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317702.25939999998</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169971.25940000001</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v>164940.25940000001</v>
      </c>
      <c r="D88" s="2801"/>
      <c r="E88" s="199" t="s">
        <v>2099</v>
      </c>
      <c r="F88" s="2548"/>
      <c r="G88" s="200" t="s">
        <v>2100</v>
      </c>
      <c r="H88" s="2008" t="s">
        <v>3694</v>
      </c>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5031</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00" t="s">
        <v>2871</v>
      </c>
      <c r="H90" s="3201"/>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72803</v>
      </c>
      <c r="D91" s="2801"/>
      <c r="E91" s="3231" t="s">
        <v>2105</v>
      </c>
      <c r="F91" s="3232"/>
      <c r="G91" s="3232"/>
      <c r="H91" s="2009" t="s">
        <v>3695</v>
      </c>
      <c r="I91" s="2010">
        <v>72803</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24277</v>
      </c>
      <c r="D92" s="2807">
        <v>0.1</v>
      </c>
      <c r="E92" s="3231" t="s">
        <v>2108</v>
      </c>
      <c r="F92" s="3232"/>
      <c r="G92" s="3232"/>
      <c r="H92" s="3233"/>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2096</v>
      </c>
      <c r="D93" s="2801">
        <f>'数据-取费表'!B43</f>
        <v>6.000000000000001E-3</v>
      </c>
      <c r="E93" s="3231" t="s">
        <v>2092</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48555</v>
      </c>
      <c r="D94" s="2801">
        <v>0.2</v>
      </c>
      <c r="E94" s="3279" t="s">
        <v>2112</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31713</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9.981987556491391E-2</v>
      </c>
      <c r="D96" s="175" t="s">
        <v>32</v>
      </c>
      <c r="E96" s="2545" t="str">
        <f ca="1">IF(C96&gt;=200%,"增值额超过扣除项目金额200%",IF(C96&gt;=100%,"增值额超过扣除项目金额100%，未超过200%",IF(C96&gt;=50%,"增值额超过扣除项目金额50%，未超过100%",IF(C96&lt;50%,"增值额未超过扣除项目金额50%"))))</f>
        <v>增值额未超过扣除项目金额50%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9514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81" t="s">
        <v>2114</v>
      </c>
      <c r="B100" s="3182"/>
      <c r="C100" s="3182"/>
      <c r="D100" s="3216"/>
      <c r="E100" s="3182" t="s">
        <v>2115</v>
      </c>
      <c r="F100" s="3182"/>
      <c r="G100" s="3182"/>
      <c r="H100" s="3216"/>
      <c r="I100" s="134"/>
    </row>
    <row r="101" spans="1:35" ht="18.75" customHeight="1">
      <c r="A101" s="3224" t="s">
        <v>2116</v>
      </c>
      <c r="B101" s="3225"/>
      <c r="C101" s="2809" t="str">
        <f>C4</f>
        <v>成本法</v>
      </c>
      <c r="D101" s="2810" t="str">
        <f>D4</f>
        <v>收益法（汇总）</v>
      </c>
      <c r="E101" s="3194" t="s">
        <v>2117</v>
      </c>
      <c r="F101" s="3195"/>
      <c r="G101" s="2011" t="s">
        <v>2118</v>
      </c>
      <c r="H101" s="2819">
        <f ca="1">H118</f>
        <v>366886</v>
      </c>
      <c r="I101" s="134"/>
    </row>
    <row r="102" spans="1:35" ht="18.75" customHeight="1">
      <c r="A102" s="3226" t="s">
        <v>2119</v>
      </c>
      <c r="B102" s="2808" t="s">
        <v>2118</v>
      </c>
      <c r="C102" s="2809">
        <f ca="1">C19</f>
        <v>303164</v>
      </c>
      <c r="D102" s="2810">
        <f ca="1">D19</f>
        <v>409367</v>
      </c>
      <c r="E102" s="3194"/>
      <c r="F102" s="3195"/>
      <c r="G102" s="2011" t="s">
        <v>2120</v>
      </c>
      <c r="H102" s="2779">
        <f ca="1">I118</f>
        <v>50897</v>
      </c>
      <c r="I102" s="134"/>
    </row>
    <row r="103" spans="1:35" ht="42.75" customHeight="1">
      <c r="A103" s="3226"/>
      <c r="B103" s="2808" t="s">
        <v>2120</v>
      </c>
      <c r="C103" s="2811">
        <f ca="1">C20</f>
        <v>42057</v>
      </c>
      <c r="D103" s="2812">
        <f ca="1">D20</f>
        <v>57042</v>
      </c>
      <c r="E103" s="3187" t="s">
        <v>2121</v>
      </c>
      <c r="F103" s="3188"/>
      <c r="G103" s="2012" t="s">
        <v>2122</v>
      </c>
      <c r="H103" s="2819">
        <f>IF(D36="正常操作",H104+H105+H106,H105+H106)</f>
        <v>0</v>
      </c>
      <c r="I103" s="134"/>
    </row>
    <row r="104" spans="1:35" ht="18.75" customHeight="1">
      <c r="A104" s="3226" t="s">
        <v>2123</v>
      </c>
      <c r="B104" s="2813" t="s">
        <v>2118</v>
      </c>
      <c r="C104" s="2814">
        <f ca="1">H118</f>
        <v>366886</v>
      </c>
      <c r="D104" s="2815"/>
      <c r="E104" s="1858" t="s">
        <v>2124</v>
      </c>
      <c r="F104" s="1850"/>
      <c r="G104" s="2012" t="s">
        <v>2122</v>
      </c>
      <c r="H104" s="2820">
        <f>IF(D36="同一抵押权人同一抵押物续贷",C36&amp;"（续贷，未扣减，详见特别提示）",C36)</f>
        <v>0</v>
      </c>
      <c r="I104" s="134"/>
    </row>
    <row r="105" spans="1:35" ht="18.75" customHeight="1" thickBot="1">
      <c r="A105" s="3236"/>
      <c r="B105" s="2816" t="s">
        <v>2120</v>
      </c>
      <c r="C105" s="2817">
        <f ca="1">I118</f>
        <v>50897</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7" t="str">
        <f>IF(项目基本情况!E8="已注销","——","3.房地产抵押价值")</f>
        <v>3.房地产抵押价值</v>
      </c>
      <c r="F107" s="3195"/>
      <c r="G107" s="2011" t="s">
        <v>2118</v>
      </c>
      <c r="H107" s="2819">
        <f ca="1">IF(E107="——","——",H101-H103)</f>
        <v>366886</v>
      </c>
      <c r="I107" s="134"/>
    </row>
    <row r="108" spans="1:35" ht="18.75" customHeight="1">
      <c r="A108" s="134"/>
      <c r="B108" s="134"/>
      <c r="C108" s="134"/>
      <c r="D108" s="134"/>
      <c r="E108" s="3227"/>
      <c r="F108" s="3195"/>
      <c r="G108" s="2011" t="s">
        <v>2120</v>
      </c>
      <c r="H108" s="2779">
        <f ca="1">ROUND(H107*10000/'数据-汇总表'!E3,0)</f>
        <v>50897</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2118</v>
      </c>
      <c r="H109" s="2822" t="str">
        <f>IF(E109="——","——",H101-H105-H106)</f>
        <v>——</v>
      </c>
      <c r="I109" s="134"/>
    </row>
    <row r="110" spans="1:35" ht="18.75" customHeight="1">
      <c r="A110" s="134"/>
      <c r="B110" s="134"/>
      <c r="C110" s="134"/>
      <c r="D110" s="134"/>
      <c r="E110" s="3227"/>
      <c r="F110" s="3195"/>
      <c r="G110" s="2011" t="s">
        <v>2120</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4.抵押净值</v>
      </c>
      <c r="F111" s="3214"/>
      <c r="G111" s="2011" t="s">
        <v>2118</v>
      </c>
      <c r="H111" s="2819">
        <f ca="1">IF(E111="——","——",N59)</f>
        <v>337622</v>
      </c>
      <c r="I111" s="134"/>
    </row>
    <row r="112" spans="1:35" ht="18.75" customHeight="1" thickBot="1">
      <c r="A112" s="134"/>
      <c r="B112" s="134"/>
      <c r="C112" s="134"/>
      <c r="D112" s="134"/>
      <c r="E112" s="3229"/>
      <c r="F112" s="3230"/>
      <c r="G112" s="2014" t="s">
        <v>2120</v>
      </c>
      <c r="H112" s="2823">
        <f ca="1">IF(E111="——","——",N61)</f>
        <v>46838</v>
      </c>
      <c r="I112" s="134"/>
    </row>
    <row r="113" spans="1:27" ht="18.75" customHeight="1">
      <c r="A113" s="134"/>
      <c r="B113" s="134"/>
      <c r="C113" s="134"/>
      <c r="D113" s="134"/>
      <c r="E113" s="3237" t="s">
        <v>2126</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2550" t="s">
        <v>2135</v>
      </c>
      <c r="E117" s="2550" t="s">
        <v>2136</v>
      </c>
      <c r="F117" s="2550" t="s">
        <v>2135</v>
      </c>
      <c r="G117" s="2550" t="s">
        <v>2137</v>
      </c>
      <c r="H117" s="2550" t="s">
        <v>2135</v>
      </c>
      <c r="I117" s="2550" t="s">
        <v>2137</v>
      </c>
    </row>
    <row r="118" spans="1:27" ht="24.75" customHeight="1">
      <c r="A118" s="2824" t="str">
        <f>项目基本情况!S2</f>
        <v>房地产</v>
      </c>
      <c r="B118" s="2550">
        <f>M18</f>
        <v>72083.499999999942</v>
      </c>
      <c r="C118" s="2550">
        <f>M19</f>
        <v>11088</v>
      </c>
      <c r="D118" s="2550">
        <f ca="1">ROUND(IF(D32="总价",C34,E118*B118/10000),0)</f>
        <v>304882</v>
      </c>
      <c r="E118" s="2550">
        <f ca="1">ROUND(IF(C33="自定义",IF(D32="楼面单价",C34,D118*10000/B118),I118-G118),0)</f>
        <v>42295</v>
      </c>
      <c r="F118" s="2550">
        <f ca="1">ROUND(IF(D32="总价",C35,G118*B118/10000),0)</f>
        <v>62004</v>
      </c>
      <c r="G118" s="2550">
        <f ca="1">ROUND(IF(D32="楼面单价",C35,F118*10000/B118),0)</f>
        <v>8602</v>
      </c>
      <c r="H118" s="2550">
        <f ca="1">ROUND(IF(D32="总价",C32,I118*B118/10000),0)</f>
        <v>366886</v>
      </c>
      <c r="I118" s="2550">
        <f ca="1">ROUND(IF(D32="楼面单价",C32,H118*10000/B118),0)</f>
        <v>50897</v>
      </c>
    </row>
    <row r="119" spans="1:27" ht="18.75" customHeight="1">
      <c r="A119" s="3202" t="s">
        <v>2138</v>
      </c>
      <c r="B119" s="3202"/>
      <c r="C119" s="3202"/>
      <c r="D119" s="3208" t="str">
        <f ca="1">NUMBERSTRING(INT(D118*10000),2)&amp;"元整"</f>
        <v>叁拾亿肆仟捌佰捌拾贰万元整</v>
      </c>
      <c r="E119" s="3209"/>
      <c r="F119" s="3208" t="str">
        <f ca="1">NUMBERSTRING(INT(F118*10000),2)&amp;"元整"</f>
        <v>陆亿贰仟零肆万元整</v>
      </c>
      <c r="G119" s="3209"/>
      <c r="H119" s="3208" t="str">
        <f ca="1">NUMBERSTRING(INT(H118*10000),2)&amp;"元整"</f>
        <v>叁拾陆亿陆仟捌佰捌拾陆万元整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2138</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366886</v>
      </c>
      <c r="E122" s="3204"/>
      <c r="F122" s="3204"/>
      <c r="G122" s="3204"/>
      <c r="H122" s="3204"/>
      <c r="I122" s="3205"/>
      <c r="AA122" s="734"/>
    </row>
    <row r="123" spans="1:27" ht="18.75" customHeight="1">
      <c r="A123" s="3202" t="s">
        <v>2138</v>
      </c>
      <c r="B123" s="3202"/>
      <c r="C123" s="3202"/>
      <c r="D123" s="3208" t="str">
        <f ca="1">NUMBERSTRING(INT(D122*10000),2)&amp;"元整"</f>
        <v>叁拾陆亿陆仟捌佰捌拾陆万元整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2138</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抵押净值</v>
      </c>
      <c r="B126" s="3214"/>
      <c r="C126" s="3214"/>
      <c r="D126" s="3203">
        <f ca="1">H111</f>
        <v>337622</v>
      </c>
      <c r="E126" s="3204"/>
      <c r="F126" s="3204"/>
      <c r="G126" s="3204"/>
      <c r="H126" s="3204"/>
      <c r="I126" s="3205"/>
      <c r="AA126" s="734"/>
    </row>
    <row r="127" spans="1:27" ht="18.75" customHeight="1">
      <c r="A127" s="3202" t="s">
        <v>2138</v>
      </c>
      <c r="B127" s="3202"/>
      <c r="C127" s="3202"/>
      <c r="D127" s="3208" t="str">
        <f ca="1">NUMBERSTRING(INT(D126*10000),2)&amp;"元整"</f>
        <v>叁拾叁亿柒仟陆佰贰拾贰万元整</v>
      </c>
      <c r="E127" s="3210"/>
      <c r="F127" s="3210"/>
      <c r="G127" s="3210"/>
      <c r="H127" s="3210"/>
      <c r="I127" s="3209"/>
      <c r="AA127" s="734"/>
    </row>
    <row r="128" spans="1:27" ht="21.75" customHeight="1">
      <c r="A128" s="3211" t="s">
        <v>2139</v>
      </c>
      <c r="B128" s="3211"/>
      <c r="C128" s="3211"/>
      <c r="D128" s="3211"/>
      <c r="E128" s="3211"/>
      <c r="F128" s="3211"/>
      <c r="G128" s="3211"/>
      <c r="H128" s="3211"/>
      <c r="I128" s="3211"/>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2" t="str">
        <f>项目基本情况!B1</f>
        <v>房地产抵押价值预评估</v>
      </c>
      <c r="C37" s="3092"/>
      <c r="D37" s="3092"/>
      <c r="E37" s="3092"/>
      <c r="F37" s="3092"/>
      <c r="G37" s="3092"/>
      <c r="H37" s="3092"/>
      <c r="I37" s="3092"/>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10</v>
      </c>
    </row>
    <row r="2" spans="1:9" s="206" customFormat="1" ht="18" customHeight="1">
      <c r="A2" s="207" t="s">
        <v>2148</v>
      </c>
      <c r="B2" s="208">
        <f ca="1">IF(D2="——",C52,C52-E2)</f>
        <v>303164</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42057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178444</v>
      </c>
      <c r="D5" s="217" t="s">
        <v>2155</v>
      </c>
      <c r="E5" s="218" t="s">
        <v>2156</v>
      </c>
      <c r="F5" s="218" t="s">
        <v>2157</v>
      </c>
      <c r="G5" s="219"/>
    </row>
    <row r="6" spans="1:9" s="220" customFormat="1" ht="13.5" customHeight="1">
      <c r="A6" s="885" t="s">
        <v>2158</v>
      </c>
      <c r="B6" s="221" t="s">
        <v>2159</v>
      </c>
      <c r="C6" s="222">
        <f>'土地比较法-住宅、综合'!B2</f>
        <v>170154</v>
      </c>
      <c r="D6" s="223"/>
      <c r="E6" s="224"/>
      <c r="F6" s="224"/>
      <c r="G6" s="225"/>
    </row>
    <row r="7" spans="1:9" s="220" customFormat="1" ht="13.5" customHeight="1">
      <c r="A7" s="885" t="s">
        <v>2160</v>
      </c>
      <c r="B7" s="221" t="s">
        <v>2161</v>
      </c>
      <c r="C7" s="226">
        <f>ROUND(C6*F7,0)</f>
        <v>5190</v>
      </c>
      <c r="D7" s="226"/>
      <c r="E7" s="224"/>
      <c r="F7" s="227">
        <f>IF(项目基本情况!B8="出让",0,'数据-取费表'!B48+'数据-取费表'!B49)</f>
        <v>3.0499999999999999E-2</v>
      </c>
      <c r="G7" s="225"/>
    </row>
    <row r="8" spans="1:9" s="229" customFormat="1">
      <c r="A8" s="885" t="s">
        <v>2162</v>
      </c>
      <c r="B8" s="221" t="s">
        <v>2163</v>
      </c>
      <c r="C8" s="226">
        <f ca="1">IF(G8="已包含在土地购买价格中","0",IF(B1="",'数据-取费表'!B29,IF(G9="全部缴纳",C9+C10,H9)))</f>
        <v>3100</v>
      </c>
      <c r="D8" s="228"/>
      <c r="E8" s="226"/>
      <c r="F8" s="227"/>
      <c r="G8" s="2040" t="s">
        <v>3678</v>
      </c>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430</v>
      </c>
      <c r="F9" s="227"/>
      <c r="G9" s="2041" t="s">
        <v>3679</v>
      </c>
      <c r="H9" s="1298"/>
      <c r="I9" s="2042" t="s">
        <v>2165</v>
      </c>
    </row>
    <row r="10" spans="1:9" s="220" customFormat="1" ht="13.5" customHeight="1">
      <c r="A10" s="886" t="s">
        <v>801</v>
      </c>
      <c r="B10" s="230" t="s">
        <v>2166</v>
      </c>
      <c r="C10" s="231">
        <f ca="1">ROUND(D10*E10/10000,0)</f>
        <v>3100</v>
      </c>
      <c r="D10" s="953">
        <f ca="1">IF(B1="",'数据-汇总表'!E6,IF(INDIRECT("'数据-取费表'!c"&amp;$G$1)="住宅",INDIRECT("'数据-取费表'!s"&amp;$G$1),INDIRECT("'数据-取费表'!k"&amp;$G$1)+INDIRECT("'数据-取费表'!s"&amp;$G$1)))</f>
        <v>72083.499999999942</v>
      </c>
      <c r="E10" s="231">
        <f>'数据-取费表'!B28</f>
        <v>430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t="str">
        <f>IF(G19="已包含在土地取得成本中","0",ROUND(D19*E19/10000,0))</f>
        <v>0</v>
      </c>
      <c r="D19" s="957">
        <f ca="1">D9+D10</f>
        <v>72083.499999999942</v>
      </c>
      <c r="E19" s="217">
        <f>'数据-取费表'!B31</f>
        <v>200</v>
      </c>
      <c r="F19" s="237"/>
      <c r="G19" s="2040" t="s">
        <v>3680</v>
      </c>
    </row>
    <row r="20" spans="1:7" s="220" customFormat="1" ht="13.5" customHeight="1">
      <c r="A20" s="261" t="s">
        <v>2179</v>
      </c>
      <c r="B20" s="216" t="s">
        <v>2180</v>
      </c>
      <c r="C20" s="238">
        <f ca="1">ROUND((C5+C19)*F20,0)</f>
        <v>5353</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3">
        <f ca="1">ROUND(SUM(C23:C25),0)</f>
        <v>14211</v>
      </c>
      <c r="D22" s="241">
        <f ca="1">C26</f>
        <v>1.1999999999999999E-3</v>
      </c>
      <c r="E22" s="242" t="s">
        <v>2184</v>
      </c>
      <c r="F22" s="243">
        <f ca="1">'数据-取费表'!B40</f>
        <v>3.85E-2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14005</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206</v>
      </c>
      <c r="D25" s="244"/>
      <c r="E25" s="247"/>
      <c r="F25" s="245"/>
      <c r="G25" s="248" t="s">
        <v>2196</v>
      </c>
    </row>
    <row r="26" spans="1:7" s="220" customFormat="1">
      <c r="A26" s="887"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31245</v>
      </c>
      <c r="D27" s="241">
        <f ca="1">C29</f>
        <v>5.1000000000000004E-3</v>
      </c>
      <c r="E27" s="242" t="s">
        <v>2200</v>
      </c>
      <c r="F27" s="252">
        <f ca="1">IF(B1="",'数据-取费表'!Q16,INDIRECT("'数据-取费表'!q"&amp;$G$1))</f>
        <v>0.17</v>
      </c>
      <c r="G27" s="253" t="s">
        <v>2201</v>
      </c>
    </row>
    <row r="28" spans="1:7" s="220" customFormat="1" ht="13.5" customHeight="1">
      <c r="A28" s="887" t="s">
        <v>791</v>
      </c>
      <c r="B28" s="254" t="s">
        <v>2202</v>
      </c>
      <c r="C28" s="255">
        <f ca="1">ROUND((C5+C19+C20)*F27*'数据-取费表'!B21/'数据-取费表'!B20,0)</f>
        <v>31245</v>
      </c>
      <c r="D28" s="241"/>
      <c r="E28" s="242"/>
      <c r="F28" s="252"/>
      <c r="G28" s="253"/>
    </row>
    <row r="29" spans="1:7" s="220" customFormat="1" ht="13.5" customHeight="1">
      <c r="A29" s="887" t="s">
        <v>792</v>
      </c>
      <c r="B29" s="254" t="s">
        <v>2203</v>
      </c>
      <c r="C29" s="244">
        <f ca="1">ROUND(C21*F27*'数据-取费表'!B21/'数据-取费表'!B20,4)</f>
        <v>5.1000000000000004E-3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251816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38322</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35292</v>
      </c>
      <c r="D34" s="223"/>
      <c r="E34" s="226"/>
      <c r="F34" s="263">
        <f ca="1">IF('数据-取费表'!B24=0,1,IF(B1="",'数据-取费表'!N16,INDIRECT("'数据-取费表'!n"&amp;$G$1)))</f>
        <v>1</v>
      </c>
      <c r="G34" s="225" t="s">
        <v>2212</v>
      </c>
    </row>
    <row r="35" spans="1:7" ht="13.5" customHeight="1">
      <c r="A35" s="887" t="s">
        <v>796</v>
      </c>
      <c r="B35" s="221" t="s">
        <v>2213</v>
      </c>
      <c r="C35" s="226">
        <f ca="1">ROUND(C34*F35,0)</f>
        <v>1059</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1442</v>
      </c>
      <c r="D37" s="223">
        <f ca="1">D19</f>
        <v>72083.499999999942</v>
      </c>
      <c r="E37" s="255">
        <f>'数据-取费表'!B35</f>
        <v>200</v>
      </c>
      <c r="F37" s="265"/>
      <c r="G37" s="267" t="s">
        <v>2218</v>
      </c>
    </row>
    <row r="38" spans="1:7" ht="13.5" customHeight="1">
      <c r="A38" s="887" t="s">
        <v>799</v>
      </c>
      <c r="B38" s="221" t="s">
        <v>2219</v>
      </c>
      <c r="C38" s="226">
        <f ca="1">ROUND(C34*F38,0)</f>
        <v>529</v>
      </c>
      <c r="D38" s="226"/>
      <c r="E38" s="226"/>
      <c r="F38" s="265">
        <f>'数据-取费表'!B36</f>
        <v>1.4999999999999999E-2</v>
      </c>
      <c r="G38" s="225" t="s">
        <v>2214</v>
      </c>
    </row>
    <row r="39" spans="1:7" s="220" customFormat="1" ht="13.5" customHeight="1">
      <c r="A39" s="261" t="s">
        <v>2220</v>
      </c>
      <c r="B39" s="216" t="s">
        <v>2221</v>
      </c>
      <c r="C39" s="238">
        <f ca="1">ROUND(C33*F20,0)</f>
        <v>1150</v>
      </c>
      <c r="D39" s="238"/>
      <c r="E39" s="238"/>
      <c r="F39" s="2533">
        <f>F20</f>
        <v>0.03</v>
      </c>
      <c r="G39" s="240" t="s">
        <v>2222</v>
      </c>
    </row>
    <row r="40" spans="1:7" s="220" customFormat="1" ht="13.5" customHeight="1">
      <c r="A40" s="261" t="s">
        <v>2223</v>
      </c>
      <c r="B40" s="216" t="s">
        <v>2224</v>
      </c>
      <c r="C40" s="1494">
        <f>F21</f>
        <v>0.03</v>
      </c>
      <c r="D40" s="242" t="s">
        <v>2225</v>
      </c>
      <c r="E40" s="238"/>
      <c r="F40" s="2533">
        <f>F21</f>
        <v>0.03</v>
      </c>
      <c r="G40" s="240" t="s">
        <v>2226</v>
      </c>
    </row>
    <row r="41" spans="1:7" s="220" customFormat="1" ht="13.5" customHeight="1">
      <c r="A41" s="261" t="s">
        <v>2227</v>
      </c>
      <c r="B41" s="216" t="s">
        <v>2228</v>
      </c>
      <c r="C41" s="238">
        <f ca="1">ROUND(SUM(C42:C43),0)</f>
        <v>1519</v>
      </c>
      <c r="D41" s="241">
        <f ca="1">C44</f>
        <v>1.1999999999999999E-3</v>
      </c>
      <c r="E41" s="242" t="s">
        <v>2225</v>
      </c>
      <c r="F41" s="2534">
        <f ca="1">F22</f>
        <v>3.85E-2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1475</v>
      </c>
      <c r="D42" s="244"/>
      <c r="E42" s="244"/>
      <c r="F42" s="245"/>
      <c r="G42" s="3284" t="s">
        <v>2230</v>
      </c>
    </row>
    <row r="43" spans="1:7" ht="13.5" customHeight="1">
      <c r="A43" s="887" t="s">
        <v>792</v>
      </c>
      <c r="B43" s="221" t="s">
        <v>2231</v>
      </c>
      <c r="C43" s="244">
        <f ca="1">ROUND(IF('数据-取费表'!B22&lt;=1,C39*F22*'数据-取费表'!B21/2,C39*(POWER((1+F22),'数据-取费表'!B21/2)-1)),0)</f>
        <v>44</v>
      </c>
      <c r="D43" s="244"/>
      <c r="E43" s="244"/>
      <c r="F43" s="245"/>
      <c r="G43" s="3285"/>
    </row>
    <row r="44" spans="1:7" ht="13.5" customHeight="1">
      <c r="A44" s="887" t="s">
        <v>793</v>
      </c>
      <c r="B44" s="221" t="s">
        <v>2232</v>
      </c>
      <c r="C44" s="244">
        <f ca="1">ROUND(IF('数据-取费表'!B22&lt;=1,C40*F22*'数据-取费表'!B21/2,C40*(POWER((1+F22),'数据-取费表'!B21/2)-1)),4)</f>
        <v>1.1999999999999999E-3</v>
      </c>
      <c r="D44" s="244"/>
      <c r="E44" s="244"/>
      <c r="F44" s="245"/>
      <c r="G44" s="3286"/>
    </row>
    <row r="45" spans="1:7" s="220" customFormat="1" ht="13.5" customHeight="1">
      <c r="A45" s="261" t="s">
        <v>2233</v>
      </c>
      <c r="B45" s="250" t="s">
        <v>2199</v>
      </c>
      <c r="C45" s="251">
        <f ca="1">C46</f>
        <v>6710</v>
      </c>
      <c r="D45" s="241">
        <f ca="1">C47</f>
        <v>5.1000000000000004E-3</v>
      </c>
      <c r="E45" s="242" t="s">
        <v>2225</v>
      </c>
      <c r="F45" s="2535">
        <f ca="1">F27</f>
        <v>0.17</v>
      </c>
      <c r="G45" s="253" t="s">
        <v>2234</v>
      </c>
    </row>
    <row r="46" spans="1:7" s="220" customFormat="1" ht="13.5" customHeight="1">
      <c r="A46" s="887" t="s">
        <v>791</v>
      </c>
      <c r="B46" s="254" t="s">
        <v>2235</v>
      </c>
      <c r="C46" s="255">
        <f ca="1">ROUND((C33+C39)*F27,0)</f>
        <v>6710</v>
      </c>
      <c r="D46" s="269"/>
      <c r="E46" s="242"/>
      <c r="F46" s="252"/>
      <c r="G46" s="253"/>
    </row>
    <row r="47" spans="1:7" s="220" customFormat="1" ht="13.5" customHeight="1">
      <c r="A47" s="887" t="s">
        <v>792</v>
      </c>
      <c r="B47" s="254" t="s">
        <v>2236</v>
      </c>
      <c r="C47" s="244">
        <f ca="1">ROUND(C40*F27,4)</f>
        <v>5.1000000000000004E-3</v>
      </c>
      <c r="D47" s="269"/>
      <c r="E47" s="242"/>
      <c r="F47" s="252"/>
      <c r="G47" s="253"/>
    </row>
    <row r="48" spans="1:7" s="220" customFormat="1" ht="13.5" customHeight="1">
      <c r="A48" s="261" t="s">
        <v>2198</v>
      </c>
      <c r="B48" s="216" t="s">
        <v>2237</v>
      </c>
      <c r="C48" s="1494">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52396</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51348</v>
      </c>
      <c r="D51" s="238"/>
      <c r="E51" s="238"/>
      <c r="F51" s="270"/>
      <c r="G51" s="240" t="s">
        <v>2246</v>
      </c>
    </row>
    <row r="52" spans="1:7" s="214" customFormat="1" ht="16.5" thickBot="1">
      <c r="A52" s="271" t="s">
        <v>2247</v>
      </c>
      <c r="B52" s="272"/>
      <c r="C52" s="273">
        <f ca="1">C31+C51</f>
        <v>303164</v>
      </c>
      <c r="D52" s="272"/>
      <c r="E52" s="272"/>
      <c r="F52" s="272"/>
      <c r="G52" s="274"/>
    </row>
    <row r="55" spans="1:7" ht="15">
      <c r="B55" s="276" t="s">
        <v>2248</v>
      </c>
      <c r="C55" s="277"/>
    </row>
    <row r="56" spans="1:7">
      <c r="B56" s="279" t="s">
        <v>1478</v>
      </c>
      <c r="C56" s="281">
        <f ca="1">1-C57</f>
        <v>0.83099999999999996</v>
      </c>
    </row>
    <row r="57" spans="1:7">
      <c r="B57" s="279" t="s">
        <v>1479</v>
      </c>
      <c r="C57" s="280">
        <f ca="1">ROUND(C51/C52,3)</f>
        <v>0.16900000000000001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7">
        <f>MATCH(B1,'数据-取费表'!A6:A16,0)+5</f>
        <v>10</v>
      </c>
      <c r="H1" s="1191" t="str">
        <f>IF(ISERROR(FIND("住宅",B1)),"非住宅","住宅")</f>
        <v>非住宅</v>
      </c>
    </row>
    <row r="2" spans="1:8" s="206" customFormat="1" ht="18" customHeight="1">
      <c r="A2" s="207" t="s">
        <v>2148</v>
      </c>
      <c r="B2" s="208">
        <f ca="1">ROUND(IF(D2="——",C52/10000,C52/10000-E2),0)</f>
        <v>57756</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8012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30995905</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30995905</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430</v>
      </c>
      <c r="F9" s="227"/>
      <c r="G9" s="232"/>
    </row>
    <row r="10" spans="1:8" s="220" customFormat="1" ht="13.5" customHeight="1">
      <c r="A10" s="886" t="s">
        <v>801</v>
      </c>
      <c r="B10" s="230" t="s">
        <v>2166</v>
      </c>
      <c r="C10" s="231">
        <f ca="1">ROUND(D10*E10,0)</f>
        <v>30995905</v>
      </c>
      <c r="D10" s="953">
        <f ca="1">IF(B1="",'数据-汇总表'!E6,IF(INDIRECT("'数据-取费表'!c"&amp;$G$1)="住宅",INDIRECT("'数据-取费表'!s"&amp;$G$1),INDIRECT("'数据-取费表'!k"&amp;$G$1)+INDIRECT("'数据-取费表'!s"&amp;$G$1)))</f>
        <v>72083.499999999942</v>
      </c>
      <c r="E10" s="231">
        <f>'数据-取费表'!B28</f>
        <v>430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14416700</v>
      </c>
      <c r="D19" s="957">
        <f ca="1">D9+D10</f>
        <v>72083.499999999942</v>
      </c>
      <c r="E19" s="217">
        <f>'数据-取费表'!B31</f>
        <v>200</v>
      </c>
      <c r="F19" s="237"/>
      <c r="G19" s="2040"/>
    </row>
    <row r="20" spans="1:7" s="220" customFormat="1" ht="13.5" customHeight="1">
      <c r="A20" s="261" t="s">
        <v>2260</v>
      </c>
      <c r="B20" s="216" t="s">
        <v>2261</v>
      </c>
      <c r="C20" s="238">
        <f ca="1">ROUND((C5+C19)*F20,0)</f>
        <v>1362378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8">
        <f ca="1">ROUND(SUM(C23:C25),0)</f>
        <v>3616535</v>
      </c>
      <c r="D22" s="241">
        <f ca="1">C26</f>
        <v>1.1999999999999999E-3</v>
      </c>
      <c r="E22" s="242" t="s">
        <v>2265</v>
      </c>
      <c r="F22" s="243">
        <f ca="1">'数据-取费表'!B40</f>
        <v>3.85E-2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2432628</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1131455</v>
      </c>
      <c r="D24" s="244"/>
      <c r="E24" s="244"/>
      <c r="F24" s="245"/>
      <c r="G24" s="246" t="s">
        <v>2272</v>
      </c>
    </row>
    <row r="25" spans="1:7" s="220" customFormat="1" ht="24">
      <c r="A25" s="887" t="s">
        <v>2162</v>
      </c>
      <c r="B25" s="221" t="s">
        <v>2273</v>
      </c>
      <c r="C25" s="1289">
        <f ca="1">ROUND(IF('数据-取费表'!B22&lt;=1,C20*F22*'数据-取费表'!B22/2,C20*(POWER((1+F22),'数据-取费表'!B22/2)-1)),0)</f>
        <v>52452</v>
      </c>
      <c r="D25" s="244"/>
      <c r="E25" s="247"/>
      <c r="F25" s="245"/>
      <c r="G25" s="248" t="s">
        <v>2274</v>
      </c>
    </row>
    <row r="26" spans="1:7" s="220" customFormat="1">
      <c r="A26" s="887"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7951747</v>
      </c>
      <c r="D27" s="241">
        <f ca="1">C29</f>
        <v>5.1000000000000004E-3</v>
      </c>
      <c r="E27" s="242" t="s">
        <v>2200</v>
      </c>
      <c r="F27" s="252">
        <f ca="1">IF(B1="",'数据-取费表'!Q16,INDIRECT("'数据-取费表'!q"&amp;$G$1))</f>
        <v>0.17</v>
      </c>
      <c r="G27" s="253" t="s">
        <v>2201</v>
      </c>
    </row>
    <row r="28" spans="1:7" s="220" customFormat="1" ht="13.5" customHeight="1">
      <c r="A28" s="887" t="s">
        <v>791</v>
      </c>
      <c r="B28" s="254" t="s">
        <v>2202</v>
      </c>
      <c r="C28" s="255">
        <f ca="1">ROUND((C5+C19+C20)*F27,0)</f>
        <v>7951747</v>
      </c>
      <c r="D28" s="241"/>
      <c r="E28" s="242"/>
      <c r="F28" s="252"/>
      <c r="G28" s="253"/>
    </row>
    <row r="29" spans="1:7" s="220" customFormat="1" ht="13.5" customHeight="1">
      <c r="A29" s="887" t="s">
        <v>792</v>
      </c>
      <c r="B29" s="254" t="s">
        <v>2203</v>
      </c>
      <c r="C29" s="244">
        <f ca="1">ROUND(C21*F27,4)</f>
        <v>5.1000000000000004E-3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64085309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383216193</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352918175</v>
      </c>
      <c r="D34" s="223"/>
      <c r="E34" s="226"/>
      <c r="F34" s="263"/>
      <c r="G34" s="225"/>
    </row>
    <row r="35" spans="1:7" ht="13.5" customHeight="1">
      <c r="A35" s="887" t="s">
        <v>796</v>
      </c>
      <c r="B35" s="221" t="s">
        <v>2213</v>
      </c>
      <c r="C35" s="226">
        <f ca="1">ROUND(C34*F35,0)</f>
        <v>10587545</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14416700</v>
      </c>
      <c r="D37" s="223">
        <f ca="1">D19</f>
        <v>72083.499999999942</v>
      </c>
      <c r="E37" s="255">
        <f>'数据-取费表'!B35</f>
        <v>200</v>
      </c>
      <c r="F37" s="265"/>
      <c r="G37" s="267"/>
    </row>
    <row r="38" spans="1:7" ht="13.5" customHeight="1">
      <c r="A38" s="887" t="s">
        <v>799</v>
      </c>
      <c r="B38" s="221" t="s">
        <v>2219</v>
      </c>
      <c r="C38" s="226">
        <f ca="1">ROUND(C34*F38,0)</f>
        <v>5293773</v>
      </c>
      <c r="D38" s="226"/>
      <c r="E38" s="226"/>
      <c r="F38" s="265">
        <f>'数据-取费表'!B36</f>
        <v>1.4999999999999999E-2</v>
      </c>
      <c r="G38" s="225" t="s">
        <v>2214</v>
      </c>
    </row>
    <row r="39" spans="1:7" s="220" customFormat="1" ht="13.5" customHeight="1">
      <c r="A39" s="261" t="s">
        <v>2220</v>
      </c>
      <c r="B39" s="216" t="s">
        <v>2221</v>
      </c>
      <c r="C39" s="238">
        <f ca="1">ROUND(C33*F20,0)</f>
        <v>11496486</v>
      </c>
      <c r="D39" s="238"/>
      <c r="E39" s="238"/>
      <c r="F39" s="2533">
        <f>F20</f>
        <v>0.03</v>
      </c>
      <c r="G39" s="240" t="s">
        <v>2222</v>
      </c>
    </row>
    <row r="40" spans="1:7" s="220" customFormat="1" ht="13.5" customHeight="1">
      <c r="A40" s="261" t="s">
        <v>2223</v>
      </c>
      <c r="B40" s="216" t="s">
        <v>2224</v>
      </c>
      <c r="C40" s="1494">
        <f>F21</f>
        <v>0.03</v>
      </c>
      <c r="D40" s="242" t="s">
        <v>2225</v>
      </c>
      <c r="E40" s="238"/>
      <c r="F40" s="2533">
        <f>F21</f>
        <v>0.03</v>
      </c>
      <c r="G40" s="240" t="s">
        <v>2226</v>
      </c>
    </row>
    <row r="41" spans="1:7" s="220" customFormat="1" ht="13.5" customHeight="1">
      <c r="A41" s="261" t="s">
        <v>2227</v>
      </c>
      <c r="B41" s="216" t="s">
        <v>2228</v>
      </c>
      <c r="C41" s="238">
        <f ca="1">ROUND(SUM(C42:C43),0)</f>
        <v>15196438</v>
      </c>
      <c r="D41" s="241">
        <f ca="1">C44</f>
        <v>1.1999999999999999E-3</v>
      </c>
      <c r="E41" s="242" t="s">
        <v>2225</v>
      </c>
      <c r="F41" s="2534">
        <f ca="1">F22</f>
        <v>3.85E-2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14753823</v>
      </c>
      <c r="D42" s="244"/>
      <c r="E42" s="244"/>
      <c r="F42" s="245"/>
      <c r="G42" s="3284" t="s">
        <v>2277</v>
      </c>
    </row>
    <row r="43" spans="1:7" ht="13.5" customHeight="1">
      <c r="A43" s="887" t="s">
        <v>792</v>
      </c>
      <c r="B43" s="221" t="s">
        <v>2231</v>
      </c>
      <c r="C43" s="244">
        <f ca="1">ROUND(IF('数据-取费表'!B22&lt;=1,C39*F22*'数据-取费表'!B20/2,C39*(POWER((1+F22),'数据-取费表'!B20/2)-1)),0)</f>
        <v>442615</v>
      </c>
      <c r="D43" s="244"/>
      <c r="E43" s="244"/>
      <c r="F43" s="245"/>
      <c r="G43" s="3285"/>
    </row>
    <row r="44" spans="1:7" ht="13.5" customHeight="1">
      <c r="A44" s="887" t="s">
        <v>793</v>
      </c>
      <c r="B44" s="221" t="s">
        <v>2232</v>
      </c>
      <c r="C44" s="244">
        <f ca="1">ROUND(IF('数据-取费表'!B22&lt;=1,C40*F22*'数据-取费表'!B20/2,C40*(POWER((1+F22),'数据-取费表'!B20/2)-1)),4)</f>
        <v>1.1999999999999999E-3</v>
      </c>
      <c r="D44" s="244"/>
      <c r="E44" s="244"/>
      <c r="F44" s="245"/>
      <c r="G44" s="3286"/>
    </row>
    <row r="45" spans="1:7" s="220" customFormat="1" ht="13.5" customHeight="1">
      <c r="A45" s="261" t="s">
        <v>2233</v>
      </c>
      <c r="B45" s="250" t="s">
        <v>2199</v>
      </c>
      <c r="C45" s="251">
        <f ca="1">C46</f>
        <v>67101155</v>
      </c>
      <c r="D45" s="241">
        <f ca="1">C47</f>
        <v>5.1000000000000004E-3</v>
      </c>
      <c r="E45" s="242" t="s">
        <v>2225</v>
      </c>
      <c r="F45" s="2535">
        <f ca="1">F27</f>
        <v>0.17</v>
      </c>
      <c r="G45" s="253" t="s">
        <v>2234</v>
      </c>
    </row>
    <row r="46" spans="1:7" s="220" customFormat="1" ht="13.5" customHeight="1">
      <c r="A46" s="887" t="s">
        <v>791</v>
      </c>
      <c r="B46" s="254" t="s">
        <v>2235</v>
      </c>
      <c r="C46" s="255">
        <f ca="1">ROUND((C33+C39)*F27,0)</f>
        <v>67101155</v>
      </c>
      <c r="D46" s="269"/>
      <c r="E46" s="242"/>
      <c r="F46" s="252"/>
      <c r="G46" s="253"/>
    </row>
    <row r="47" spans="1:7" s="220" customFormat="1" ht="13.5" customHeight="1">
      <c r="A47" s="887" t="s">
        <v>792</v>
      </c>
      <c r="B47" s="254" t="s">
        <v>2236</v>
      </c>
      <c r="C47" s="244">
        <f ca="1">ROUND(C40*F27,4)</f>
        <v>5.1000000000000004E-3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523956801</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513477665</v>
      </c>
      <c r="D51" s="238"/>
      <c r="E51" s="238"/>
      <c r="F51" s="270"/>
      <c r="G51" s="240" t="s">
        <v>2246</v>
      </c>
    </row>
    <row r="52" spans="1:7" s="214" customFormat="1" ht="16.5" thickBot="1">
      <c r="A52" s="271" t="s">
        <v>2247</v>
      </c>
      <c r="B52" s="272"/>
      <c r="C52" s="273">
        <f ca="1">C31+C51</f>
        <v>577562974</v>
      </c>
      <c r="D52" s="272"/>
      <c r="E52" s="272"/>
      <c r="F52" s="272"/>
      <c r="G52" s="274"/>
    </row>
    <row r="55" spans="1:7" ht="15">
      <c r="B55" s="276" t="s">
        <v>2248</v>
      </c>
      <c r="C55" s="277"/>
    </row>
    <row r="56" spans="1:7">
      <c r="B56" s="279" t="s">
        <v>1478</v>
      </c>
      <c r="C56" s="281">
        <f ca="1">1-C57</f>
        <v>0.11099999999999999</v>
      </c>
    </row>
    <row r="57" spans="1:7">
      <c r="B57" s="279" t="s">
        <v>1479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10</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72083.499999999942</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72083.499999999942</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430</v>
      </c>
      <c r="F19" s="912"/>
      <c r="G19" s="15"/>
      <c r="H19" s="1349"/>
      <c r="I19" s="917"/>
      <c r="J19" s="917"/>
      <c r="K19" s="918"/>
    </row>
    <row r="20" spans="1:33" s="911" customFormat="1" ht="13.5" customHeight="1">
      <c r="A20" s="907" t="s">
        <v>806</v>
      </c>
      <c r="B20" s="908" t="s">
        <v>2316</v>
      </c>
      <c r="C20" s="24">
        <f ca="1">ROUND(D20*E20/10000,0)</f>
        <v>3100</v>
      </c>
      <c r="D20" s="954">
        <f ca="1">IF(C1="",'数据-汇总表'!E6,IF(INDIRECT("'数据-取费表'!c"&amp;$K$1)="住宅",INDIRECT("'数据-取费表'!s"&amp;$K$1),INDIRECT("'数据-取费表'!k"&amp;$K$1)+INDIRECT("'数据-取费表'!s"&amp;$K$1)))</f>
        <v>72083.499999999942</v>
      </c>
      <c r="E20" s="24">
        <f>'数据-取费表'!B28</f>
        <v>430</v>
      </c>
      <c r="F20" s="912"/>
      <c r="G20" s="15"/>
      <c r="H20" s="917"/>
      <c r="I20" s="917"/>
      <c r="J20" s="917"/>
      <c r="K20" s="918"/>
    </row>
    <row r="21" spans="1:33" s="911" customFormat="1" ht="13.5" customHeight="1">
      <c r="A21" s="897" t="s">
        <v>802</v>
      </c>
      <c r="B21" s="921" t="s">
        <v>2317</v>
      </c>
      <c r="C21" s="922">
        <f ca="1">C16+C17+C18</f>
        <v>0</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0.03</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0.03</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0</v>
      </c>
      <c r="D28" s="286">
        <f ca="1">C29</f>
        <v>0</v>
      </c>
      <c r="E28" s="288" t="s">
        <v>15</v>
      </c>
      <c r="F28" s="294">
        <f ca="1">IF(C1="",'数据-取费表'!Q16,INDIRECT("'数据-取费表'!q"&amp;$K$1))</f>
        <v>0.17</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0</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Normal="60" zoomScaleSheetLayoutView="100" workbookViewId="0">
      <selection activeCell="E46" sqref="E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170154</v>
      </c>
      <c r="C2" s="1037"/>
      <c r="D2" s="1037"/>
      <c r="E2" s="1038"/>
      <c r="F2" s="1039"/>
      <c r="G2" s="1038"/>
      <c r="H2" s="1038"/>
      <c r="I2" s="1038"/>
      <c r="J2" s="1038"/>
      <c r="K2" s="1040"/>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23605</v>
      </c>
      <c r="C3" s="209" t="s">
        <v>2567</v>
      </c>
      <c r="D3" s="1353"/>
      <c r="E3" s="1038"/>
      <c r="F3" s="1039"/>
      <c r="G3" s="1038"/>
      <c r="H3" s="1038"/>
      <c r="I3" s="1038"/>
      <c r="J3" s="1038"/>
      <c r="K3" s="1040"/>
      <c r="L3" s="2961"/>
      <c r="M3" s="2962"/>
      <c r="N3" s="2962"/>
      <c r="O3" s="2962"/>
      <c r="P3" s="708"/>
      <c r="Q3" s="708"/>
      <c r="R3" s="708"/>
      <c r="S3" s="708"/>
      <c r="T3" s="708"/>
      <c r="U3" s="708"/>
      <c r="V3" s="708"/>
      <c r="W3" s="708"/>
      <c r="X3" s="708"/>
      <c r="Y3" s="708"/>
      <c r="Z3" s="708"/>
      <c r="AA3" s="708"/>
      <c r="AB3" s="725"/>
      <c r="AC3" s="722"/>
    </row>
    <row r="4" spans="1:30" ht="15">
      <c r="A4" s="361" t="s">
        <v>2466</v>
      </c>
      <c r="B4" s="362"/>
      <c r="C4" s="3305" t="s">
        <v>2467</v>
      </c>
      <c r="D4" s="3306"/>
      <c r="E4" s="3307" t="s">
        <v>2468</v>
      </c>
      <c r="F4" s="3308"/>
      <c r="G4" s="3305" t="s">
        <v>2469</v>
      </c>
      <c r="H4" s="3306"/>
      <c r="I4" s="3305" t="s">
        <v>2470</v>
      </c>
      <c r="J4" s="3306"/>
      <c r="K4" s="567" t="s">
        <v>2471</v>
      </c>
      <c r="L4" s="2942"/>
      <c r="M4" s="2943"/>
      <c r="N4" s="2943"/>
      <c r="O4" s="2943"/>
      <c r="P4" s="3309" t="s">
        <v>2472</v>
      </c>
      <c r="Q4" s="3310"/>
      <c r="R4" s="3292" t="s">
        <v>2468</v>
      </c>
      <c r="S4" s="3293"/>
      <c r="T4" s="3292" t="s">
        <v>2469</v>
      </c>
      <c r="U4" s="3293"/>
      <c r="V4" s="3317" t="s">
        <v>2470</v>
      </c>
      <c r="W4" s="3317"/>
      <c r="X4" s="1538"/>
      <c r="Y4" s="3292" t="s">
        <v>2472</v>
      </c>
      <c r="Z4" s="3293"/>
      <c r="AA4" s="3287" t="s">
        <v>2468</v>
      </c>
      <c r="AB4" s="3288" t="s">
        <v>2469</v>
      </c>
      <c r="AC4" s="3287" t="s">
        <v>2470</v>
      </c>
    </row>
    <row r="5" spans="1:30" ht="15">
      <c r="A5" s="364"/>
      <c r="B5" s="365"/>
      <c r="C5" s="3298" t="s">
        <v>2363</v>
      </c>
      <c r="D5" s="3299"/>
      <c r="E5" s="3296" t="str">
        <f>Sheet2!$A$2</f>
        <v>虹口区北外滩HK323-01、HK323-05,HK323-02(部分地下)地块</v>
      </c>
      <c r="F5" s="3297"/>
      <c r="G5" s="3298" t="str">
        <f>Sheet2!$A$8</f>
        <v>杨浦区平凉社区C090102单元02I8-01地块(原84街坊东)</v>
      </c>
      <c r="H5" s="3299"/>
      <c r="I5" s="3298" t="str">
        <f>Sheet2!$A$16</f>
        <v>杨浦区定海社区C2-2a地块(定海街道138街坊东块)</v>
      </c>
      <c r="J5" s="3299"/>
      <c r="K5" s="567"/>
      <c r="L5" s="2942"/>
      <c r="M5" s="2943"/>
      <c r="N5" s="2943"/>
      <c r="O5" s="2943"/>
      <c r="P5" s="3311"/>
      <c r="Q5" s="3312"/>
      <c r="R5" s="3294"/>
      <c r="S5" s="3295"/>
      <c r="T5" s="3294"/>
      <c r="U5" s="3295"/>
      <c r="V5" s="3317"/>
      <c r="W5" s="3317"/>
      <c r="X5" s="1538"/>
      <c r="Y5" s="3294"/>
      <c r="Z5" s="3295"/>
      <c r="AA5" s="3288"/>
      <c r="AB5" s="3288"/>
      <c r="AC5" s="3288"/>
    </row>
    <row r="6" spans="1:30" ht="15.75" thickBot="1">
      <c r="A6" s="366"/>
      <c r="B6" s="367"/>
      <c r="C6" s="3300" t="s">
        <v>2367</v>
      </c>
      <c r="D6" s="3301"/>
      <c r="E6" s="3302" t="s">
        <v>2367</v>
      </c>
      <c r="F6" s="3303"/>
      <c r="G6" s="3300" t="s">
        <v>2367</v>
      </c>
      <c r="H6" s="3301"/>
      <c r="I6" s="3300" t="s">
        <v>2367</v>
      </c>
      <c r="J6" s="3301"/>
      <c r="K6" s="567" t="s">
        <v>2368</v>
      </c>
      <c r="L6" s="2942"/>
      <c r="M6" s="2943"/>
      <c r="N6" s="2943"/>
      <c r="O6" s="2943"/>
      <c r="P6" s="3313"/>
      <c r="Q6" s="3314"/>
      <c r="R6" s="3294"/>
      <c r="S6" s="3295"/>
      <c r="T6" s="3315"/>
      <c r="U6" s="3316"/>
      <c r="V6" s="3317"/>
      <c r="W6" s="3317"/>
      <c r="X6" s="1538"/>
      <c r="Y6" s="3315"/>
      <c r="Z6" s="3316"/>
      <c r="AA6" s="3289"/>
      <c r="AB6" s="3289"/>
      <c r="AC6" s="3289"/>
    </row>
    <row r="7" spans="1:30" s="113" customFormat="1" ht="15.75" thickBot="1">
      <c r="A7" s="368" t="s">
        <v>2369</v>
      </c>
      <c r="B7" s="369"/>
      <c r="C7" s="370">
        <f>'数据-取费表'!B2</f>
        <v>44299</v>
      </c>
      <c r="D7" s="371">
        <v>100</v>
      </c>
      <c r="E7" s="372" t="str">
        <f>Sheet2!$H$2</f>
        <v>2020-12-17</v>
      </c>
      <c r="F7" s="373">
        <f>SUMIF(70:70,YEAR(E7)&amp;"-"&amp;INT((MONTH(E7)+2)/3),71:71)</f>
        <v>99</v>
      </c>
      <c r="G7" s="2158" t="str">
        <f>Sheet2!$H$8</f>
        <v>2019-12-06</v>
      </c>
      <c r="H7" s="371">
        <f>SUMIF(70:70,YEAR(G7)&amp;"-"&amp;INT((MONTH(G7)+2)/3),71:71)</f>
        <v>97</v>
      </c>
      <c r="I7" s="2158" t="str">
        <f>Sheet2!$H$16</f>
        <v>2018-06-21</v>
      </c>
      <c r="J7" s="371">
        <f>SUMIF(70:70,YEAR(I7)&amp;"-"&amp;INT((MONTH(I7)+2)/3),71:71)</f>
        <v>94</v>
      </c>
      <c r="K7" s="568"/>
      <c r="L7" s="2944"/>
      <c r="M7" s="2945"/>
      <c r="N7" s="2945"/>
      <c r="O7" s="2945"/>
      <c r="P7" s="3290" t="s">
        <v>2370</v>
      </c>
      <c r="Q7" s="3318"/>
      <c r="R7" s="710" t="s">
        <v>17</v>
      </c>
      <c r="S7" s="711">
        <f t="shared" ref="S7:S15" si="0">F7</f>
        <v>99</v>
      </c>
      <c r="T7" s="710" t="s">
        <v>17</v>
      </c>
      <c r="U7" s="711">
        <f t="shared" ref="U7:U15" si="1">H7</f>
        <v>97</v>
      </c>
      <c r="V7" s="710" t="s">
        <v>17</v>
      </c>
      <c r="W7" s="711">
        <f t="shared" ref="W7:W15" si="2">J7</f>
        <v>94</v>
      </c>
      <c r="X7" s="712"/>
      <c r="Y7" s="3290" t="s">
        <v>2370</v>
      </c>
      <c r="Z7" s="3291"/>
      <c r="AA7" s="713">
        <f>D7/F7</f>
        <v>1.0101010101010102</v>
      </c>
      <c r="AB7" s="713">
        <f>D7/H7</f>
        <v>1.0309278350515463</v>
      </c>
      <c r="AC7" s="713">
        <f>D7/J7</f>
        <v>1.0638297872340425</v>
      </c>
    </row>
    <row r="8" spans="1:30" s="113" customFormat="1" ht="15.75" thickBot="1">
      <c r="A8" s="368" t="s">
        <v>2371</v>
      </c>
      <c r="B8" s="369"/>
      <c r="C8" s="374" t="s">
        <v>2372</v>
      </c>
      <c r="D8" s="371">
        <v>100</v>
      </c>
      <c r="E8" s="3086" t="s">
        <v>3665</v>
      </c>
      <c r="F8" s="373">
        <f>SUMIF(73:73,E8,74:74)-SUMIF(73:73,C8,74:74)+100</f>
        <v>100</v>
      </c>
      <c r="G8" s="3086" t="s">
        <v>3666</v>
      </c>
      <c r="H8" s="371">
        <f>SUMIF(73:73,G8,74:74)-SUMIF(73:73,C8,74:74)+100</f>
        <v>100</v>
      </c>
      <c r="I8" s="3086" t="s">
        <v>3666</v>
      </c>
      <c r="J8" s="371">
        <f>SUMIF(73:73,I8,74:74)-SUMIF(73:73,C8,74:74)+100</f>
        <v>100</v>
      </c>
      <c r="K8" s="568"/>
      <c r="L8" s="2944"/>
      <c r="M8" s="2945"/>
      <c r="N8" s="2945"/>
      <c r="O8" s="2945"/>
      <c r="P8" s="3290" t="s">
        <v>2373</v>
      </c>
      <c r="Q8" s="3291"/>
      <c r="R8" s="710" t="s">
        <v>17</v>
      </c>
      <c r="S8" s="711">
        <f t="shared" si="0"/>
        <v>100</v>
      </c>
      <c r="T8" s="710" t="s">
        <v>17</v>
      </c>
      <c r="U8" s="711">
        <f t="shared" si="1"/>
        <v>100</v>
      </c>
      <c r="V8" s="710" t="s">
        <v>17</v>
      </c>
      <c r="W8" s="711">
        <f t="shared" si="2"/>
        <v>100</v>
      </c>
      <c r="X8" s="712"/>
      <c r="Y8" s="3290" t="s">
        <v>2373</v>
      </c>
      <c r="Z8" s="3291"/>
      <c r="AA8" s="713">
        <f t="shared" ref="AA8:AA45" si="3">D8/F8</f>
        <v>1</v>
      </c>
      <c r="AB8" s="713">
        <f t="shared" ref="AB8:AB45" si="4">D8/H8</f>
        <v>1</v>
      </c>
      <c r="AC8" s="713">
        <f t="shared" ref="AC8:AC45" si="5">D8/J8</f>
        <v>1</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04"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6"/>
      <c r="M10" s="2947"/>
      <c r="N10" s="2947"/>
      <c r="O10" s="3000"/>
      <c r="P10" s="3304"/>
      <c r="Q10" s="1526" t="str">
        <f t="shared" si="6"/>
        <v>土地使用年限（年）</v>
      </c>
      <c r="R10" s="710" t="s">
        <v>17</v>
      </c>
      <c r="S10" s="711">
        <f t="shared" si="0"/>
        <v>105</v>
      </c>
      <c r="T10" s="710" t="s">
        <v>17</v>
      </c>
      <c r="U10" s="711">
        <f t="shared" si="1"/>
        <v>105</v>
      </c>
      <c r="V10" s="710" t="s">
        <v>17</v>
      </c>
      <c r="W10" s="711">
        <f t="shared" si="2"/>
        <v>105</v>
      </c>
      <c r="X10" s="712"/>
      <c r="Y10" s="3260"/>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f>'数据-汇总表'!I6</f>
        <v>4.68</v>
      </c>
      <c r="D11" s="132">
        <v>100</v>
      </c>
      <c r="E11" s="388">
        <v>11.3</v>
      </c>
      <c r="F11" s="132">
        <f>LOOKUP(E11,80:80,81:81)-LOOKUP(C11,80:80,81:81)+100</f>
        <v>94</v>
      </c>
      <c r="G11" s="389">
        <v>4</v>
      </c>
      <c r="H11" s="132">
        <f>LOOKUP(G11,80:80,81:81)-LOOKUP(C11,80:80,81:81)+100</f>
        <v>100</v>
      </c>
      <c r="I11" s="388">
        <v>2.5</v>
      </c>
      <c r="J11" s="132">
        <f>LOOKUP(I11,80:80,81:81)-LOOKUP(C11,80:80,81:81)+100</f>
        <v>102</v>
      </c>
      <c r="K11" s="629">
        <v>2</v>
      </c>
      <c r="L11" s="2948"/>
      <c r="M11" s="2943"/>
      <c r="N11" s="2943"/>
      <c r="O11" s="3001"/>
      <c r="P11" s="3304"/>
      <c r="Q11" s="1526" t="str">
        <f t="shared" si="6"/>
        <v>容积率</v>
      </c>
      <c r="R11" s="710" t="s">
        <v>17</v>
      </c>
      <c r="S11" s="711">
        <f t="shared" si="0"/>
        <v>94</v>
      </c>
      <c r="T11" s="710" t="s">
        <v>17</v>
      </c>
      <c r="U11" s="711">
        <f t="shared" si="1"/>
        <v>100</v>
      </c>
      <c r="V11" s="710" t="s">
        <v>17</v>
      </c>
      <c r="W11" s="711">
        <f t="shared" si="2"/>
        <v>102</v>
      </c>
      <c r="X11" s="712"/>
      <c r="Y11" s="3260"/>
      <c r="Z11" s="55" t="str">
        <f t="shared" si="7"/>
        <v>容积率</v>
      </c>
      <c r="AA11" s="713">
        <f t="shared" si="3"/>
        <v>1.0638297872340425</v>
      </c>
      <c r="AB11" s="713">
        <f t="shared" si="4"/>
        <v>1</v>
      </c>
      <c r="AC11" s="713">
        <f t="shared" si="5"/>
        <v>0.98039215686274506</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04"/>
      <c r="Q12" s="1526" t="str">
        <f t="shared" si="6"/>
        <v>配建</v>
      </c>
      <c r="R12" s="710" t="s">
        <v>17</v>
      </c>
      <c r="S12" s="711">
        <f t="shared" si="0"/>
        <v>100</v>
      </c>
      <c r="T12" s="710" t="s">
        <v>17</v>
      </c>
      <c r="U12" s="711">
        <f t="shared" si="1"/>
        <v>100</v>
      </c>
      <c r="V12" s="710" t="s">
        <v>17</v>
      </c>
      <c r="W12" s="711">
        <f t="shared" si="2"/>
        <v>100</v>
      </c>
      <c r="X12" s="712"/>
      <c r="Y12" s="3260"/>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04"/>
      <c r="Q13" s="1526">
        <f t="shared" si="6"/>
        <v>111</v>
      </c>
      <c r="R13" s="710" t="s">
        <v>17</v>
      </c>
      <c r="S13" s="711">
        <f t="shared" si="0"/>
        <v>100</v>
      </c>
      <c r="T13" s="710" t="s">
        <v>17</v>
      </c>
      <c r="U13" s="711">
        <f t="shared" si="1"/>
        <v>100</v>
      </c>
      <c r="V13" s="710" t="s">
        <v>17</v>
      </c>
      <c r="W13" s="711">
        <f t="shared" si="2"/>
        <v>100</v>
      </c>
      <c r="X13" s="712"/>
      <c r="Y13" s="3260"/>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04"/>
      <c r="Q14" s="1526">
        <f t="shared" si="6"/>
        <v>111</v>
      </c>
      <c r="R14" s="710" t="s">
        <v>17</v>
      </c>
      <c r="S14" s="711">
        <f t="shared" si="0"/>
        <v>100</v>
      </c>
      <c r="T14" s="710" t="s">
        <v>17</v>
      </c>
      <c r="U14" s="711">
        <f t="shared" si="1"/>
        <v>100</v>
      </c>
      <c r="V14" s="710" t="s">
        <v>17</v>
      </c>
      <c r="W14" s="711">
        <f t="shared" si="2"/>
        <v>100</v>
      </c>
      <c r="X14" s="712"/>
      <c r="Y14" s="3260"/>
      <c r="Z14" s="55">
        <f t="shared" si="7"/>
        <v>111</v>
      </c>
      <c r="AA14" s="713">
        <f>D14/F14</f>
        <v>1</v>
      </c>
      <c r="AB14" s="713">
        <f>D14/H14</f>
        <v>1</v>
      </c>
      <c r="AC14" s="713">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9" t="s">
        <v>2381</v>
      </c>
      <c r="Q15" s="1535" t="str">
        <f t="shared" si="6"/>
        <v>居住社区成熟度</v>
      </c>
      <c r="R15" s="714" t="s">
        <v>17</v>
      </c>
      <c r="S15" s="715">
        <f t="shared" si="0"/>
        <v>100</v>
      </c>
      <c r="T15" s="714" t="s">
        <v>17</v>
      </c>
      <c r="U15" s="715">
        <f t="shared" si="1"/>
        <v>100</v>
      </c>
      <c r="V15" s="714" t="s">
        <v>17</v>
      </c>
      <c r="W15" s="715">
        <f t="shared" si="2"/>
        <v>100</v>
      </c>
      <c r="X15" s="1538"/>
      <c r="Y15" s="3319" t="s">
        <v>2381</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20"/>
      <c r="Q16" s="1535"/>
      <c r="R16" s="714"/>
      <c r="S16" s="715"/>
      <c r="T16" s="714"/>
      <c r="U16" s="715"/>
      <c r="V16" s="714"/>
      <c r="W16" s="715"/>
      <c r="X16" s="1538"/>
      <c r="Y16" s="3320"/>
      <c r="Z16" s="1539"/>
      <c r="AA16" s="1536">
        <v>1</v>
      </c>
      <c r="AB16" s="1536">
        <v>1</v>
      </c>
      <c r="AC16" s="1536">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20"/>
      <c r="Q17" s="1535" t="str">
        <f>B17</f>
        <v>商业繁华度</v>
      </c>
      <c r="R17" s="714" t="s">
        <v>17</v>
      </c>
      <c r="S17" s="715">
        <f>F17</f>
        <v>100</v>
      </c>
      <c r="T17" s="714" t="s">
        <v>17</v>
      </c>
      <c r="U17" s="715">
        <f>H17</f>
        <v>100</v>
      </c>
      <c r="V17" s="714" t="s">
        <v>17</v>
      </c>
      <c r="W17" s="715">
        <f>J17</f>
        <v>100</v>
      </c>
      <c r="X17" s="1538"/>
      <c r="Y17" s="3320"/>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20"/>
      <c r="Q18" s="1535"/>
      <c r="R18" s="714"/>
      <c r="S18" s="715"/>
      <c r="T18" s="714"/>
      <c r="U18" s="715"/>
      <c r="V18" s="714"/>
      <c r="W18" s="715"/>
      <c r="X18" s="1538"/>
      <c r="Y18" s="3320"/>
      <c r="Z18" s="1539"/>
      <c r="AA18" s="1536">
        <v>1</v>
      </c>
      <c r="AB18" s="1536">
        <v>1</v>
      </c>
      <c r="AC18" s="1536">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20"/>
      <c r="Q19" s="1535" t="str">
        <f>B19</f>
        <v>办公集聚程度</v>
      </c>
      <c r="R19" s="714" t="s">
        <v>17</v>
      </c>
      <c r="S19" s="715">
        <f>F19</f>
        <v>100</v>
      </c>
      <c r="T19" s="714" t="s">
        <v>17</v>
      </c>
      <c r="U19" s="715">
        <f>H19</f>
        <v>100</v>
      </c>
      <c r="V19" s="714" t="s">
        <v>17</v>
      </c>
      <c r="W19" s="715">
        <f>J19</f>
        <v>100</v>
      </c>
      <c r="X19" s="1538"/>
      <c r="Y19" s="3320"/>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20"/>
      <c r="Q20" s="1535"/>
      <c r="R20" s="714"/>
      <c r="S20" s="715"/>
      <c r="T20" s="714"/>
      <c r="U20" s="715"/>
      <c r="V20" s="714"/>
      <c r="W20" s="715"/>
      <c r="X20" s="1538"/>
      <c r="Y20" s="3320"/>
      <c r="Z20" s="1539"/>
      <c r="AA20" s="1536">
        <v>1</v>
      </c>
      <c r="AB20" s="1536">
        <v>1</v>
      </c>
      <c r="AC20" s="1536">
        <v>1</v>
      </c>
    </row>
    <row r="21" spans="1:29" ht="85.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20"/>
      <c r="Q21" s="1535" t="str">
        <f>B21</f>
        <v>交通便捷度</v>
      </c>
      <c r="R21" s="714" t="s">
        <v>17</v>
      </c>
      <c r="S21" s="715">
        <f>F21</f>
        <v>100</v>
      </c>
      <c r="T21" s="714" t="s">
        <v>17</v>
      </c>
      <c r="U21" s="715">
        <f>H21</f>
        <v>100</v>
      </c>
      <c r="V21" s="714" t="s">
        <v>17</v>
      </c>
      <c r="W21" s="715">
        <f>J21</f>
        <v>100</v>
      </c>
      <c r="X21" s="1538"/>
      <c r="Y21" s="3320"/>
      <c r="Z21" s="1539" t="str">
        <f>Q21</f>
        <v>交通便捷度</v>
      </c>
      <c r="AA21" s="1536">
        <f t="shared" si="3"/>
        <v>1</v>
      </c>
      <c r="AB21" s="1536">
        <f t="shared" si="4"/>
        <v>1</v>
      </c>
      <c r="AC21" s="1536">
        <f t="shared" si="5"/>
        <v>1</v>
      </c>
    </row>
    <row r="22" spans="1:29" ht="15">
      <c r="A22" s="387"/>
      <c r="B22" s="1292"/>
      <c r="C22" s="406"/>
      <c r="D22" s="409"/>
      <c r="E22" s="2082"/>
      <c r="F22" s="407"/>
      <c r="G22" s="2082"/>
      <c r="H22" s="407"/>
      <c r="I22" s="2081"/>
      <c r="J22" s="407"/>
      <c r="K22" s="628"/>
      <c r="L22" s="2949"/>
      <c r="M22" s="2943"/>
      <c r="N22" s="2943"/>
      <c r="O22" s="3001"/>
      <c r="P22" s="3320"/>
      <c r="Q22" s="1535"/>
      <c r="R22" s="714"/>
      <c r="S22" s="715"/>
      <c r="T22" s="714"/>
      <c r="U22" s="715"/>
      <c r="V22" s="714"/>
      <c r="W22" s="715"/>
      <c r="X22" s="1538"/>
      <c r="Y22" s="3320"/>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20"/>
      <c r="Q23" s="1535" t="str">
        <f t="shared" ref="Q23:Q37" si="8">B23</f>
        <v>区域土地利用方向</v>
      </c>
      <c r="R23" s="714" t="s">
        <v>17</v>
      </c>
      <c r="S23" s="715">
        <f>F23</f>
        <v>100</v>
      </c>
      <c r="T23" s="714" t="s">
        <v>17</v>
      </c>
      <c r="U23" s="715">
        <f>H23</f>
        <v>100</v>
      </c>
      <c r="V23" s="714" t="s">
        <v>17</v>
      </c>
      <c r="W23" s="715">
        <f>J23</f>
        <v>100</v>
      </c>
      <c r="X23" s="1538"/>
      <c r="Y23" s="3320"/>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0"/>
      <c r="L24" s="2949"/>
      <c r="M24" s="2943"/>
      <c r="N24" s="2943"/>
      <c r="O24" s="3001"/>
      <c r="P24" s="3320"/>
      <c r="Q24" s="1535"/>
      <c r="R24" s="714"/>
      <c r="S24" s="715"/>
      <c r="T24" s="714"/>
      <c r="U24" s="715"/>
      <c r="V24" s="714"/>
      <c r="W24" s="715"/>
      <c r="X24" s="1538"/>
      <c r="Y24" s="3320"/>
      <c r="Z24" s="1539"/>
      <c r="AA24" s="1536"/>
      <c r="AB24" s="1536"/>
      <c r="AC24" s="1536"/>
    </row>
    <row r="25" spans="1:29" ht="57">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20"/>
      <c r="Q25" s="1535" t="str">
        <f t="shared" si="8"/>
        <v>自然及人文环境状况</v>
      </c>
      <c r="R25" s="714" t="s">
        <v>17</v>
      </c>
      <c r="S25" s="715">
        <f>F25</f>
        <v>100</v>
      </c>
      <c r="T25" s="714" t="s">
        <v>17</v>
      </c>
      <c r="U25" s="715">
        <f>H25</f>
        <v>100</v>
      </c>
      <c r="V25" s="714" t="s">
        <v>17</v>
      </c>
      <c r="W25" s="715">
        <f>J25</f>
        <v>100</v>
      </c>
      <c r="X25" s="1538"/>
      <c r="Y25" s="3320"/>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20"/>
      <c r="Q26" s="1535"/>
      <c r="R26" s="714"/>
      <c r="S26" s="715"/>
      <c r="T26" s="714"/>
      <c r="U26" s="715"/>
      <c r="V26" s="714"/>
      <c r="W26" s="715"/>
      <c r="X26" s="1538"/>
      <c r="Y26" s="3320"/>
      <c r="Z26" s="1539"/>
      <c r="AA26" s="1536">
        <v>1</v>
      </c>
      <c r="AB26" s="1536">
        <v>1</v>
      </c>
      <c r="AC26" s="1536">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20"/>
      <c r="Q27" s="1526" t="str">
        <f t="shared" si="8"/>
        <v>公共配套设施</v>
      </c>
      <c r="R27" s="710" t="s">
        <v>17</v>
      </c>
      <c r="S27" s="711">
        <f>F27</f>
        <v>100</v>
      </c>
      <c r="T27" s="710" t="s">
        <v>17</v>
      </c>
      <c r="U27" s="711">
        <f>H27</f>
        <v>100</v>
      </c>
      <c r="V27" s="710" t="s">
        <v>17</v>
      </c>
      <c r="W27" s="711">
        <f>J27</f>
        <v>100</v>
      </c>
      <c r="X27" s="712"/>
      <c r="Y27" s="3320"/>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20"/>
      <c r="Q28" s="1526"/>
      <c r="R28" s="710"/>
      <c r="S28" s="711"/>
      <c r="T28" s="710"/>
      <c r="U28" s="711"/>
      <c r="V28" s="710"/>
      <c r="W28" s="711"/>
      <c r="X28" s="712"/>
      <c r="Y28" s="3320"/>
      <c r="Z28" s="55"/>
      <c r="AA28" s="1536">
        <v>1</v>
      </c>
      <c r="AB28" s="1536">
        <v>1</v>
      </c>
      <c r="AC28" s="1536">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20"/>
      <c r="Q29" s="1526" t="str">
        <f t="shared" ref="Q29" si="9">B29</f>
        <v>基础设施水平</v>
      </c>
      <c r="R29" s="710" t="s">
        <v>17</v>
      </c>
      <c r="S29" s="711">
        <f>F29</f>
        <v>100</v>
      </c>
      <c r="T29" s="710" t="s">
        <v>17</v>
      </c>
      <c r="U29" s="711">
        <f>H29</f>
        <v>100</v>
      </c>
      <c r="V29" s="710" t="s">
        <v>17</v>
      </c>
      <c r="W29" s="711">
        <f>J29</f>
        <v>100</v>
      </c>
      <c r="X29" s="712"/>
      <c r="Y29" s="3320"/>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20"/>
      <c r="Q30" s="1526"/>
      <c r="R30" s="710"/>
      <c r="S30" s="711"/>
      <c r="T30" s="710"/>
      <c r="U30" s="711"/>
      <c r="V30" s="710"/>
      <c r="W30" s="711"/>
      <c r="X30" s="712"/>
      <c r="Y30" s="3320"/>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2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20"/>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20"/>
      <c r="Q32" s="1535" t="str">
        <f t="shared" si="8"/>
        <v>毗邻道路的类型与等级</v>
      </c>
      <c r="R32" s="714" t="s">
        <v>17</v>
      </c>
      <c r="S32" s="715">
        <f t="shared" si="10"/>
        <v>100</v>
      </c>
      <c r="T32" s="714" t="s">
        <v>17</v>
      </c>
      <c r="U32" s="715">
        <f t="shared" si="11"/>
        <v>100</v>
      </c>
      <c r="V32" s="714" t="s">
        <v>17</v>
      </c>
      <c r="W32" s="715">
        <f t="shared" si="12"/>
        <v>100</v>
      </c>
      <c r="X32" s="1538"/>
      <c r="Y32" s="332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20"/>
      <c r="Q33" s="1535"/>
      <c r="R33" s="714"/>
      <c r="S33" s="715"/>
      <c r="T33" s="714"/>
      <c r="U33" s="715"/>
      <c r="V33" s="714"/>
      <c r="W33" s="715"/>
      <c r="X33" s="1538"/>
      <c r="Y33" s="3320"/>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20"/>
      <c r="Q34" s="1535" t="str">
        <f t="shared" si="8"/>
        <v>土地级别</v>
      </c>
      <c r="R34" s="714" t="s">
        <v>17</v>
      </c>
      <c r="S34" s="715">
        <f t="shared" si="10"/>
        <v>100</v>
      </c>
      <c r="T34" s="714" t="s">
        <v>17</v>
      </c>
      <c r="U34" s="715">
        <f t="shared" si="11"/>
        <v>100</v>
      </c>
      <c r="V34" s="714" t="s">
        <v>17</v>
      </c>
      <c r="W34" s="715">
        <f t="shared" si="12"/>
        <v>100</v>
      </c>
      <c r="X34" s="1538"/>
      <c r="Y34" s="3320"/>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20"/>
      <c r="Q35" s="1535">
        <f t="shared" si="8"/>
        <v>111</v>
      </c>
      <c r="R35" s="714" t="s">
        <v>17</v>
      </c>
      <c r="S35" s="715">
        <f t="shared" si="10"/>
        <v>100</v>
      </c>
      <c r="T35" s="714" t="s">
        <v>17</v>
      </c>
      <c r="U35" s="715">
        <f t="shared" si="11"/>
        <v>100</v>
      </c>
      <c r="V35" s="714" t="s">
        <v>17</v>
      </c>
      <c r="W35" s="715">
        <f t="shared" si="12"/>
        <v>100</v>
      </c>
      <c r="X35" s="1538"/>
      <c r="Y35" s="3320"/>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21" t="s">
        <v>2386</v>
      </c>
      <c r="Q36" s="1535">
        <f t="shared" si="8"/>
        <v>111</v>
      </c>
      <c r="R36" s="714" t="s">
        <v>17</v>
      </c>
      <c r="S36" s="715">
        <f t="shared" si="10"/>
        <v>100</v>
      </c>
      <c r="T36" s="714" t="s">
        <v>17</v>
      </c>
      <c r="U36" s="715">
        <f t="shared" si="11"/>
        <v>100</v>
      </c>
      <c r="V36" s="714" t="s">
        <v>17</v>
      </c>
      <c r="W36" s="715">
        <f t="shared" si="12"/>
        <v>100</v>
      </c>
      <c r="X36" s="1538"/>
      <c r="Y36" s="3322"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2"/>
      <c r="Q37" s="1535">
        <f t="shared" si="8"/>
        <v>111</v>
      </c>
      <c r="R37" s="717" t="s">
        <v>17</v>
      </c>
      <c r="S37" s="718">
        <f t="shared" si="10"/>
        <v>100</v>
      </c>
      <c r="T37" s="717" t="s">
        <v>17</v>
      </c>
      <c r="U37" s="718">
        <f t="shared" si="11"/>
        <v>100</v>
      </c>
      <c r="V37" s="717" t="s">
        <v>17</v>
      </c>
      <c r="W37" s="718">
        <f t="shared" si="12"/>
        <v>100</v>
      </c>
      <c r="X37" s="719"/>
      <c r="Y37" s="3322"/>
      <c r="Z37" s="720">
        <f t="shared" si="13"/>
        <v>111</v>
      </c>
      <c r="AA37" s="1536">
        <f t="shared" si="3"/>
        <v>1</v>
      </c>
      <c r="AB37" s="1536">
        <f t="shared" si="4"/>
        <v>1</v>
      </c>
      <c r="AC37" s="1536">
        <f t="shared" si="5"/>
        <v>1</v>
      </c>
    </row>
    <row r="38" spans="1:29" ht="15">
      <c r="A38" s="431" t="s">
        <v>2384</v>
      </c>
      <c r="B38" s="415" t="s">
        <v>2572</v>
      </c>
      <c r="C38" s="635">
        <f>'数据-基础表'!A3</f>
        <v>11088</v>
      </c>
      <c r="D38" s="426">
        <v>100</v>
      </c>
      <c r="E38" s="635">
        <f>Sheet2!$D$2</f>
        <v>12725</v>
      </c>
      <c r="F38" s="426">
        <f>LOOKUP(E38,117:117,118:118)-LOOKUP(C38,117:117,118:118)+100</f>
        <v>100</v>
      </c>
      <c r="G38" s="635">
        <f>Sheet2!$D$8</f>
        <v>36847.4</v>
      </c>
      <c r="H38" s="426">
        <f>LOOKUP(G38,117:117,118:118)-LOOKUP(C38,117:117,118:118)+100</f>
        <v>102</v>
      </c>
      <c r="I38" s="487">
        <f>Sheet2!$D$16</f>
        <v>10800.4</v>
      </c>
      <c r="J38" s="426">
        <f>LOOKUP(I38,117:117,118:118)-LOOKUP(C38,117:117,118:118)+100</f>
        <v>100</v>
      </c>
      <c r="K38" s="570"/>
      <c r="L38" s="2949"/>
      <c r="M38" s="2943"/>
      <c r="N38" s="2943"/>
      <c r="O38" s="3001"/>
      <c r="P38" s="3322"/>
      <c r="Q38" s="1535" t="str">
        <f>B38</f>
        <v>宗地面积</v>
      </c>
      <c r="R38" s="714" t="s">
        <v>17</v>
      </c>
      <c r="S38" s="715">
        <f t="shared" si="10"/>
        <v>100</v>
      </c>
      <c r="T38" s="714" t="s">
        <v>17</v>
      </c>
      <c r="U38" s="715">
        <f t="shared" si="11"/>
        <v>102</v>
      </c>
      <c r="V38" s="714" t="s">
        <v>17</v>
      </c>
      <c r="W38" s="715">
        <f t="shared" si="12"/>
        <v>100</v>
      </c>
      <c r="X38" s="1538"/>
      <c r="Y38" s="3322"/>
      <c r="Z38" s="1539" t="str">
        <f t="shared" si="13"/>
        <v>宗地面积</v>
      </c>
      <c r="AA38" s="1536">
        <f t="shared" si="3"/>
        <v>1</v>
      </c>
      <c r="AB38" s="1536">
        <f t="shared" si="4"/>
        <v>0.98039215686274506</v>
      </c>
      <c r="AC38" s="1536">
        <f t="shared" si="5"/>
        <v>1</v>
      </c>
    </row>
    <row r="39" spans="1:29" ht="15">
      <c r="A39" s="431"/>
      <c r="B39" s="381" t="s">
        <v>2573</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22"/>
      <c r="Q39" s="1535" t="str">
        <f t="shared" ref="Q39:Q45" si="14">B39</f>
        <v>宗地形状</v>
      </c>
      <c r="R39" s="714" t="s">
        <v>17</v>
      </c>
      <c r="S39" s="715">
        <f t="shared" si="10"/>
        <v>100</v>
      </c>
      <c r="T39" s="714" t="s">
        <v>17</v>
      </c>
      <c r="U39" s="715">
        <f t="shared" si="11"/>
        <v>100</v>
      </c>
      <c r="V39" s="714" t="s">
        <v>17</v>
      </c>
      <c r="W39" s="715">
        <f t="shared" si="12"/>
        <v>100</v>
      </c>
      <c r="X39" s="1538"/>
      <c r="Y39" s="3322"/>
      <c r="Z39" s="1539" t="str">
        <f t="shared" si="13"/>
        <v>宗地形状</v>
      </c>
      <c r="AA39" s="1536">
        <f t="shared" si="3"/>
        <v>1</v>
      </c>
      <c r="AB39" s="1536">
        <f t="shared" si="4"/>
        <v>1</v>
      </c>
      <c r="AC39" s="1536">
        <f t="shared" si="5"/>
        <v>1</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22"/>
      <c r="Q40" s="1535" t="str">
        <f t="shared" si="14"/>
        <v>临街宽度及深度</v>
      </c>
      <c r="R40" s="714" t="s">
        <v>17</v>
      </c>
      <c r="S40" s="715">
        <f t="shared" si="10"/>
        <v>100</v>
      </c>
      <c r="T40" s="714" t="s">
        <v>17</v>
      </c>
      <c r="U40" s="715">
        <f t="shared" si="11"/>
        <v>100</v>
      </c>
      <c r="V40" s="714" t="s">
        <v>17</v>
      </c>
      <c r="W40" s="715">
        <f t="shared" si="12"/>
        <v>100</v>
      </c>
      <c r="X40" s="1538"/>
      <c r="Y40" s="3322"/>
      <c r="Z40" s="1539" t="str">
        <f t="shared" si="13"/>
        <v>临街宽度及深度</v>
      </c>
      <c r="AA40" s="1536">
        <f t="shared" si="3"/>
        <v>1</v>
      </c>
      <c r="AB40" s="1536">
        <f t="shared" si="4"/>
        <v>1</v>
      </c>
      <c r="AC40" s="1536">
        <f t="shared" si="5"/>
        <v>1</v>
      </c>
    </row>
    <row r="41" spans="1:29" s="113" customFormat="1" ht="15">
      <c r="A41" s="432"/>
      <c r="B41" s="381" t="s">
        <v>2575</v>
      </c>
      <c r="C41" s="3090" t="s">
        <v>3726</v>
      </c>
      <c r="D41" s="132">
        <v>100</v>
      </c>
      <c r="E41" s="3090" t="s">
        <v>3727</v>
      </c>
      <c r="F41" s="394">
        <f>SUMIF(123:123,E41,124:124)-SUMIF(123:123,C41,124:124)+100</f>
        <v>97</v>
      </c>
      <c r="G41" s="3090" t="s">
        <v>3727</v>
      </c>
      <c r="H41" s="394">
        <f>SUMIF(123:123,G41,124:124)-SUMIF(123:123,C41,124:124)+100</f>
        <v>97</v>
      </c>
      <c r="I41" s="3090" t="s">
        <v>3727</v>
      </c>
      <c r="J41" s="394">
        <f>SUMIF(123:123,I41,124:124)-SUMIF(123:123,C41,124:124)+100</f>
        <v>97</v>
      </c>
      <c r="K41" s="569">
        <v>1</v>
      </c>
      <c r="L41" s="2944"/>
      <c r="M41" s="2945"/>
      <c r="N41" s="2945"/>
      <c r="O41" s="2999"/>
      <c r="P41" s="3322"/>
      <c r="Q41" s="1535" t="str">
        <f t="shared" si="14"/>
        <v>宗地开发程度</v>
      </c>
      <c r="R41" s="710" t="s">
        <v>17</v>
      </c>
      <c r="S41" s="711">
        <f t="shared" si="10"/>
        <v>97</v>
      </c>
      <c r="T41" s="710" t="s">
        <v>17</v>
      </c>
      <c r="U41" s="711">
        <f t="shared" si="11"/>
        <v>97</v>
      </c>
      <c r="V41" s="710" t="s">
        <v>17</v>
      </c>
      <c r="W41" s="711">
        <f t="shared" si="12"/>
        <v>97</v>
      </c>
      <c r="X41" s="712"/>
      <c r="Y41" s="3322"/>
      <c r="Z41" s="55" t="str">
        <f t="shared" si="13"/>
        <v>宗地开发程度</v>
      </c>
      <c r="AA41" s="713">
        <f t="shared" si="3"/>
        <v>1.0309278350515463</v>
      </c>
      <c r="AB41" s="713">
        <f t="shared" si="4"/>
        <v>1.0309278350515463</v>
      </c>
      <c r="AC41" s="713">
        <f t="shared" si="5"/>
        <v>1.0309278350515463</v>
      </c>
    </row>
    <row r="42" spans="1:29" ht="15">
      <c r="A42" s="431"/>
      <c r="B42" s="381" t="s">
        <v>2576</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22" t="s">
        <v>2386</v>
      </c>
      <c r="Q42" s="1535" t="str">
        <f t="shared" si="14"/>
        <v>工程地质条件</v>
      </c>
      <c r="R42" s="714" t="s">
        <v>17</v>
      </c>
      <c r="S42" s="715">
        <f t="shared" si="10"/>
        <v>100</v>
      </c>
      <c r="T42" s="714" t="s">
        <v>17</v>
      </c>
      <c r="U42" s="715">
        <f t="shared" si="11"/>
        <v>100</v>
      </c>
      <c r="V42" s="714" t="s">
        <v>17</v>
      </c>
      <c r="W42" s="715">
        <f t="shared" si="12"/>
        <v>100</v>
      </c>
      <c r="X42" s="1538"/>
      <c r="Y42" s="3322"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2"/>
      <c r="Q43" s="1535">
        <f t="shared" si="14"/>
        <v>111</v>
      </c>
      <c r="R43" s="714" t="s">
        <v>17</v>
      </c>
      <c r="S43" s="715">
        <f t="shared" si="10"/>
        <v>100</v>
      </c>
      <c r="T43" s="714" t="s">
        <v>17</v>
      </c>
      <c r="U43" s="715">
        <f t="shared" si="11"/>
        <v>100</v>
      </c>
      <c r="V43" s="714" t="s">
        <v>17</v>
      </c>
      <c r="W43" s="715">
        <f t="shared" si="12"/>
        <v>100</v>
      </c>
      <c r="X43" s="1538"/>
      <c r="Y43" s="3322"/>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2"/>
      <c r="Q44" s="1535">
        <f t="shared" si="14"/>
        <v>111</v>
      </c>
      <c r="R44" s="714" t="s">
        <v>17</v>
      </c>
      <c r="S44" s="715">
        <f t="shared" si="10"/>
        <v>100</v>
      </c>
      <c r="T44" s="714" t="s">
        <v>17</v>
      </c>
      <c r="U44" s="715">
        <f t="shared" si="11"/>
        <v>100</v>
      </c>
      <c r="V44" s="714" t="s">
        <v>17</v>
      </c>
      <c r="W44" s="715">
        <f t="shared" si="12"/>
        <v>100</v>
      </c>
      <c r="X44" s="1538"/>
      <c r="Y44" s="3322"/>
      <c r="Z44" s="1539">
        <f t="shared" si="13"/>
        <v>111</v>
      </c>
      <c r="AA44" s="1536">
        <f t="shared" si="3"/>
        <v>1</v>
      </c>
      <c r="AB44" s="1536">
        <f t="shared" si="4"/>
        <v>1</v>
      </c>
      <c r="AC44" s="1536">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2"/>
      <c r="Q45" s="1535">
        <f t="shared" si="14"/>
        <v>111</v>
      </c>
      <c r="R45" s="717" t="s">
        <v>17</v>
      </c>
      <c r="S45" s="718">
        <f t="shared" si="10"/>
        <v>100</v>
      </c>
      <c r="T45" s="717" t="s">
        <v>17</v>
      </c>
      <c r="U45" s="718">
        <f t="shared" si="11"/>
        <v>100</v>
      </c>
      <c r="V45" s="717" t="s">
        <v>17</v>
      </c>
      <c r="W45" s="718">
        <f t="shared" si="12"/>
        <v>100</v>
      </c>
      <c r="X45" s="719"/>
      <c r="Y45" s="3322"/>
      <c r="Z45" s="720">
        <f t="shared" si="13"/>
        <v>111</v>
      </c>
      <c r="AA45" s="1536">
        <f t="shared" si="3"/>
        <v>1</v>
      </c>
      <c r="AB45" s="1536">
        <f t="shared" si="4"/>
        <v>1</v>
      </c>
      <c r="AC45" s="1536">
        <f t="shared" si="5"/>
        <v>1</v>
      </c>
    </row>
    <row r="46" spans="1:29" ht="15">
      <c r="A46" s="438" t="s">
        <v>2541</v>
      </c>
      <c r="B46" s="2166" t="s">
        <v>3667</v>
      </c>
      <c r="C46" s="638" t="s">
        <v>1</v>
      </c>
      <c r="D46" s="440"/>
      <c r="E46" s="3437">
        <f>Sheet2!$L$2</f>
        <v>35093.56</v>
      </c>
      <c r="F46" s="442"/>
      <c r="G46" s="443">
        <f>Sheet2!$L$8</f>
        <v>30866.97</v>
      </c>
      <c r="H46" s="444"/>
      <c r="I46" s="441">
        <f>Sheet2!$L$16</f>
        <v>30000</v>
      </c>
      <c r="J46" s="444"/>
      <c r="K46" s="723"/>
      <c r="L46" s="2951"/>
      <c r="M46" s="2952"/>
      <c r="N46" s="2943"/>
      <c r="O46" s="2952"/>
      <c r="P46" s="3304" t="str">
        <f>A46</f>
        <v>成交单价</v>
      </c>
      <c r="Q46" s="3304"/>
      <c r="R46" s="3317">
        <f>E46</f>
        <v>35093.56</v>
      </c>
      <c r="S46" s="3317"/>
      <c r="T46" s="3317">
        <f>G46</f>
        <v>30866.97</v>
      </c>
      <c r="U46" s="3317"/>
      <c r="V46" s="3317">
        <f>I46</f>
        <v>30000</v>
      </c>
      <c r="W46" s="3317"/>
      <c r="X46" s="699"/>
      <c r="Y46" s="721"/>
      <c r="Z46" s="699"/>
      <c r="AA46" s="699"/>
      <c r="AB46" s="699"/>
      <c r="AC46" s="699"/>
    </row>
    <row r="47" spans="1:29" ht="15.75" thickBot="1">
      <c r="A47" s="445" t="s">
        <v>2490</v>
      </c>
      <c r="B47" s="639"/>
      <c r="C47" s="448">
        <f>R48</f>
        <v>32793</v>
      </c>
      <c r="D47" s="2536" t="s">
        <v>2880</v>
      </c>
      <c r="E47" s="448">
        <f>R47</f>
        <v>37026</v>
      </c>
      <c r="F47" s="2537"/>
      <c r="G47" s="447">
        <f>T47</f>
        <v>30631</v>
      </c>
      <c r="H47" s="2537"/>
      <c r="I47" s="448">
        <f>V47</f>
        <v>30721</v>
      </c>
      <c r="J47" s="2537"/>
      <c r="K47" s="2539">
        <f>F47+H47+J47</f>
        <v>0</v>
      </c>
      <c r="L47" s="2951"/>
      <c r="M47" s="2952"/>
      <c r="N47" s="2952"/>
      <c r="O47" s="2952"/>
      <c r="P47" s="3304" t="str">
        <f>A47</f>
        <v>比较价值（元/平方米）</v>
      </c>
      <c r="Q47" s="3304"/>
      <c r="R47" s="3323">
        <f>ROUND(PRODUCT(R46,AA7:AA45),0)</f>
        <v>37026</v>
      </c>
      <c r="S47" s="3323"/>
      <c r="T47" s="3323">
        <f>ROUND(PRODUCT(T46,AB7:AB45),0)</f>
        <v>30631</v>
      </c>
      <c r="U47" s="3323"/>
      <c r="V47" s="3323">
        <f>ROUND(PRODUCT(V46,AC7:AC45),0)</f>
        <v>30721</v>
      </c>
      <c r="W47" s="3323"/>
      <c r="X47" s="699"/>
      <c r="Y47" s="699"/>
      <c r="Z47" s="699"/>
      <c r="AA47" s="699"/>
      <c r="AB47" s="699"/>
      <c r="AC47" s="699"/>
    </row>
    <row r="48" spans="1:29" ht="15.75" thickBot="1">
      <c r="A48" s="449" t="s">
        <v>2577</v>
      </c>
      <c r="B48" s="450"/>
      <c r="C48" s="451">
        <f>R48</f>
        <v>32793</v>
      </c>
      <c r="D48" s="451"/>
      <c r="E48" s="451"/>
      <c r="F48" s="451"/>
      <c r="G48" s="451"/>
      <c r="H48" s="451"/>
      <c r="I48" s="451"/>
      <c r="J48" s="451"/>
      <c r="K48" s="724"/>
      <c r="L48" s="2951"/>
      <c r="M48" s="2952"/>
      <c r="N48" s="2952"/>
      <c r="O48" s="2952"/>
      <c r="P48" s="3324" t="str">
        <f>A48</f>
        <v>估价对象XX用房的比较价值（楼面单价，元/平方米）</v>
      </c>
      <c r="Q48" s="3325"/>
      <c r="R48" s="3326">
        <f>ROUND(IF(D47="简单平均",AVERAGE(R47:W47),R47*F47+T47*H47+V47*J47),0)</f>
        <v>32793</v>
      </c>
      <c r="S48" s="3326"/>
      <c r="T48" s="3326"/>
      <c r="U48" s="3326"/>
      <c r="V48" s="3326"/>
      <c r="W48" s="332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5.5065373817874352E-2</v>
      </c>
      <c r="F51" s="457" t="str">
        <f>IF(OR(E51&gt;=0.3,E51&lt;=-0.3),"超过30%","")</f>
        <v/>
      </c>
      <c r="G51" s="456">
        <f>IF(G46&lt;G47,G47/G46-1,G46/G47-1)</f>
        <v>7.7036335738305262E-3</v>
      </c>
      <c r="H51" s="457" t="str">
        <f>IF(OR(G51&gt;=0.3,G51&lt;=-0.3),"超过30%","")</f>
        <v/>
      </c>
      <c r="I51" s="456">
        <f>IF(I46&lt;I47,I47/I46-1,I46/I47-1)</f>
        <v>2.4033333333333351E-2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0.20877542359048018</v>
      </c>
      <c r="F52" s="457" t="str">
        <f>IF(OR(E52&gt;=0.2,E52&lt;=-0.2),"超过20%","")</f>
        <v>超过20%</v>
      </c>
      <c r="G52" s="456">
        <f>IF(G47&lt;I47,I47/G47-1,G47/I47-1)</f>
        <v>2.9381998628839057E-3</v>
      </c>
      <c r="H52" s="457" t="str">
        <f>IF(OR(G52&gt;=0.2,G52&lt;=-0.2),"超过20%","")</f>
        <v/>
      </c>
      <c r="I52" s="456">
        <f>IF(I47&lt;E47,E47/I47-1,I47/E47-1)</f>
        <v>0.20523420461573516</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0.13692921592239204</v>
      </c>
      <c r="F53" s="457" t="str">
        <f>IF(OR(E53&gt;=0.3,E53&lt;=-0.3),"超过30%","")</f>
        <v/>
      </c>
      <c r="G53" s="456">
        <f>IF(G46&lt;I46,I46/G46-1,G46/I46-1)</f>
        <v>2.8899000000000008E-2</v>
      </c>
      <c r="H53" s="457" t="str">
        <f>IF(OR(G53&gt;=0.3,G53&lt;=-0.3),"超过30%","")</f>
        <v/>
      </c>
      <c r="I53" s="456">
        <f>IF(I46&lt;E46,E46/I46-1,I46/E46-1)</f>
        <v>0.16978533333333323</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3696</v>
      </c>
      <c r="D55" s="2168" t="s">
        <v>2581</v>
      </c>
      <c r="E55" s="642" t="s">
        <v>2582</v>
      </c>
      <c r="F55" s="1020" t="s">
        <v>2583</v>
      </c>
      <c r="G55" s="3305" t="s">
        <v>2584</v>
      </c>
      <c r="H55" s="3327"/>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f>C48</f>
        <v>32793</v>
      </c>
      <c r="C56" s="646">
        <v>1</v>
      </c>
      <c r="D56" s="1074">
        <v>1</v>
      </c>
      <c r="E56" s="646">
        <f>'数据-汇总表'!E8+'数据-汇总表'!E9</f>
        <v>51887.190000000039</v>
      </c>
      <c r="F56" s="1016">
        <f t="shared" ref="F56:F65" si="15">ROUND(B56*E56/10000,0)</f>
        <v>170154</v>
      </c>
      <c r="G56" s="3328"/>
      <c r="H56" s="3304"/>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f>ROUND($C$48*C57*D57,0)</f>
        <v>0</v>
      </c>
      <c r="C57" s="176">
        <f t="shared" ref="C57:C65" si="16">IF($C$55="北京市系数",I57,J57)</f>
        <v>0</v>
      </c>
      <c r="D57" s="1075">
        <v>0.25</v>
      </c>
      <c r="E57" s="650">
        <f>'数据-汇总表'!G20</f>
        <v>5379.1</v>
      </c>
      <c r="F57" s="1016">
        <f t="shared" si="15"/>
        <v>0</v>
      </c>
      <c r="G57" s="3329" t="s">
        <v>2589</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f t="shared" ref="B58:B65" si="17">ROUND($C$48*C58*D58,0)</f>
        <v>0</v>
      </c>
      <c r="C58" s="176">
        <f t="shared" si="16"/>
        <v>0</v>
      </c>
      <c r="D58" s="1075">
        <v>0.25</v>
      </c>
      <c r="E58" s="650"/>
      <c r="F58" s="1016">
        <f t="shared" si="15"/>
        <v>0</v>
      </c>
      <c r="G58" s="3329"/>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f t="shared" si="17"/>
        <v>0</v>
      </c>
      <c r="C59" s="176">
        <f t="shared" si="16"/>
        <v>0</v>
      </c>
      <c r="D59" s="1075">
        <v>0.25</v>
      </c>
      <c r="E59" s="650"/>
      <c r="F59" s="1016">
        <f t="shared" si="15"/>
        <v>0</v>
      </c>
      <c r="G59" s="3329"/>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f t="shared" si="17"/>
        <v>0</v>
      </c>
      <c r="C60" s="176">
        <f t="shared" si="16"/>
        <v>0</v>
      </c>
      <c r="D60" s="1075">
        <v>0.25</v>
      </c>
      <c r="E60" s="650"/>
      <c r="F60" s="1016">
        <f t="shared" si="15"/>
        <v>0</v>
      </c>
      <c r="G60" s="3329"/>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f t="shared" si="17"/>
        <v>0</v>
      </c>
      <c r="C61" s="176">
        <f t="shared" si="16"/>
        <v>0</v>
      </c>
      <c r="D61" s="1075">
        <v>0.25</v>
      </c>
      <c r="E61" s="223">
        <f>'数据-汇总表'!E11</f>
        <v>0</v>
      </c>
      <c r="F61" s="1016">
        <f t="shared" si="15"/>
        <v>0</v>
      </c>
      <c r="G61" s="2171" t="s">
        <v>2594</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f t="shared" si="17"/>
        <v>0</v>
      </c>
      <c r="C62" s="176">
        <f t="shared" si="16"/>
        <v>0</v>
      </c>
      <c r="D62" s="1075">
        <v>0.25</v>
      </c>
      <c r="E62" s="223">
        <f>'数据-汇总表'!E12</f>
        <v>136.68</v>
      </c>
      <c r="F62" s="1016">
        <f t="shared" si="15"/>
        <v>0</v>
      </c>
      <c r="G62" s="1022" t="s">
        <v>2596</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f t="shared" si="17"/>
        <v>0</v>
      </c>
      <c r="C63" s="176">
        <f t="shared" si="16"/>
        <v>0</v>
      </c>
      <c r="D63" s="1075">
        <v>0.25</v>
      </c>
      <c r="E63" s="223">
        <f>'数据-汇总表'!E13</f>
        <v>0</v>
      </c>
      <c r="F63" s="1016">
        <f t="shared" si="15"/>
        <v>0</v>
      </c>
      <c r="G63" s="1022" t="s">
        <v>2598</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f t="shared" si="17"/>
        <v>0</v>
      </c>
      <c r="C64" s="176">
        <f t="shared" si="16"/>
        <v>0</v>
      </c>
      <c r="D64" s="1075">
        <v>0.25</v>
      </c>
      <c r="E64" s="223">
        <f>'数据-汇总表'!E14</f>
        <v>0</v>
      </c>
      <c r="F64" s="1016">
        <f t="shared" si="15"/>
        <v>0</v>
      </c>
      <c r="G64" s="2171" t="s">
        <v>2589</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f t="shared" si="17"/>
        <v>0</v>
      </c>
      <c r="C65" s="176">
        <f t="shared" si="16"/>
        <v>0</v>
      </c>
      <c r="D65" s="1075">
        <v>0.25</v>
      </c>
      <c r="E65" s="223">
        <f>'数据-汇总表'!E15</f>
        <v>14680.529999999908</v>
      </c>
      <c r="F65" s="1016">
        <f t="shared" si="15"/>
        <v>0</v>
      </c>
      <c r="G65" s="2172" t="s">
        <v>2594</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72083.499999999942</v>
      </c>
      <c r="F66" s="653">
        <f>IF(B46="楼面地价",SUM(F56:F65),ROUND(C48*E66/10000,0))</f>
        <v>170154</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8"/>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北京市平均增长率0.00%</v>
      </c>
      <c r="C71" s="560">
        <v>100</v>
      </c>
      <c r="D71" s="552">
        <v>99.5</v>
      </c>
      <c r="E71" s="552">
        <v>99</v>
      </c>
      <c r="F71" s="552">
        <v>98.5</v>
      </c>
      <c r="G71" s="552">
        <v>98</v>
      </c>
      <c r="H71" s="552">
        <v>97.5</v>
      </c>
      <c r="I71" s="552">
        <v>97</v>
      </c>
      <c r="J71" s="552">
        <v>96.5</v>
      </c>
      <c r="K71" s="552">
        <v>96</v>
      </c>
      <c r="L71" s="552">
        <v>95.5</v>
      </c>
      <c r="M71" s="552">
        <v>95</v>
      </c>
      <c r="N71" s="552">
        <v>94.5</v>
      </c>
      <c r="O71" s="552">
        <v>94</v>
      </c>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0（含）-2</v>
      </c>
      <c r="D79" s="504" t="str">
        <f t="shared" ref="D79:L79" si="20">D80&amp;"（含）"&amp;"-"&amp;E80</f>
        <v>2（含）-4</v>
      </c>
      <c r="E79" s="504" t="str">
        <f t="shared" si="20"/>
        <v>4（含）-6</v>
      </c>
      <c r="F79" s="504" t="str">
        <f t="shared" si="20"/>
        <v>6（含）-8</v>
      </c>
      <c r="G79" s="504" t="str">
        <f t="shared" si="20"/>
        <v>8（含）-10</v>
      </c>
      <c r="H79" s="504" t="str">
        <f t="shared" si="20"/>
        <v>10（含）-12</v>
      </c>
      <c r="I79" s="504" t="str">
        <f t="shared" si="20"/>
        <v>12（含）-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2</v>
      </c>
      <c r="E80" s="506">
        <v>4</v>
      </c>
      <c r="F80" s="506">
        <v>6</v>
      </c>
      <c r="G80" s="506">
        <v>8</v>
      </c>
      <c r="H80" s="506">
        <v>10</v>
      </c>
      <c r="I80" s="506">
        <v>12</v>
      </c>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2384</v>
      </c>
      <c r="B116" s="485" t="s">
        <v>2611</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40000(含)-50000</v>
      </c>
      <c r="H116" s="486" t="str">
        <f t="shared" si="25"/>
        <v>50000(含)-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3091" t="s">
        <v>3726</v>
      </c>
      <c r="D123" s="3091" t="s">
        <v>3728</v>
      </c>
      <c r="E123" s="3091" t="s">
        <v>3729</v>
      </c>
      <c r="F123" s="3091" t="s">
        <v>3727</v>
      </c>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7" sqref="B27"/>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2347</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409367</v>
      </c>
      <c r="C2" s="2056" t="s">
        <v>2340</v>
      </c>
      <c r="D2" s="2057" t="s">
        <v>2341</v>
      </c>
      <c r="E2" s="2831">
        <f>SUM(E6:E13)</f>
        <v>71765.379999999946</v>
      </c>
      <c r="F2" s="2934"/>
      <c r="G2" s="1673"/>
      <c r="H2" s="1673"/>
      <c r="I2" s="1673">
        <f ca="1">结果表!G19</f>
        <v>366886</v>
      </c>
      <c r="J2" s="1673"/>
      <c r="K2" s="1673"/>
      <c r="L2" s="1673"/>
      <c r="M2" s="1673"/>
      <c r="N2" s="1673"/>
      <c r="O2" s="1673"/>
      <c r="P2" s="1673"/>
      <c r="Q2" s="1673"/>
      <c r="R2" s="1673"/>
      <c r="S2" s="1673"/>
    </row>
    <row r="3" spans="1:22" ht="15.75">
      <c r="A3" s="2054" t="s">
        <v>1360</v>
      </c>
      <c r="B3" s="2825">
        <f ca="1">ROUND(B2*10000/E2,0)</f>
        <v>57042</v>
      </c>
      <c r="C3" s="2056" t="s">
        <v>2348</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2342</v>
      </c>
      <c r="B5" s="3330" t="s">
        <v>2343</v>
      </c>
      <c r="C5" s="3331"/>
      <c r="D5" s="2935"/>
      <c r="E5" s="2058" t="s">
        <v>2344</v>
      </c>
      <c r="F5" s="2059" t="s">
        <v>2345</v>
      </c>
      <c r="G5" s="1673"/>
      <c r="H5" s="1673"/>
      <c r="I5" s="1673"/>
      <c r="J5" s="1673"/>
      <c r="K5" s="1673"/>
      <c r="L5" s="1673"/>
      <c r="M5" s="1673"/>
      <c r="N5" s="1673"/>
      <c r="O5" s="1673"/>
      <c r="P5" s="1673"/>
      <c r="Q5" s="1673"/>
      <c r="R5" s="1673"/>
      <c r="S5" s="1673"/>
    </row>
    <row r="6" spans="1:22">
      <c r="A6" s="2828" t="str">
        <f>'数据-取费表'!AN6</f>
        <v>收益法</v>
      </c>
      <c r="B6" s="2826">
        <f ca="1">IF(F6="是",'数据-取费表'!AO6,0)</f>
        <v>350707</v>
      </c>
      <c r="C6" s="2056" t="s">
        <v>2340</v>
      </c>
      <c r="D6" s="2936"/>
      <c r="E6" s="2830">
        <f>IF(OR(A6=0,F6="否"),0,'数据-取费表'!K6+'数据-取费表'!S6)</f>
        <v>46753.740000000034</v>
      </c>
      <c r="F6" s="2060" t="s">
        <v>2346</v>
      </c>
      <c r="G6" s="1673"/>
      <c r="H6" s="1673"/>
      <c r="I6" s="1673">
        <f ca="1">$I$2*B6/$B$2</f>
        <v>314313.28954703239</v>
      </c>
      <c r="J6" s="1673">
        <f ca="1">I6*10000/E6</f>
        <v>67227.41101504011</v>
      </c>
      <c r="K6" s="1673"/>
      <c r="L6" s="1673"/>
      <c r="M6" s="1673"/>
      <c r="N6" s="1673"/>
      <c r="O6" s="1673"/>
      <c r="P6" s="1673"/>
      <c r="Q6" s="1673"/>
      <c r="R6" s="1673"/>
      <c r="S6" s="1673"/>
    </row>
    <row r="7" spans="1:22">
      <c r="A7" s="2828" t="str">
        <f>'数据-取费表'!AN7</f>
        <v>收益法-商业</v>
      </c>
      <c r="B7" s="2826">
        <f ca="1">IF(F7="是",'数据-取费表'!AO7,0)</f>
        <v>47463</v>
      </c>
      <c r="C7" s="2056" t="s">
        <v>2340</v>
      </c>
      <c r="D7" s="2936"/>
      <c r="E7" s="2830">
        <f>IF(OR(A7=0,F7="否"),0,'数据-取费表'!K7+'数据-取费表'!S7)</f>
        <v>10331.11</v>
      </c>
      <c r="F7" s="2060" t="s">
        <v>2346</v>
      </c>
      <c r="G7" s="1673"/>
      <c r="H7" s="1673"/>
      <c r="I7" s="1673">
        <f t="shared" ref="I7:I8" ca="1" si="0">$I$2*B7/$B$2</f>
        <v>42537.650123239051</v>
      </c>
      <c r="J7" s="1673">
        <f t="shared" ref="J7:J8" ca="1" si="1">I7*10000/E7</f>
        <v>41174.326982520804</v>
      </c>
      <c r="K7" s="1673"/>
      <c r="L7" s="1673"/>
      <c r="M7" s="1673"/>
      <c r="N7" s="1673"/>
      <c r="O7" s="1673"/>
      <c r="P7" s="1673"/>
      <c r="Q7" s="1673"/>
      <c r="R7" s="1673"/>
      <c r="S7" s="1673"/>
    </row>
    <row r="8" spans="1:22">
      <c r="A8" s="2828" t="str">
        <f>'数据-取费表'!AN8</f>
        <v>收益法-车库</v>
      </c>
      <c r="B8" s="2826">
        <f ca="1">IF(F8="是",'数据-取费表'!AO8,0)</f>
        <v>11197</v>
      </c>
      <c r="C8" s="2056" t="s">
        <v>2340</v>
      </c>
      <c r="D8" s="2936"/>
      <c r="E8" s="2830">
        <f>IF(OR(A8=0,F8="否"),0,'数据-取费表'!K8+'数据-取费表'!S8)</f>
        <v>14680.529999999908</v>
      </c>
      <c r="F8" s="2060" t="s">
        <v>2346</v>
      </c>
      <c r="G8" s="1673"/>
      <c r="H8" s="1673"/>
      <c r="I8" s="1673">
        <f t="shared" ca="1" si="0"/>
        <v>10035.060329728582</v>
      </c>
      <c r="J8" s="1673">
        <f t="shared" ca="1" si="1"/>
        <v>6835.6253689264922</v>
      </c>
      <c r="K8" s="1673"/>
      <c r="L8" s="1673"/>
      <c r="M8" s="1673"/>
      <c r="N8" s="1673"/>
      <c r="O8" s="1673"/>
      <c r="P8" s="1673"/>
      <c r="Q8" s="1673"/>
      <c r="R8" s="1673"/>
      <c r="S8" s="1673"/>
    </row>
    <row r="9" spans="1:22">
      <c r="A9" s="2828">
        <f>'数据-取费表'!AN9</f>
        <v>0</v>
      </c>
      <c r="B9" s="2826" t="e">
        <f ca="1">IF(F9="是",'数据-取费表'!AO9,0)</f>
        <v>#REF!</v>
      </c>
      <c r="C9" s="2056" t="s">
        <v>2340</v>
      </c>
      <c r="D9" s="2936"/>
      <c r="E9" s="2830">
        <f>IF(OR(A9=0,F9="否"),0,'数据-取费表'!K9+'数据-取费表'!S9)</f>
        <v>0</v>
      </c>
      <c r="F9" s="2060" t="s">
        <v>2346</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2340</v>
      </c>
      <c r="D10" s="2936"/>
      <c r="E10" s="2830">
        <f>IF(OR(A10=0,F10="否"),0,'数据-取费表'!K10+'数据-取费表'!S10)</f>
        <v>0</v>
      </c>
      <c r="F10" s="2060" t="s">
        <v>2346</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2340</v>
      </c>
      <c r="D11" s="2936"/>
      <c r="E11" s="2830">
        <f>IF(OR(A11=0,F11="否"),0,'数据-取费表'!K11+'数据-取费表'!S11)</f>
        <v>0</v>
      </c>
      <c r="F11" s="2060" t="s">
        <v>2346</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2340</v>
      </c>
      <c r="D12" s="2936"/>
      <c r="E12" s="2830">
        <f>IF(OR(A12=0,F12="否"),0,'数据-取费表'!K12+'数据-取费表'!S12)</f>
        <v>0</v>
      </c>
      <c r="F12" s="2060" t="s">
        <v>2346</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3"/>
      <c r="H13" s="1673"/>
      <c r="I13" s="1673">
        <v>0.63</v>
      </c>
      <c r="J13" s="1673"/>
      <c r="K13" s="1673"/>
      <c r="L13" s="1673"/>
      <c r="M13" s="1673"/>
      <c r="N13" s="1673"/>
      <c r="O13" s="1673"/>
      <c r="P13" s="1673"/>
      <c r="Q13" s="1673"/>
      <c r="R13" s="1673"/>
      <c r="S13" s="1673"/>
    </row>
    <row r="14" spans="1:22">
      <c r="A14" s="1673"/>
      <c r="B14" s="1673"/>
      <c r="C14" s="1673"/>
      <c r="D14" s="1673"/>
      <c r="E14" s="1673"/>
      <c r="F14" s="1673"/>
      <c r="G14" s="1673"/>
      <c r="H14" s="1673"/>
      <c r="I14" s="1673">
        <f ca="1">I2*I13</f>
        <v>231138.18</v>
      </c>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70</v>
      </c>
      <c r="E1" s="1546" t="s">
        <v>1352</v>
      </c>
      <c r="F1" s="1192">
        <f ca="1">J53</f>
        <v>42.15</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350707</v>
      </c>
      <c r="C2" s="1570" t="s">
        <v>1481</v>
      </c>
      <c r="D2" s="1570"/>
      <c r="E2" s="1571"/>
      <c r="F2" s="1572"/>
      <c r="G2" s="2933"/>
      <c r="H2" s="2922"/>
      <c r="I2" s="2922"/>
      <c r="J2" s="2922"/>
      <c r="K2" s="2923"/>
      <c r="L2" s="2922"/>
      <c r="M2" s="2922"/>
    </row>
    <row r="3" spans="1:37" ht="18" customHeight="1" thickBot="1">
      <c r="A3" s="1573" t="s">
        <v>1482</v>
      </c>
      <c r="B3" s="1574">
        <f ca="1">IF(ISERROR(B2*10000/F43),0,ROUND(B2*10000/F43,0))</f>
        <v>75012</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17684</v>
      </c>
      <c r="D5" s="1547" t="s">
        <v>1367</v>
      </c>
      <c r="E5" s="1202"/>
      <c r="F5" s="1203"/>
      <c r="G5" s="1567"/>
      <c r="H5" s="305">
        <v>1</v>
      </c>
      <c r="I5" s="306" t="s">
        <v>1366</v>
      </c>
      <c r="J5" s="1201">
        <f ca="1">J6+J10+J12</f>
        <v>0</v>
      </c>
      <c r="K5" s="1547" t="s">
        <v>1367</v>
      </c>
      <c r="L5" s="1202"/>
      <c r="M5" s="1203"/>
    </row>
    <row r="6" spans="1:37" ht="18" customHeight="1">
      <c r="A6" s="1200" t="s">
        <v>1003</v>
      </c>
      <c r="B6" s="3334" t="s">
        <v>1368</v>
      </c>
      <c r="C6" s="1205">
        <f ca="1">ROUND(F6*F8*F7*(1-F9)/10000,0)</f>
        <v>17662</v>
      </c>
      <c r="D6" s="160" t="s">
        <v>2850</v>
      </c>
      <c r="E6" s="308" t="s">
        <v>1370</v>
      </c>
      <c r="F6" s="309">
        <f ca="1">INDIRECT("'数据-取费表'!u"&amp;$G$1)</f>
        <v>11.5</v>
      </c>
      <c r="G6" s="1567"/>
      <c r="H6" s="1200" t="s">
        <v>1003</v>
      </c>
      <c r="I6" s="3334" t="s">
        <v>1368</v>
      </c>
      <c r="J6" s="307">
        <f ca="1">ROUND(M6*M8*M7*(1-M9)/10000,0)</f>
        <v>0</v>
      </c>
      <c r="K6" s="160" t="s">
        <v>2849</v>
      </c>
      <c r="L6" s="308" t="s">
        <v>1370</v>
      </c>
      <c r="M6" s="309">
        <f ca="1">INDIRECT("'数据-取费表'!z"&amp;$G$1)</f>
        <v>0</v>
      </c>
    </row>
    <row r="7" spans="1:37" ht="18" customHeight="1">
      <c r="A7" s="1204"/>
      <c r="B7" s="3335"/>
      <c r="C7" s="1206"/>
      <c r="D7" s="313"/>
      <c r="E7" s="1207" t="s">
        <v>1371</v>
      </c>
      <c r="F7" s="309">
        <f ca="1">IF(INDIRECT("'数据-取费表'!ah"&amp;$G$1)="",INDIRECT("'数据-取费表'!k"&amp;$G$1),INDIRECT("'数据-取费表'!ah"&amp;$G$1))</f>
        <v>46753.740000000034</v>
      </c>
      <c r="G7" s="1567"/>
      <c r="H7" s="310"/>
      <c r="I7" s="3335"/>
      <c r="J7" s="312"/>
      <c r="K7" s="313"/>
      <c r="L7" s="308" t="s">
        <v>1371</v>
      </c>
      <c r="M7" s="309">
        <f ca="1">F7</f>
        <v>46753.740000000034</v>
      </c>
    </row>
    <row r="8" spans="1:37" ht="18" customHeight="1">
      <c r="A8" s="310"/>
      <c r="B8" s="3335"/>
      <c r="C8" s="312"/>
      <c r="D8" s="313"/>
      <c r="E8" s="308" t="s">
        <v>1372</v>
      </c>
      <c r="F8" s="309">
        <f ca="1">INDIRECT("'数据-取费表'!ai"&amp;$G$1)</f>
        <v>365</v>
      </c>
      <c r="G8" s="1567"/>
      <c r="H8" s="310"/>
      <c r="I8" s="3335"/>
      <c r="J8" s="312"/>
      <c r="K8" s="313"/>
      <c r="L8" s="308" t="s">
        <v>1372</v>
      </c>
      <c r="M8" s="309">
        <f ca="1">INDIRECT("'数据-取费表'!ai"&amp;$G$1)</f>
        <v>365</v>
      </c>
    </row>
    <row r="9" spans="1:37" ht="18" customHeight="1">
      <c r="A9" s="310"/>
      <c r="B9" s="3336"/>
      <c r="C9" s="312"/>
      <c r="D9" s="313"/>
      <c r="E9" s="308" t="s">
        <v>1373</v>
      </c>
      <c r="F9" s="318">
        <f ca="1">INDIRECT("'数据-取费表'!w"&amp;$G$1)</f>
        <v>0.1</v>
      </c>
      <c r="G9" s="1567"/>
      <c r="H9" s="310"/>
      <c r="I9" s="3336"/>
      <c r="J9" s="312"/>
      <c r="K9" s="313"/>
      <c r="L9" s="319" t="s">
        <v>1373</v>
      </c>
      <c r="M9" s="320">
        <f ca="1">INDIRECT("'数据-取费表'!ab"&amp;$G$1)</f>
        <v>0</v>
      </c>
    </row>
    <row r="10" spans="1:37" ht="18" customHeight="1">
      <c r="A10" s="1200" t="s">
        <v>1007</v>
      </c>
      <c r="B10" s="1548" t="s">
        <v>1374</v>
      </c>
      <c r="C10" s="322">
        <f ca="1">ROUND(IF(F10="押一",C6/12*F11,IF(F10="押二",C6/12*2*F11,IF(F10="押三",C6/12*3*F11,C11*F11))),0)</f>
        <v>22</v>
      </c>
      <c r="D10" s="1549" t="s">
        <v>2858</v>
      </c>
      <c r="E10" s="319" t="s">
        <v>1375</v>
      </c>
      <c r="F10" s="1275" t="s">
        <v>3668</v>
      </c>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34864</v>
      </c>
      <c r="D13" s="1240" t="s">
        <v>1380</v>
      </c>
      <c r="E13" s="1240" t="s">
        <v>1381</v>
      </c>
      <c r="F13" s="1241">
        <f ca="1">INDIRECT("'数据-取费表'!y"&amp;$G$1)</f>
        <v>0.98</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23377</v>
      </c>
      <c r="D14" s="1528" t="s">
        <v>1383</v>
      </c>
      <c r="E14" s="1525"/>
      <c r="F14" s="325"/>
      <c r="G14" s="1567"/>
      <c r="H14" s="1112" t="s">
        <v>1003</v>
      </c>
      <c r="I14" s="308" t="s">
        <v>1384</v>
      </c>
      <c r="J14" s="24">
        <f ca="1">C29</f>
        <v>35576</v>
      </c>
      <c r="K14" s="15"/>
      <c r="L14" s="915"/>
      <c r="M14" s="916"/>
    </row>
    <row r="15" spans="1:37" s="1580" customFormat="1" ht="18" customHeight="1" thickBot="1">
      <c r="A15" s="1112" t="s">
        <v>1004</v>
      </c>
      <c r="B15" s="308" t="s">
        <v>1385</v>
      </c>
      <c r="C15" s="24">
        <f ca="1">ROUND(C14*F15,0)</f>
        <v>701</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847</v>
      </c>
      <c r="K16" s="1246" t="s">
        <v>1390</v>
      </c>
      <c r="L16" s="1247"/>
      <c r="M16" s="1203"/>
    </row>
    <row r="17" spans="1:37" s="1580" customFormat="1" ht="18" customHeight="1">
      <c r="A17" s="1112" t="s">
        <v>1355</v>
      </c>
      <c r="B17" s="308" t="s">
        <v>1391</v>
      </c>
      <c r="C17" s="24">
        <f ca="1">ROUND(F17*(F43+INDIRECT("'数据-取费表'!S"&amp;$G$1))/10000,0)</f>
        <v>935</v>
      </c>
      <c r="D17" s="308" t="s">
        <v>1392</v>
      </c>
      <c r="E17" s="308" t="s">
        <v>1393</v>
      </c>
      <c r="F17" s="26">
        <f>'数据-取费表'!B35</f>
        <v>200</v>
      </c>
      <c r="G17" s="1579"/>
      <c r="H17" s="1112" t="s">
        <v>1003</v>
      </c>
      <c r="I17" s="308" t="s">
        <v>1394</v>
      </c>
      <c r="J17" s="2532">
        <f ca="1">ROUND(IF(AND(项目基本情况!B11="自然人",项目基本情况!B10="北京市"),J6*M17/(1+'数据-取费表'!C42),J18+J19+J20),0)</f>
        <v>313</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351</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25364</v>
      </c>
      <c r="D19" s="136" t="s">
        <v>1401</v>
      </c>
      <c r="E19" s="1543"/>
      <c r="F19" s="26"/>
      <c r="G19" s="1567"/>
      <c r="H19" s="1112" t="s">
        <v>1004</v>
      </c>
      <c r="I19" s="308" t="s">
        <v>1402</v>
      </c>
      <c r="J19" s="24">
        <f ca="1">IF(K19="按租金收入计税",ROUND(J6*M19/(1+'数据-取费表'!C42),2),ROUND(C29*M19*0.7,2))</f>
        <v>298.83999999999997</v>
      </c>
      <c r="K19" s="1553" t="s">
        <v>1403</v>
      </c>
      <c r="L19" s="308" t="s">
        <v>1387</v>
      </c>
      <c r="M19" s="328">
        <f>IF(K19="按租金收入计税",'数据-取费表'!B51,'数据-取费表'!B50)</f>
        <v>1.2E-2</v>
      </c>
    </row>
    <row r="20" spans="1:37" s="1580" customFormat="1" ht="18" customHeight="1">
      <c r="A20" s="1112" t="s">
        <v>1007</v>
      </c>
      <c r="B20" s="308" t="s">
        <v>1404</v>
      </c>
      <c r="C20" s="24">
        <f ca="1">ROUND(C19*F20,0)</f>
        <v>761</v>
      </c>
      <c r="D20" s="329" t="s">
        <v>1405</v>
      </c>
      <c r="E20" s="308" t="s">
        <v>1387</v>
      </c>
      <c r="F20" s="328">
        <f>'数据-取费表'!B37</f>
        <v>0.03</v>
      </c>
      <c r="G20" s="1579"/>
      <c r="H20" s="1112" t="s">
        <v>1354</v>
      </c>
      <c r="I20" s="160" t="s">
        <v>1406</v>
      </c>
      <c r="J20" s="25">
        <f ca="1">ROUND(M20*M21/10000,2)</f>
        <v>14.38</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7191.74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533.6</v>
      </c>
      <c r="K22" s="1527" t="s">
        <v>1415</v>
      </c>
      <c r="L22" s="308" t="s">
        <v>1387</v>
      </c>
      <c r="M22" s="334">
        <f ca="1">INDIRECT("'数据-取费表'!Ak"&amp;$G$1)</f>
        <v>1.4999999999999999E-2</v>
      </c>
    </row>
    <row r="23" spans="1:37" s="1580" customFormat="1" ht="18" customHeight="1">
      <c r="A23" s="1112" t="s">
        <v>1002</v>
      </c>
      <c r="B23" s="308" t="s">
        <v>1416</v>
      </c>
      <c r="C23" s="24">
        <f ca="1">IF('数据-取费表'!B22&lt;=1,ROUND(C19*F24*F23/2,0)+ROUND(C20*F24*F23/2,0),ROUND(C19*(POWER((1+F24),F23/2)-1),0)+ROUND(C20*(POWER((1+F24),F23/2)-1),0))</f>
        <v>1006</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1358</v>
      </c>
      <c r="I24" s="1249" t="s">
        <v>1404</v>
      </c>
      <c r="J24" s="1250">
        <f ca="1">ROUND(J5*M24,1)</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-847</v>
      </c>
      <c r="K25" s="1254" t="s">
        <v>1429</v>
      </c>
      <c r="L25" s="1255"/>
      <c r="M25" s="1256"/>
    </row>
    <row r="26" spans="1:37">
      <c r="A26" s="1112" t="s">
        <v>1002</v>
      </c>
      <c r="B26" s="308" t="s">
        <v>1430</v>
      </c>
      <c r="C26" s="24">
        <f ca="1">ROUND((C19+C20)*F26,0)</f>
        <v>5225</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6.0000000000000001E-3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35576</v>
      </c>
      <c r="D29" s="1251"/>
      <c r="E29" s="1249"/>
      <c r="F29" s="1252"/>
      <c r="G29" s="1579"/>
      <c r="H29" s="340" t="s">
        <v>1001</v>
      </c>
      <c r="I29" s="341" t="s">
        <v>1444</v>
      </c>
      <c r="J29" s="342">
        <f ca="1">ROUND(J26/(1+F40)^F41,0)</f>
        <v>0</v>
      </c>
      <c r="K29" s="343" t="s">
        <v>1445</v>
      </c>
      <c r="L29" s="344"/>
      <c r="M29" s="345">
        <f ca="1">INDIRECT("'数据-取费表'!k"&amp;$G$1)</f>
        <v>46753.740000000034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3915</v>
      </c>
      <c r="D30" s="1246" t="s">
        <v>1390</v>
      </c>
      <c r="E30" s="1247"/>
      <c r="F30" s="1203"/>
      <c r="G30" s="1567"/>
      <c r="H30" s="2924"/>
      <c r="I30" s="1581"/>
      <c r="J30" s="1582"/>
      <c r="K30" s="2699"/>
      <c r="L30" s="2925"/>
      <c r="M30" s="2926"/>
    </row>
    <row r="31" spans="1:37" ht="18" customHeight="1">
      <c r="A31" s="1112" t="s">
        <v>1003</v>
      </c>
      <c r="B31" s="308" t="s">
        <v>1394</v>
      </c>
      <c r="C31" s="2532">
        <f ca="1">ROUND(IF(AND(项目基本情况!B11="自然人",项目基本情况!B10="北京市"),C6*F31/(1+'数据-取费表'!C42),C32+C33+C34),0)</f>
        <v>2975</v>
      </c>
      <c r="D31" s="1528" t="s">
        <v>1395</v>
      </c>
      <c r="E31" s="1527" t="s">
        <v>1446</v>
      </c>
      <c r="F31" s="2531" t="str">
        <f>IF(项目基本情况!B11="企业","——",IF('数据-取费表'!B10="住宅",IF(F6*F7*F8/12/(1+'数据-取费表'!F30)&gt;100000,4%,2.5%),IF(F6*F7*F8/12/(1+'数据-取费表'!F30)&gt;100000,12%,7%)))</f>
        <v>——</v>
      </c>
      <c r="G31" s="1567"/>
      <c r="H31" s="3037" t="s">
        <v>3057</v>
      </c>
      <c r="I31" s="1581"/>
      <c r="J31" s="1582"/>
      <c r="K31" s="2699"/>
      <c r="L31" s="2925"/>
      <c r="M31" s="2926"/>
    </row>
    <row r="32" spans="1:37" ht="18" customHeight="1">
      <c r="A32" s="1112" t="s">
        <v>1002</v>
      </c>
      <c r="B32" s="308" t="s">
        <v>1398</v>
      </c>
      <c r="C32" s="24">
        <f ca="1">IF(项目基本情况!B11="自然人","——",ROUND(C6*F32/(1+'数据-取费表'!C42),2))</f>
        <v>941.97</v>
      </c>
      <c r="D32" s="1527" t="s">
        <v>1399</v>
      </c>
      <c r="E32" s="308" t="s">
        <v>1387</v>
      </c>
      <c r="F32" s="337">
        <f>'数据-取费表'!B41</f>
        <v>5.6000000000000001E-2</v>
      </c>
      <c r="G32" s="1567"/>
      <c r="H32" s="2924"/>
      <c r="I32" s="1581"/>
      <c r="J32" s="1582"/>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2018.51</v>
      </c>
      <c r="D33" s="1553" t="s">
        <v>3669</v>
      </c>
      <c r="E33" s="308" t="s">
        <v>1387</v>
      </c>
      <c r="F33" s="328">
        <f>IF(D33="按票据","——",IF(D33="按租金收入计税",'数据-取费表'!B51,'数据-取费表'!B50))</f>
        <v>0.12</v>
      </c>
      <c r="G33" s="1567"/>
      <c r="H33" s="2927"/>
      <c r="I33" s="1581"/>
      <c r="J33" s="1582"/>
      <c r="K33" s="2928"/>
      <c r="L33" s="2927"/>
      <c r="M33" s="2927"/>
    </row>
    <row r="34" spans="1:18" ht="18" customHeight="1">
      <c r="A34" s="1200" t="s">
        <v>1354</v>
      </c>
      <c r="B34" s="160" t="s">
        <v>1406</v>
      </c>
      <c r="C34" s="25">
        <f ca="1">IF(项目基本情况!B11="自然人","——",ROUND(F34*F35/10000,2))</f>
        <v>14.38</v>
      </c>
      <c r="D34" s="330" t="s">
        <v>1407</v>
      </c>
      <c r="E34" s="308" t="s">
        <v>1408</v>
      </c>
      <c r="F34" s="331">
        <f>'数据-取费表'!B52</f>
        <v>20</v>
      </c>
      <c r="G34" s="1567"/>
      <c r="H34" s="2924"/>
      <c r="I34" s="1581"/>
      <c r="J34" s="1582"/>
      <c r="K34" s="2929"/>
      <c r="L34" s="2930"/>
      <c r="M34" s="2930"/>
    </row>
    <row r="35" spans="1:18" ht="18" customHeight="1">
      <c r="A35" s="1262"/>
      <c r="B35" s="1260"/>
      <c r="C35" s="29"/>
      <c r="D35" s="333"/>
      <c r="E35" s="308" t="s">
        <v>1412</v>
      </c>
      <c r="F35" s="309">
        <f ca="1">INDIRECT("'数据-取费表'!r"&amp;$G$1)</f>
        <v>7191.74</v>
      </c>
      <c r="G35" s="1567"/>
      <c r="H35" s="2924"/>
      <c r="I35" s="1581"/>
      <c r="J35" s="1582"/>
      <c r="K35" s="2928"/>
      <c r="L35" s="2927"/>
      <c r="M35" s="2927"/>
    </row>
    <row r="36" spans="1:18" ht="18" customHeight="1">
      <c r="A36" s="1261" t="s">
        <v>1007</v>
      </c>
      <c r="B36" s="308" t="s">
        <v>1414</v>
      </c>
      <c r="C36" s="24">
        <f ca="1">ROUND(C29*F36,1)</f>
        <v>533.6</v>
      </c>
      <c r="D36" s="1527" t="s">
        <v>1447</v>
      </c>
      <c r="E36" s="308" t="s">
        <v>1387</v>
      </c>
      <c r="F36" s="334">
        <f ca="1">INDIRECT("'数据-取费表'!Ak"&amp;$G$1)</f>
        <v>1.4999999999999999E-2</v>
      </c>
      <c r="G36" s="1567"/>
      <c r="H36" s="2927"/>
      <c r="I36" s="1581"/>
      <c r="J36" s="1582"/>
      <c r="K36" s="2768"/>
      <c r="L36" s="2927"/>
      <c r="M36" s="2927"/>
    </row>
    <row r="37" spans="1:18" ht="18" customHeight="1">
      <c r="A37" s="1112" t="s">
        <v>1043</v>
      </c>
      <c r="B37" s="308" t="s">
        <v>1418</v>
      </c>
      <c r="C37" s="24">
        <f ca="1">ROUND(C13*F37,1)</f>
        <v>52.3</v>
      </c>
      <c r="D37" s="1527" t="s">
        <v>1419</v>
      </c>
      <c r="E37" s="308" t="s">
        <v>1420</v>
      </c>
      <c r="F37" s="336">
        <f ca="1">INDIRECT("'数据-取费表'!Al"&amp;$G$1)</f>
        <v>1.5E-3</v>
      </c>
      <c r="G37" s="1567"/>
      <c r="H37" s="2927"/>
      <c r="I37" s="1581"/>
      <c r="J37" s="1582"/>
      <c r="K37" s="2768"/>
      <c r="L37" s="2927"/>
      <c r="M37" s="2927"/>
    </row>
    <row r="38" spans="1:18" ht="18" customHeight="1" thickBot="1">
      <c r="A38" s="1248" t="s">
        <v>1358</v>
      </c>
      <c r="B38" s="1249" t="s">
        <v>1404</v>
      </c>
      <c r="C38" s="1250">
        <f ca="1">ROUND(C5*F38,1)</f>
        <v>353.7</v>
      </c>
      <c r="D38" s="1251" t="s">
        <v>1424</v>
      </c>
      <c r="E38" s="1249" t="s">
        <v>1420</v>
      </c>
      <c r="F38" s="1245">
        <f ca="1">INDIRECT("'数据-取费表'!Am"&amp;$G$1)</f>
        <v>0.02</v>
      </c>
      <c r="G38" s="1567"/>
      <c r="H38" s="2927"/>
      <c r="I38" s="1581"/>
      <c r="J38" s="1582"/>
      <c r="K38" s="2931"/>
      <c r="L38" s="2927"/>
      <c r="M38" s="2927"/>
    </row>
    <row r="39" spans="1:18" ht="24.6" customHeight="1" thickTop="1">
      <c r="A39" s="1238" t="s">
        <v>999</v>
      </c>
      <c r="B39" s="1253" t="s">
        <v>1448</v>
      </c>
      <c r="C39" s="316">
        <f ca="1">C5-C30</f>
        <v>13769</v>
      </c>
      <c r="D39" s="1254" t="s">
        <v>1449</v>
      </c>
      <c r="E39" s="1255"/>
      <c r="F39" s="1256"/>
      <c r="G39" s="1567"/>
      <c r="H39" s="2927"/>
      <c r="I39" s="1581"/>
      <c r="J39" s="1582"/>
      <c r="K39" s="2931"/>
      <c r="L39" s="2927"/>
      <c r="M39" s="2927"/>
    </row>
    <row r="40" spans="1:18" ht="18" customHeight="1">
      <c r="A40" s="305" t="s">
        <v>1000</v>
      </c>
      <c r="B40" s="306" t="s">
        <v>1450</v>
      </c>
      <c r="C40" s="307">
        <f ca="1">ROUND(C39*(1-((1+F42)/(1+F40))^F41)/(F40-F42),0)</f>
        <v>350331</v>
      </c>
      <c r="D40" s="330" t="s">
        <v>1434</v>
      </c>
      <c r="E40" s="308" t="s">
        <v>1435</v>
      </c>
      <c r="F40" s="318">
        <f ca="1">INDIRECT("'数据-取费表'!I"&amp;$G$1)</f>
        <v>5.5E-2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42.15</v>
      </c>
      <c r="G41" s="1567"/>
      <c r="H41" s="1351"/>
      <c r="I41" s="1581"/>
      <c r="J41" s="1582"/>
      <c r="K41" s="2768"/>
      <c r="L41" s="1351"/>
      <c r="M41" s="1351"/>
    </row>
    <row r="42" spans="1:18" ht="18" customHeight="1">
      <c r="A42" s="314"/>
      <c r="B42" s="315"/>
      <c r="C42" s="316"/>
      <c r="D42" s="333"/>
      <c r="E42" s="308" t="s">
        <v>1442</v>
      </c>
      <c r="F42" s="318">
        <f ca="1">INDIRECT("'数据-取费表'!v"&amp;$G$1)</f>
        <v>0.03</v>
      </c>
      <c r="G42" s="1567"/>
      <c r="H42" s="1351"/>
      <c r="I42" s="1581"/>
      <c r="J42" s="1582"/>
      <c r="K42" s="2768"/>
      <c r="L42" s="1351"/>
      <c r="M42" s="1351"/>
    </row>
    <row r="43" spans="1:18" ht="18" customHeight="1" thickBot="1">
      <c r="A43" s="340" t="s">
        <v>1001</v>
      </c>
      <c r="B43" s="341" t="s">
        <v>1452</v>
      </c>
      <c r="C43" s="342">
        <f ca="1">ROUND(C40*10000/F43,0)</f>
        <v>74931</v>
      </c>
      <c r="D43" s="343" t="s">
        <v>1453</v>
      </c>
      <c r="E43" s="344" t="s">
        <v>1454</v>
      </c>
      <c r="F43" s="345">
        <f ca="1">INDIRECT("'数据-取费表'!k"&amp;$G$1)</f>
        <v>46753.740000000034</v>
      </c>
      <c r="G43" s="1567"/>
      <c r="H43" s="1351"/>
      <c r="I43" s="1351"/>
      <c r="J43" s="1351"/>
      <c r="K43" s="2768"/>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-408754</v>
      </c>
      <c r="D46" s="1589" t="str">
        <f>C2</f>
        <v>万元</v>
      </c>
      <c r="E46" s="1583"/>
      <c r="F46" s="1583"/>
      <c r="I46" s="1590" t="s">
        <v>1486</v>
      </c>
      <c r="J46" s="1591"/>
      <c r="K46" s="1592"/>
      <c r="L46" s="1593">
        <f ca="1">IF(M47="住宅",0,IF(L48&gt;J51,L60,J60))</f>
        <v>376</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1"/>
      <c r="I47" s="1597" t="s">
        <v>1491</v>
      </c>
      <c r="J47" s="1598" t="s">
        <v>3670</v>
      </c>
      <c r="K47" s="1599" t="s">
        <v>1492</v>
      </c>
      <c r="L47" s="1600">
        <f ca="1">INDIRECT("'数据-取费表'!d"&amp;$G$1)</f>
        <v>50</v>
      </c>
      <c r="M47" s="1563" t="str">
        <f>IF(ISNUMBER(FIND("住宅",C1)),"住宅","非住宅")</f>
        <v>非住宅</v>
      </c>
      <c r="O47" s="1601" t="s">
        <v>1008</v>
      </c>
      <c r="P47" s="1602" t="s">
        <v>1493</v>
      </c>
      <c r="Q47" s="1603">
        <f ca="1">C40+J29</f>
        <v>350331</v>
      </c>
      <c r="R47" s="1603" t="s">
        <v>1494</v>
      </c>
    </row>
    <row r="48" spans="1:18" s="1567" customFormat="1" ht="28.5" thickBot="1">
      <c r="A48" s="1269" t="s">
        <v>1103</v>
      </c>
      <c r="B48" s="306" t="s">
        <v>1366</v>
      </c>
      <c r="C48" s="1542">
        <f ca="1">C49+C53+C55</f>
        <v>0</v>
      </c>
      <c r="D48" s="1271"/>
      <c r="E48" s="1272"/>
      <c r="F48" s="1092"/>
      <c r="G48" s="731"/>
      <c r="H48" s="732"/>
      <c r="I48" s="1604" t="s">
        <v>1495</v>
      </c>
      <c r="J48" s="1605" t="s">
        <v>3671</v>
      </c>
      <c r="K48" s="1606" t="s">
        <v>1496</v>
      </c>
      <c r="L48" s="1607">
        <f ca="1">INDIRECT("'数据-取费表'!f"&amp;$G$1)</f>
        <v>42.15</v>
      </c>
      <c r="O48" s="1601" t="s">
        <v>1009</v>
      </c>
      <c r="P48" s="1602" t="s">
        <v>1497</v>
      </c>
      <c r="Q48" s="1603">
        <f ca="1">J60</f>
        <v>376</v>
      </c>
      <c r="R48" s="1603" t="s">
        <v>1498</v>
      </c>
    </row>
    <row r="49" spans="1:18" s="1567" customFormat="1" ht="13.5" thickBot="1">
      <c r="A49" s="1105" t="s">
        <v>1104</v>
      </c>
      <c r="B49" s="1554" t="s">
        <v>1455</v>
      </c>
      <c r="C49" s="1273">
        <f ca="1">ROUND(F49*F51*F50*(1-F52)/10000,0)</f>
        <v>0</v>
      </c>
      <c r="D49" s="1185" t="s">
        <v>2851</v>
      </c>
      <c r="E49" s="1555" t="s">
        <v>1456</v>
      </c>
      <c r="F49" s="1190"/>
      <c r="G49" s="1608"/>
      <c r="H49" s="732"/>
      <c r="I49" s="1604" t="s">
        <v>1499</v>
      </c>
      <c r="J49" s="1609">
        <v>2020</v>
      </c>
      <c r="K49" s="1606" t="s">
        <v>1500</v>
      </c>
      <c r="L49" s="1610"/>
      <c r="O49" s="1611" t="s">
        <v>1010</v>
      </c>
      <c r="P49" s="1602" t="s">
        <v>1501</v>
      </c>
      <c r="Q49" s="1603">
        <f ca="1">C29</f>
        <v>35576</v>
      </c>
      <c r="R49" s="1603" t="s">
        <v>1494</v>
      </c>
    </row>
    <row r="50" spans="1:18" s="1567" customFormat="1" ht="13.5" thickBot="1">
      <c r="A50" s="1106"/>
      <c r="B50" s="1109"/>
      <c r="C50" s="1277"/>
      <c r="D50" s="1083"/>
      <c r="E50" s="1186" t="s">
        <v>1371</v>
      </c>
      <c r="F50" s="1187">
        <f ca="1">F7</f>
        <v>46753.740000000034</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7"/>
      <c r="B51" s="1109"/>
      <c r="C51" s="1110"/>
      <c r="D51" s="1083"/>
      <c r="E51" s="1111" t="s">
        <v>1372</v>
      </c>
      <c r="F51" s="309">
        <f ca="1">F8</f>
        <v>365</v>
      </c>
      <c r="I51" s="1615" t="s">
        <v>1505</v>
      </c>
      <c r="J51" s="1616">
        <f>IF(J49="",J50,J49+J50-YEAR('数据-取费表'!B2))</f>
        <v>59</v>
      </c>
      <c r="K51" s="1617" t="s">
        <v>1506</v>
      </c>
      <c r="L51" s="1618">
        <f ca="1">ROUND(-PV(INDIRECT("'数据-取费表'!h"&amp;$G$1),J51,(C39-C13*C76),0),0)</f>
        <v>203963</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42.15</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4">
        <f ca="1">IF(M47="住宅",IF(D1="——",MAX(J51,L48),MAX(J51,L48-'数据-取费表'!B24)),IF(D1="——",MIN(J51,L48),MIN(J51,L48-'数据-取费表'!B24)))</f>
        <v>42.15</v>
      </c>
      <c r="K53" s="3332" t="s">
        <v>1513</v>
      </c>
      <c r="L53" s="3333"/>
      <c r="O53" s="1601" t="s">
        <v>1014</v>
      </c>
      <c r="P53" s="1602" t="s">
        <v>1514</v>
      </c>
      <c r="Q53" s="1603">
        <f ca="1">Q47+Q48</f>
        <v>350707</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f ca="1">ROUND(IF(J47="钢混",J57/J50,1-(1-2%)*(J50-J57)/J50),3)</f>
        <v>0.28100000000000003</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34864</v>
      </c>
      <c r="D56" s="1630"/>
      <c r="E56" s="1631"/>
      <c r="F56" s="1623"/>
      <c r="I56" s="1632" t="s">
        <v>1519</v>
      </c>
      <c r="J56" s="1633" t="s">
        <v>3672</v>
      </c>
      <c r="K56" s="1604" t="s">
        <v>1520</v>
      </c>
      <c r="L56" s="1607" t="str">
        <f ca="1">IF(L48&lt;J51,"——",L48-J53)</f>
        <v>——</v>
      </c>
      <c r="O56" s="1601" t="s">
        <v>1008</v>
      </c>
      <c r="P56" s="1602" t="s">
        <v>1493</v>
      </c>
      <c r="Q56" s="1603">
        <f ca="1">C40+J29</f>
        <v>350331</v>
      </c>
      <c r="R56" s="1603" t="s">
        <v>1494</v>
      </c>
    </row>
    <row r="57" spans="1:18" s="1567" customFormat="1" ht="24.75" thickBot="1">
      <c r="A57" s="1634"/>
      <c r="B57" s="1080" t="s">
        <v>1443</v>
      </c>
      <c r="C57" s="244">
        <f ca="1">C29</f>
        <v>35576</v>
      </c>
      <c r="D57" s="1635"/>
      <c r="E57" s="1636"/>
      <c r="F57" s="1637"/>
      <c r="I57" s="1638" t="s">
        <v>1521</v>
      </c>
      <c r="J57" s="1639">
        <f ca="1">IF(OR(M47="住宅",J51&lt;L48,J56="是"),"——",J51-L48)</f>
        <v>16.850000000000001</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8" t="s">
        <v>1389</v>
      </c>
      <c r="C58" s="322">
        <f ca="1">ROUND(C59+C64+C65+C66,0)</f>
        <v>3589</v>
      </c>
      <c r="D58" s="1090" t="s">
        <v>1390</v>
      </c>
      <c r="E58" s="1091"/>
      <c r="F58" s="1092"/>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2">
        <f ca="1">ROUND(IF(AND(项目基本情况!B11="自然人",项目基本情况!B10="北京市"),C49*F59/(1+'数据-取费表'!C42),C60+C61+C62),0)</f>
        <v>3003</v>
      </c>
      <c r="D59" s="1093" t="s">
        <v>1395</v>
      </c>
      <c r="E59" s="1094" t="s">
        <v>1396</v>
      </c>
      <c r="F59" s="2531" t="str">
        <f>IF(项目基本情况!B11="企业","——",IF('数据-取费表'!B10="住宅",IF(F49*F50*F51/12/(1+'数据-取费表'!F30)&gt;100000,4%,2.5%),IF(F49*F50*F51/12/(1+'数据-取费表'!F30)&gt;100000,12%,7%)))</f>
        <v>——</v>
      </c>
      <c r="I59" s="1638" t="s">
        <v>1528</v>
      </c>
      <c r="J59" s="1639">
        <f ca="1">IF(OR(M47="住宅",J51&lt;L48,J56="是"),"——",ROUND(C29*J58,0))</f>
        <v>14230</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1" t="s">
        <v>1530</v>
      </c>
      <c r="J60" s="1642">
        <f ca="1">IF(OR(M47="住宅",J51&lt;L48,J56="是"),"0",ROUND(J59/(1+J52)^J53,0))</f>
        <v>376</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IF(项目基本情况!B11="自然人","——",IF(D61="按租金收入计税",ROUND(C48*F61,2),IF(D61="按房产原值计税",ROUND(C57*F61*0.7,2),INDIRECT("'数据-取费表'!Aj"&amp;$G$1))))</f>
        <v>2988.38</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14.38</v>
      </c>
      <c r="D62" s="1095" t="s">
        <v>1462</v>
      </c>
      <c r="E62" s="1080" t="s">
        <v>1463</v>
      </c>
      <c r="F62" s="331">
        <f t="shared" si="0"/>
        <v>20</v>
      </c>
      <c r="I62" s="1645" t="s">
        <v>1535</v>
      </c>
      <c r="J62" s="1646" t="s">
        <v>1536</v>
      </c>
      <c r="K62" s="1646" t="s">
        <v>1537</v>
      </c>
      <c r="L62" s="1646" t="s">
        <v>1538</v>
      </c>
      <c r="M62" s="1647" t="s">
        <v>1539</v>
      </c>
      <c r="O62" s="1601" t="s">
        <v>1014</v>
      </c>
      <c r="P62" s="1602" t="s">
        <v>1540</v>
      </c>
      <c r="Q62" s="1603">
        <f ca="1">Q56+Q57</f>
        <v>350331</v>
      </c>
      <c r="R62" s="1603" t="s">
        <v>1015</v>
      </c>
    </row>
    <row r="63" spans="1:18" s="1567" customFormat="1" ht="13.5" thickBot="1">
      <c r="A63" s="332"/>
      <c r="B63" s="1086"/>
      <c r="C63" s="29"/>
      <c r="D63" s="1096"/>
      <c r="E63" s="1080" t="s">
        <v>1464</v>
      </c>
      <c r="F63" s="309">
        <f t="shared" ca="1" si="0"/>
        <v>7191.74</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533.6</v>
      </c>
      <c r="D64" s="1094" t="s">
        <v>1467</v>
      </c>
      <c r="E64" s="1080"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52.3</v>
      </c>
      <c r="D65" s="1094" t="s">
        <v>1419</v>
      </c>
      <c r="E65" s="1080" t="s">
        <v>1420</v>
      </c>
      <c r="F65" s="336">
        <f t="shared" ca="1" si="0"/>
        <v>1.5E-3</v>
      </c>
      <c r="I65" s="1645" t="s">
        <v>1544</v>
      </c>
      <c r="J65" s="1646">
        <v>40</v>
      </c>
      <c r="K65" s="1646">
        <v>30</v>
      </c>
      <c r="L65" s="1646">
        <v>50</v>
      </c>
      <c r="M65" s="1648">
        <v>0.02</v>
      </c>
      <c r="O65" s="1601" t="s">
        <v>1008</v>
      </c>
      <c r="P65" s="1602" t="s">
        <v>1545</v>
      </c>
      <c r="Q65" s="1603">
        <f ca="1">C40+J29</f>
        <v>350331</v>
      </c>
      <c r="R65" s="1603" t="s">
        <v>1494</v>
      </c>
    </row>
    <row r="66" spans="1:18" s="1567" customFormat="1" ht="16.5" thickBot="1">
      <c r="A66" s="1112" t="s">
        <v>1469</v>
      </c>
      <c r="B66" s="1080" t="s">
        <v>1404</v>
      </c>
      <c r="C66" s="24">
        <f ca="1">ROUND(C48*F66,1)</f>
        <v>0</v>
      </c>
      <c r="D66" s="1094" t="s">
        <v>1470</v>
      </c>
      <c r="E66" s="1080" t="s">
        <v>1387</v>
      </c>
      <c r="F66" s="318">
        <f t="shared" ca="1" si="0"/>
        <v>0.02</v>
      </c>
      <c r="O66" s="1601" t="s">
        <v>1009</v>
      </c>
      <c r="P66" s="1602" t="s">
        <v>1523</v>
      </c>
      <c r="Q66" s="1603">
        <f ca="1">L60</f>
        <v>0</v>
      </c>
      <c r="R66" s="1603" t="s">
        <v>1546</v>
      </c>
    </row>
    <row r="67" spans="1:18" s="1567" customFormat="1" ht="16.5" thickBot="1">
      <c r="A67" s="1087" t="s">
        <v>999</v>
      </c>
      <c r="B67" s="1097" t="s">
        <v>1428</v>
      </c>
      <c r="C67" s="322">
        <f ca="1">C48-C58</f>
        <v>-3589</v>
      </c>
      <c r="D67" s="1093" t="s">
        <v>1429</v>
      </c>
      <c r="E67" s="1098"/>
      <c r="F67" s="1099"/>
      <c r="O67" s="1611" t="s">
        <v>1010</v>
      </c>
      <c r="P67" s="1602" t="s">
        <v>1527</v>
      </c>
      <c r="Q67" s="1649">
        <f ca="1">L51</f>
        <v>203963</v>
      </c>
      <c r="R67" s="1603" t="s">
        <v>1547</v>
      </c>
    </row>
    <row r="68" spans="1:18" s="1567" customFormat="1" ht="16.5" thickBot="1">
      <c r="A68" s="1077" t="s">
        <v>1000</v>
      </c>
      <c r="B68" s="1078" t="s">
        <v>1450</v>
      </c>
      <c r="C68" s="307">
        <f ca="1">ROUND(C67*(1-((1+F70)/(1+F68))^F69)/(F68-F70),0)</f>
        <v>-58423</v>
      </c>
      <c r="D68" s="1095" t="s">
        <v>1434</v>
      </c>
      <c r="E68" s="1080" t="s">
        <v>1435</v>
      </c>
      <c r="F68" s="318">
        <f ca="1">F40</f>
        <v>5.5E-2</v>
      </c>
      <c r="O68" s="1611" t="s">
        <v>1011</v>
      </c>
      <c r="P68" s="1650" t="s">
        <v>1548</v>
      </c>
      <c r="Q68" s="1603">
        <f ca="1">ROUND(Q69-Q70*Q71,0)</f>
        <v>10806</v>
      </c>
      <c r="R68" s="1603" t="s">
        <v>1019</v>
      </c>
    </row>
    <row r="69" spans="1:18" s="1567" customFormat="1" ht="13.5" thickBot="1">
      <c r="A69" s="1081"/>
      <c r="B69" s="1082"/>
      <c r="C69" s="312"/>
      <c r="D69" s="1100" t="s">
        <v>1438</v>
      </c>
      <c r="E69" s="1080" t="s">
        <v>1439</v>
      </c>
      <c r="F69" s="339">
        <f ca="1">F41</f>
        <v>42.15</v>
      </c>
      <c r="O69" s="1611" t="s">
        <v>1016</v>
      </c>
      <c r="P69" s="1650" t="s">
        <v>1549</v>
      </c>
      <c r="Q69" s="1603">
        <f ca="1">C39</f>
        <v>13769</v>
      </c>
      <c r="R69" s="1603" t="s">
        <v>1494</v>
      </c>
    </row>
    <row r="70" spans="1:18" s="1567" customFormat="1" ht="13.5" thickBot="1">
      <c r="A70" s="1084"/>
      <c r="B70" s="1085"/>
      <c r="C70" s="316"/>
      <c r="D70" s="1096"/>
      <c r="E70" s="1080" t="s">
        <v>1442</v>
      </c>
      <c r="F70" s="1184"/>
      <c r="O70" s="1611" t="s">
        <v>1017</v>
      </c>
      <c r="P70" s="1650" t="s">
        <v>1550</v>
      </c>
      <c r="Q70" s="1603">
        <f ca="1">C13</f>
        <v>34864</v>
      </c>
      <c r="R70" s="1603" t="s">
        <v>1494</v>
      </c>
    </row>
    <row r="71" spans="1:18" s="1567" customFormat="1" ht="13.5" thickBot="1">
      <c r="A71" s="1101" t="s">
        <v>1001</v>
      </c>
      <c r="B71" s="1102" t="s">
        <v>1452</v>
      </c>
      <c r="C71" s="342">
        <f ca="1">ROUND(C68*10000/F71,0)</f>
        <v>-12496</v>
      </c>
      <c r="D71" s="1103" t="s">
        <v>1453</v>
      </c>
      <c r="E71" s="1104" t="s">
        <v>1454</v>
      </c>
      <c r="F71" s="345">
        <f ca="1">F43</f>
        <v>46753.740000000034</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2963</v>
      </c>
      <c r="D75" s="1567"/>
      <c r="E75" s="1567"/>
      <c r="F75" s="1567"/>
      <c r="K75" s="1585"/>
      <c r="L75" s="1567"/>
      <c r="O75" s="1601" t="s">
        <v>1014</v>
      </c>
      <c r="P75" s="1602" t="s">
        <v>1514</v>
      </c>
      <c r="Q75" s="1603">
        <f ca="1">Q65+Q66</f>
        <v>350331</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0.78500000000000003</v>
      </c>
    </row>
    <row r="80" spans="1:18">
      <c r="B80" s="346" t="s">
        <v>1476</v>
      </c>
      <c r="C80" s="280">
        <f ca="1">ROUND(C75/C39,3)</f>
        <v>0.215</v>
      </c>
    </row>
    <row r="81" spans="2:3">
      <c r="B81" s="276" t="s">
        <v>1477</v>
      </c>
      <c r="C81" s="244"/>
    </row>
    <row r="82" spans="2:3">
      <c r="B82" s="279" t="s">
        <v>1478</v>
      </c>
      <c r="C82" s="281">
        <f ca="1">1-C83</f>
        <v>0.9</v>
      </c>
    </row>
    <row r="83" spans="2:3">
      <c r="B83" s="279" t="s">
        <v>1479</v>
      </c>
      <c r="C83" s="280">
        <f ca="1">ROUND(C13/C40,3)</f>
        <v>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10</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0</v>
      </c>
      <c r="D5" s="1547" t="s">
        <v>1566</v>
      </c>
      <c r="E5" s="1202"/>
      <c r="F5" s="1203"/>
      <c r="G5" s="1567"/>
      <c r="H5" s="305">
        <v>1</v>
      </c>
      <c r="I5" s="306" t="s">
        <v>1565</v>
      </c>
      <c r="J5" s="1201">
        <f ca="1">J6+J10+J12</f>
        <v>0</v>
      </c>
      <c r="K5" s="1547" t="s">
        <v>1566</v>
      </c>
      <c r="L5" s="1202"/>
      <c r="M5" s="1203"/>
    </row>
    <row r="6" spans="1:37" ht="18" customHeight="1">
      <c r="A6" s="1200" t="s">
        <v>1003</v>
      </c>
      <c r="B6" s="3334" t="s">
        <v>1368</v>
      </c>
      <c r="C6" s="1205">
        <f ca="1">ROUND(F6*F8*F7*(1-F9),0)</f>
        <v>0</v>
      </c>
      <c r="D6" s="160" t="s">
        <v>2847</v>
      </c>
      <c r="E6" s="308" t="s">
        <v>1370</v>
      </c>
      <c r="F6" s="309">
        <f ca="1">INDIRECT("'数据-取费表'!u"&amp;$G$1)</f>
        <v>0</v>
      </c>
      <c r="G6" s="1567"/>
      <c r="H6" s="1200" t="s">
        <v>1003</v>
      </c>
      <c r="I6" s="3334" t="s">
        <v>1368</v>
      </c>
      <c r="J6" s="307">
        <f ca="1">ROUND(M6*M8*M7*(1-M9),0)</f>
        <v>0</v>
      </c>
      <c r="K6" s="1559" t="s">
        <v>2848</v>
      </c>
      <c r="L6" s="308" t="s">
        <v>1370</v>
      </c>
      <c r="M6" s="309">
        <f ca="1">INDIRECT("'数据-取费表'!z"&amp;$G$1)</f>
        <v>0</v>
      </c>
    </row>
    <row r="7" spans="1:37" ht="18" customHeight="1">
      <c r="A7" s="1204"/>
      <c r="B7" s="3335"/>
      <c r="C7" s="1206"/>
      <c r="D7" s="313"/>
      <c r="E7" s="1207" t="s">
        <v>1371</v>
      </c>
      <c r="F7" s="309">
        <f ca="1">IF(INDIRECT("'数据-取费表'!ah"&amp;$G$1)="",INDIRECT("'数据-取费表'!k"&amp;$G$1),INDIRECT("'数据-取费表'!ah"&amp;$G$1))</f>
        <v>0</v>
      </c>
      <c r="G7" s="1567"/>
      <c r="H7" s="310"/>
      <c r="I7" s="3335"/>
      <c r="J7" s="312"/>
      <c r="K7" s="313"/>
      <c r="L7" s="308" t="s">
        <v>1371</v>
      </c>
      <c r="M7" s="309">
        <f ca="1">F7</f>
        <v>0</v>
      </c>
    </row>
    <row r="8" spans="1:37" ht="18" customHeight="1">
      <c r="A8" s="310"/>
      <c r="B8" s="3335"/>
      <c r="C8" s="312"/>
      <c r="D8" s="313"/>
      <c r="E8" s="308" t="s">
        <v>1372</v>
      </c>
      <c r="F8" s="309">
        <f ca="1">INDIRECT("'数据-取费表'!ai"&amp;$G$1)</f>
        <v>0</v>
      </c>
      <c r="G8" s="1567"/>
      <c r="H8" s="310"/>
      <c r="I8" s="3335"/>
      <c r="J8" s="312"/>
      <c r="K8" s="313"/>
      <c r="L8" s="308" t="s">
        <v>1372</v>
      </c>
      <c r="M8" s="309">
        <f ca="1">INDIRECT("'数据-取费表'!ai"&amp;$G$1)</f>
        <v>0</v>
      </c>
    </row>
    <row r="9" spans="1:37" ht="18" customHeight="1">
      <c r="A9" s="310"/>
      <c r="B9" s="3336"/>
      <c r="C9" s="312"/>
      <c r="D9" s="313"/>
      <c r="E9" s="308" t="s">
        <v>1373</v>
      </c>
      <c r="F9" s="318">
        <f ca="1">INDIRECT("'数据-取费表'!w"&amp;$G$1)</f>
        <v>0</v>
      </c>
      <c r="G9" s="1567"/>
      <c r="H9" s="310"/>
      <c r="I9" s="3336"/>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ROUND(F17*(F43+INDIRECT("'数据-取费表'!S"&amp;$G$1)),0)</f>
        <v>0</v>
      </c>
      <c r="D17" s="308" t="s">
        <v>1392</v>
      </c>
      <c r="E17" s="308" t="s">
        <v>1393</v>
      </c>
      <c r="F17" s="26">
        <f>'数据-取费表'!B35</f>
        <v>200</v>
      </c>
      <c r="G17" s="1579"/>
      <c r="H17" s="1112"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0.03</v>
      </c>
      <c r="G20" s="1579"/>
      <c r="H20" s="1112" t="s">
        <v>1354</v>
      </c>
      <c r="I20" s="160" t="s">
        <v>1406</v>
      </c>
      <c r="J20" s="25">
        <f ca="1">ROUND(M20*M21,0)</f>
        <v>0</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0.03</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4"/>
      <c r="I30" s="1581"/>
      <c r="J30" s="1582"/>
      <c r="K30" s="2699"/>
      <c r="L30" s="2925"/>
      <c r="M30" s="2926"/>
    </row>
    <row r="31" spans="1:37" ht="18" customHeight="1">
      <c r="A31" s="1112"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3057</v>
      </c>
      <c r="I31" s="1581"/>
      <c r="J31" s="1582"/>
      <c r="K31" s="2699"/>
      <c r="L31" s="2925"/>
      <c r="M31" s="2926"/>
    </row>
    <row r="32" spans="1:37" ht="18" customHeight="1">
      <c r="A32" s="1112" t="s">
        <v>1002</v>
      </c>
      <c r="B32" s="308" t="s">
        <v>1398</v>
      </c>
      <c r="C32" s="24">
        <f ca="1">IF(项目基本情况!B11="自然人","——",ROUND(C6*F32/(1+'数据-取费表'!C42),0))</f>
        <v>0</v>
      </c>
      <c r="D32" s="1527" t="s">
        <v>1399</v>
      </c>
      <c r="E32" s="308" t="s">
        <v>1387</v>
      </c>
      <c r="F32" s="337">
        <f>'数据-取费表'!B41</f>
        <v>5.6000000000000001E-2</v>
      </c>
      <c r="G32" s="1567"/>
      <c r="H32" s="2924"/>
      <c r="I32" s="1581"/>
      <c r="J32" s="1582"/>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0" t="s">
        <v>1354</v>
      </c>
      <c r="B34" s="160" t="s">
        <v>1406</v>
      </c>
      <c r="C34" s="25">
        <f ca="1">IF(项目基本情况!B11="自然人","——",ROUND(F34*F35,))</f>
        <v>0</v>
      </c>
      <c r="D34" s="330" t="s">
        <v>1407</v>
      </c>
      <c r="E34" s="308" t="s">
        <v>1408</v>
      </c>
      <c r="F34" s="331">
        <f>'数据-取费表'!B52</f>
        <v>20</v>
      </c>
      <c r="G34" s="1567"/>
      <c r="H34" s="2924"/>
      <c r="I34" s="1581"/>
      <c r="J34" s="1582"/>
      <c r="K34" s="2929"/>
      <c r="L34" s="2930"/>
      <c r="M34" s="2930"/>
    </row>
    <row r="35" spans="1:18" ht="18" customHeight="1">
      <c r="A35" s="1262"/>
      <c r="B35" s="1260"/>
      <c r="C35" s="29"/>
      <c r="D35" s="333"/>
      <c r="E35" s="308" t="s">
        <v>1412</v>
      </c>
      <c r="F35" s="309">
        <f ca="1">INDIRECT("'数据-取费表'!r"&amp;$G$1)</f>
        <v>0</v>
      </c>
      <c r="G35" s="1567"/>
      <c r="H35" s="2924"/>
      <c r="I35" s="1581"/>
      <c r="J35" s="1582"/>
      <c r="K35" s="2928"/>
      <c r="L35" s="2927"/>
      <c r="M35" s="2927"/>
    </row>
    <row r="36" spans="1:18" ht="18" customHeight="1">
      <c r="A36" s="1261"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2"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7"/>
      <c r="H38" s="2927"/>
      <c r="I38" s="1581"/>
      <c r="J38" s="1582"/>
      <c r="K38" s="2931"/>
      <c r="L38" s="2927"/>
      <c r="M38" s="2927"/>
    </row>
    <row r="39" spans="1:18" ht="24.6" customHeight="1" thickTop="1">
      <c r="A39" s="1238" t="s">
        <v>999</v>
      </c>
      <c r="B39" s="1253" t="s">
        <v>1448</v>
      </c>
      <c r="C39" s="316">
        <f ca="1">C5-C30</f>
        <v>0</v>
      </c>
      <c r="D39" s="1254" t="s">
        <v>1449</v>
      </c>
      <c r="E39" s="1255"/>
      <c r="F39" s="1256"/>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1"/>
      <c r="I41" s="1581"/>
      <c r="J41" s="1582"/>
      <c r="K41" s="2768"/>
      <c r="L41" s="1351"/>
      <c r="M41" s="1351"/>
    </row>
    <row r="42" spans="1:18" ht="18" customHeight="1">
      <c r="A42" s="314"/>
      <c r="B42" s="315"/>
      <c r="C42" s="316"/>
      <c r="D42" s="333"/>
      <c r="E42" s="308" t="s">
        <v>1442</v>
      </c>
      <c r="F42" s="318">
        <f ca="1">INDIRECT("'数据-取费表'!v"&amp;$G$1)</f>
        <v>0</v>
      </c>
      <c r="G42" s="1567"/>
      <c r="H42" s="1351"/>
      <c r="I42" s="1581"/>
      <c r="J42" s="1582"/>
      <c r="K42" s="2768"/>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7"/>
      <c r="H43" s="1351"/>
      <c r="I43" s="1351"/>
      <c r="J43" s="1351"/>
      <c r="K43" s="2768"/>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4">
        <f ca="1">IF(M47="住宅",IF(D1="——",MAX(J51,L48),MAX(J51,L48-'数据-取费表'!B24)),IF(D1="——",MIN(J51,L48),MIN(J51,L48-'数据-取费表'!B24)))</f>
        <v>0</v>
      </c>
      <c r="K53" s="3332" t="s">
        <v>1513</v>
      </c>
      <c r="L53" s="3333"/>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IF(项目基本情况!B11="自然人","——",IF(D61="按租金收入计税",ROUND(C48*F61,0),IF(D61="按房产原值计税",ROUND(C57*F61*0.7,0),INDIRECT("'数据-取费表'!Aj"&amp;$G$1))))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20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2" t="e">
        <f ca="1">ROUND(C68/F71,0)</f>
        <v>#DIV/0!</v>
      </c>
      <c r="D71" s="1103" t="s">
        <v>1453</v>
      </c>
      <c r="E71" s="1104"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7" t="s">
        <v>1044</v>
      </c>
      <c r="B1" s="3338"/>
      <c r="C1" s="3339"/>
      <c r="D1" s="3340">
        <f>SUM(I10,I15,I20,I21,I23)</f>
        <v>0</v>
      </c>
      <c r="E1" s="3340"/>
      <c r="F1" s="3340"/>
      <c r="G1" s="3340"/>
      <c r="H1" s="3340"/>
      <c r="I1" s="3341"/>
    </row>
    <row r="2" spans="1:9">
      <c r="A2" s="3342" t="s">
        <v>1045</v>
      </c>
      <c r="B2" s="3343" t="s">
        <v>1046</v>
      </c>
      <c r="C2" s="3343"/>
      <c r="D2" s="1210" t="s">
        <v>1047</v>
      </c>
      <c r="E2" s="1210" t="s">
        <v>1048</v>
      </c>
      <c r="F2" s="1210" t="s">
        <v>1049</v>
      </c>
      <c r="G2" s="1210" t="s">
        <v>1050</v>
      </c>
      <c r="H2" s="1210" t="s">
        <v>1051</v>
      </c>
      <c r="I2" s="1211" t="s">
        <v>1052</v>
      </c>
    </row>
    <row r="3" spans="1:9">
      <c r="A3" s="3342"/>
      <c r="B3" s="3343" t="s">
        <v>1053</v>
      </c>
      <c r="C3" s="3343"/>
      <c r="D3" s="1212"/>
      <c r="E3" s="1210"/>
      <c r="F3" s="1213"/>
      <c r="G3" s="1213"/>
      <c r="H3" s="1214"/>
      <c r="I3" s="1215">
        <f>ROUND(D3*E3*F3*G3*H3/10000,0)</f>
        <v>0</v>
      </c>
    </row>
    <row r="4" spans="1:9">
      <c r="A4" s="3342"/>
      <c r="B4" s="3343" t="s">
        <v>1054</v>
      </c>
      <c r="C4" s="3343"/>
      <c r="D4" s="1212"/>
      <c r="E4" s="1210"/>
      <c r="F4" s="1213"/>
      <c r="G4" s="1213"/>
      <c r="H4" s="1214"/>
      <c r="I4" s="1215">
        <f t="shared" ref="I4:I9" si="0">ROUND(D4*E4*F4*G4*H4/10000,0)</f>
        <v>0</v>
      </c>
    </row>
    <row r="5" spans="1:9">
      <c r="A5" s="3342"/>
      <c r="B5" s="3343" t="s">
        <v>1055</v>
      </c>
      <c r="C5" s="3343"/>
      <c r="D5" s="1212"/>
      <c r="E5" s="1210"/>
      <c r="F5" s="1213"/>
      <c r="G5" s="1213"/>
      <c r="H5" s="1214"/>
      <c r="I5" s="1215">
        <f t="shared" si="0"/>
        <v>0</v>
      </c>
    </row>
    <row r="6" spans="1:9">
      <c r="A6" s="3342"/>
      <c r="B6" s="3343" t="s">
        <v>1056</v>
      </c>
      <c r="C6" s="3343"/>
      <c r="D6" s="1212"/>
      <c r="E6" s="1210"/>
      <c r="F6" s="1213"/>
      <c r="G6" s="1213"/>
      <c r="H6" s="1214"/>
      <c r="I6" s="1215">
        <f t="shared" si="0"/>
        <v>0</v>
      </c>
    </row>
    <row r="7" spans="1:9">
      <c r="A7" s="3342"/>
      <c r="B7" s="3343" t="s">
        <v>1057</v>
      </c>
      <c r="C7" s="3343"/>
      <c r="D7" s="1212"/>
      <c r="E7" s="1210"/>
      <c r="F7" s="1213"/>
      <c r="G7" s="1213"/>
      <c r="H7" s="1214"/>
      <c r="I7" s="1215">
        <f t="shared" si="0"/>
        <v>0</v>
      </c>
    </row>
    <row r="8" spans="1:9">
      <c r="A8" s="3342"/>
      <c r="B8" s="3343" t="s">
        <v>1058</v>
      </c>
      <c r="C8" s="3343"/>
      <c r="D8" s="1212"/>
      <c r="E8" s="1210"/>
      <c r="F8" s="1213"/>
      <c r="G8" s="1213"/>
      <c r="H8" s="1214"/>
      <c r="I8" s="1215">
        <f t="shared" si="0"/>
        <v>0</v>
      </c>
    </row>
    <row r="9" spans="1:9">
      <c r="A9" s="3342"/>
      <c r="B9" s="3343" t="s">
        <v>1059</v>
      </c>
      <c r="C9" s="3343"/>
      <c r="D9" s="1212"/>
      <c r="E9" s="1210"/>
      <c r="F9" s="1213"/>
      <c r="G9" s="1213"/>
      <c r="H9" s="1214"/>
      <c r="I9" s="1215">
        <f t="shared" si="0"/>
        <v>0</v>
      </c>
    </row>
    <row r="10" spans="1:9">
      <c r="A10" s="3342"/>
      <c r="B10" s="3344" t="s">
        <v>1060</v>
      </c>
      <c r="C10" s="3344"/>
      <c r="D10" s="1216"/>
      <c r="E10" s="1216" t="e">
        <f>ROUND(D1*10000/D10/H9,0)</f>
        <v>#DIV/0!</v>
      </c>
      <c r="F10" s="1217"/>
      <c r="G10" s="1217"/>
      <c r="H10" s="1218"/>
      <c r="I10" s="1219">
        <f>SUM(I3:I9)</f>
        <v>0</v>
      </c>
    </row>
    <row r="11" spans="1:9" ht="14.25">
      <c r="A11" s="3342" t="s">
        <v>1061</v>
      </c>
      <c r="B11" s="3343" t="s">
        <v>1062</v>
      </c>
      <c r="C11" s="3343"/>
      <c r="D11" s="1212" t="s">
        <v>1063</v>
      </c>
      <c r="E11" s="1212" t="s">
        <v>1064</v>
      </c>
      <c r="F11" s="1213" t="s">
        <v>1065</v>
      </c>
      <c r="G11" s="1213" t="s">
        <v>1051</v>
      </c>
      <c r="H11" s="1220" t="s">
        <v>1066</v>
      </c>
      <c r="I11" s="1211" t="s">
        <v>1052</v>
      </c>
    </row>
    <row r="12" spans="1:9">
      <c r="A12" s="3342"/>
      <c r="B12" s="3343" t="s">
        <v>1067</v>
      </c>
      <c r="C12" s="3343"/>
      <c r="D12" s="1212"/>
      <c r="E12" s="1212"/>
      <c r="F12" s="1213"/>
      <c r="G12" s="1214"/>
      <c r="H12" s="1221"/>
      <c r="I12" s="1211">
        <f>ROUND(D12*E12*F12*G12/10000,0)</f>
        <v>0</v>
      </c>
    </row>
    <row r="13" spans="1:9">
      <c r="A13" s="3342"/>
      <c r="B13" s="3343" t="s">
        <v>1068</v>
      </c>
      <c r="C13" s="3343"/>
      <c r="D13" s="1212"/>
      <c r="E13" s="1212"/>
      <c r="F13" s="1213"/>
      <c r="G13" s="1214"/>
      <c r="H13" s="1221"/>
      <c r="I13" s="1211">
        <f>ROUND(D13*E13*F13*G13/10000,0)</f>
        <v>0</v>
      </c>
    </row>
    <row r="14" spans="1:9">
      <c r="A14" s="3342"/>
      <c r="B14" s="3343" t="s">
        <v>1069</v>
      </c>
      <c r="C14" s="3343"/>
      <c r="D14" s="1212"/>
      <c r="E14" s="1212"/>
      <c r="F14" s="1213"/>
      <c r="G14" s="1214"/>
      <c r="H14" s="1221"/>
      <c r="I14" s="1211">
        <f>ROUND(D14*E14*F14*G14/10000,0)</f>
        <v>0</v>
      </c>
    </row>
    <row r="15" spans="1:9">
      <c r="A15" s="3342"/>
      <c r="B15" s="3344" t="s">
        <v>1060</v>
      </c>
      <c r="C15" s="3344"/>
      <c r="D15" s="1216"/>
      <c r="E15" s="1216">
        <f>SUM(E12:E14)</f>
        <v>0</v>
      </c>
      <c r="F15" s="1217"/>
      <c r="G15" s="1214"/>
      <c r="H15" s="1221"/>
      <c r="I15" s="1222">
        <f>SUM(I12:I14)</f>
        <v>0</v>
      </c>
    </row>
    <row r="16" spans="1:9" ht="24">
      <c r="A16" s="3342" t="s">
        <v>1070</v>
      </c>
      <c r="B16" s="3343" t="s">
        <v>1071</v>
      </c>
      <c r="C16" s="3343"/>
      <c r="D16" s="1212" t="s">
        <v>1047</v>
      </c>
      <c r="E16" s="1223" t="s">
        <v>1072</v>
      </c>
      <c r="F16" s="1213" t="s">
        <v>1073</v>
      </c>
      <c r="G16" s="1214" t="s">
        <v>1051</v>
      </c>
      <c r="H16" s="1220" t="s">
        <v>1066</v>
      </c>
      <c r="I16" s="1211" t="s">
        <v>1052</v>
      </c>
    </row>
    <row r="17" spans="1:9" ht="14.25">
      <c r="A17" s="3342"/>
      <c r="B17" s="3343" t="s">
        <v>1074</v>
      </c>
      <c r="C17" s="3343"/>
      <c r="D17" s="1212"/>
      <c r="E17" s="1212"/>
      <c r="F17" s="1213"/>
      <c r="G17" s="1214"/>
      <c r="H17" s="1224"/>
      <c r="I17" s="1225">
        <f>ROUND(D17*E17*F17*G17/10000,0)</f>
        <v>0</v>
      </c>
    </row>
    <row r="18" spans="1:9" ht="14.25">
      <c r="A18" s="3342"/>
      <c r="B18" s="3343" t="s">
        <v>1075</v>
      </c>
      <c r="C18" s="3343"/>
      <c r="D18" s="1212"/>
      <c r="E18" s="1212"/>
      <c r="F18" s="1213"/>
      <c r="G18" s="1214"/>
      <c r="H18" s="1224"/>
      <c r="I18" s="1225">
        <f>ROUND(D18*E18*F18*G18/10000,0)</f>
        <v>0</v>
      </c>
    </row>
    <row r="19" spans="1:9" ht="14.25">
      <c r="A19" s="3342"/>
      <c r="B19" s="3343" t="s">
        <v>1076</v>
      </c>
      <c r="C19" s="3343"/>
      <c r="D19" s="1212"/>
      <c r="E19" s="1212"/>
      <c r="F19" s="1213"/>
      <c r="G19" s="1214"/>
      <c r="H19" s="1224"/>
      <c r="I19" s="1225">
        <f>ROUND(D19*E19*F19*G19/10000,0)</f>
        <v>0</v>
      </c>
    </row>
    <row r="20" spans="1:9">
      <c r="A20" s="3342"/>
      <c r="B20" s="3344" t="s">
        <v>1060</v>
      </c>
      <c r="C20" s="3344"/>
      <c r="D20" s="1216">
        <f>SUM(D17:D19)</f>
        <v>0</v>
      </c>
      <c r="E20" s="1216"/>
      <c r="F20" s="1217"/>
      <c r="G20" s="1214"/>
      <c r="H20" s="1221"/>
      <c r="I20" s="1222">
        <f>SUM(I17:I19)</f>
        <v>0</v>
      </c>
    </row>
    <row r="21" spans="1:9">
      <c r="A21" s="3342" t="s">
        <v>1077</v>
      </c>
      <c r="B21" s="3346"/>
      <c r="C21" s="3346"/>
      <c r="D21" s="3346"/>
      <c r="E21" s="3346"/>
      <c r="F21" s="3346"/>
      <c r="G21" s="3346"/>
      <c r="H21" s="1501">
        <v>0.1</v>
      </c>
      <c r="I21" s="1219">
        <f>ROUND(I10*H21,0)</f>
        <v>0</v>
      </c>
    </row>
    <row r="22" spans="1:9" ht="14.25">
      <c r="A22" s="3347" t="s">
        <v>1078</v>
      </c>
      <c r="B22" s="3348"/>
      <c r="C22" s="3349"/>
      <c r="D22" s="1226" t="s">
        <v>1079</v>
      </c>
      <c r="E22" s="1226" t="s">
        <v>1080</v>
      </c>
      <c r="F22" s="1227" t="s">
        <v>1081</v>
      </c>
      <c r="G22" s="1227" t="s">
        <v>1082</v>
      </c>
      <c r="H22" s="1220" t="s">
        <v>1083</v>
      </c>
      <c r="I22" s="1211" t="s">
        <v>1084</v>
      </c>
    </row>
    <row r="23" spans="1:9" ht="14.25" thickBot="1">
      <c r="A23" s="3350"/>
      <c r="B23" s="3351"/>
      <c r="C23" s="3352"/>
      <c r="D23" s="1228"/>
      <c r="E23" s="1228"/>
      <c r="F23" s="1228"/>
      <c r="G23" s="1229"/>
      <c r="H23" s="1230"/>
      <c r="I23" s="1231">
        <f>ROUND(E23*D23*F23*(1-G23)/10000,0)</f>
        <v>0</v>
      </c>
    </row>
    <row r="26" spans="1:9">
      <c r="A26" s="1232" t="s">
        <v>1085</v>
      </c>
      <c r="B26" s="1232"/>
      <c r="C26" s="1232"/>
      <c r="D26" s="1232"/>
      <c r="E26" s="3353">
        <f>C27-C30-C31-C32</f>
        <v>0</v>
      </c>
      <c r="F26" s="3353"/>
      <c r="G26" s="3353"/>
      <c r="H26" s="1498" t="s">
        <v>1306</v>
      </c>
    </row>
    <row r="27" spans="1:9">
      <c r="A27" s="1233">
        <v>1</v>
      </c>
      <c r="B27" s="1234" t="s">
        <v>1086</v>
      </c>
      <c r="C27" s="1234">
        <f>C28+C29</f>
        <v>0</v>
      </c>
      <c r="D27" s="1234"/>
      <c r="E27" s="3354"/>
      <c r="F27" s="3354"/>
      <c r="G27" s="3354"/>
    </row>
    <row r="28" spans="1:9">
      <c r="A28" s="1235" t="s">
        <v>1087</v>
      </c>
      <c r="B28" s="1234" t="s">
        <v>1088</v>
      </c>
      <c r="C28" s="1234"/>
      <c r="D28" s="1234"/>
      <c r="E28" s="3354"/>
      <c r="F28" s="3354"/>
      <c r="G28" s="335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45"/>
      <c r="F32" s="3345"/>
      <c r="G32" s="3345"/>
    </row>
    <row r="33" spans="1:7" hidden="1">
      <c r="A33" s="3355" t="s">
        <v>1097</v>
      </c>
      <c r="B33" s="3356"/>
      <c r="C33" s="3356"/>
      <c r="D33" s="3357"/>
      <c r="E33" s="3353"/>
      <c r="F33" s="3353"/>
      <c r="G33" s="3353"/>
    </row>
    <row r="34" spans="1:7" hidden="1">
      <c r="A34" s="1237">
        <v>1</v>
      </c>
      <c r="B34" s="1234" t="s">
        <v>1098</v>
      </c>
      <c r="C34" s="1234"/>
      <c r="D34" s="1234"/>
      <c r="E34" s="3354"/>
      <c r="F34" s="3354"/>
      <c r="G34" s="3354"/>
    </row>
    <row r="35" spans="1:7" hidden="1">
      <c r="A35" s="1237">
        <v>2</v>
      </c>
      <c r="B35" s="1234" t="s">
        <v>1099</v>
      </c>
      <c r="C35" s="1234"/>
      <c r="D35" s="1234"/>
      <c r="E35" s="3354"/>
      <c r="F35" s="3354"/>
      <c r="G35" s="3354"/>
    </row>
    <row r="36" spans="1:7" hidden="1">
      <c r="A36" s="1237">
        <v>3</v>
      </c>
      <c r="B36" s="1234" t="s">
        <v>1100</v>
      </c>
      <c r="C36" s="1234"/>
      <c r="D36" s="1234"/>
      <c r="E36" s="3354"/>
      <c r="F36" s="3354"/>
      <c r="G36" s="3354"/>
    </row>
    <row r="37" spans="1:7" hidden="1">
      <c r="A37" s="1237">
        <v>4</v>
      </c>
      <c r="B37" s="1234" t="s">
        <v>1101</v>
      </c>
      <c r="C37" s="1234"/>
      <c r="D37" s="1234"/>
      <c r="E37" s="3354"/>
      <c r="F37" s="3354"/>
      <c r="G37" s="3354"/>
    </row>
    <row r="38" spans="1:7" hidden="1">
      <c r="A38" s="3355" t="s">
        <v>1102</v>
      </c>
      <c r="B38" s="3356"/>
      <c r="C38" s="3356"/>
      <c r="D38" s="3357"/>
      <c r="E38" s="3353"/>
      <c r="F38" s="3353"/>
      <c r="G38" s="33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72083.499999999942</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305" t="s">
        <v>2357</v>
      </c>
      <c r="D4" s="3306"/>
      <c r="E4" s="3307" t="s">
        <v>2358</v>
      </c>
      <c r="F4" s="3308"/>
      <c r="G4" s="3305" t="s">
        <v>2359</v>
      </c>
      <c r="H4" s="3306"/>
      <c r="I4" s="3305" t="s">
        <v>2360</v>
      </c>
      <c r="J4" s="3306"/>
      <c r="K4" s="2073" t="s">
        <v>2361</v>
      </c>
      <c r="L4" s="2942"/>
      <c r="M4" s="2943"/>
      <c r="N4" s="2943"/>
      <c r="O4" s="2943"/>
      <c r="P4" s="3309" t="s">
        <v>2362</v>
      </c>
      <c r="Q4" s="3310"/>
      <c r="R4" s="3292" t="s">
        <v>2358</v>
      </c>
      <c r="S4" s="3293"/>
      <c r="T4" s="3292" t="s">
        <v>2359</v>
      </c>
      <c r="U4" s="3293"/>
      <c r="V4" s="3317" t="s">
        <v>2360</v>
      </c>
      <c r="W4" s="3317"/>
      <c r="X4" s="1538"/>
      <c r="Y4" s="3292" t="s">
        <v>2362</v>
      </c>
      <c r="Z4" s="3293"/>
      <c r="AA4" s="3287" t="s">
        <v>2358</v>
      </c>
      <c r="AB4" s="3287" t="s">
        <v>2359</v>
      </c>
      <c r="AC4" s="3287" t="s">
        <v>2360</v>
      </c>
    </row>
    <row r="5" spans="1:29" ht="15">
      <c r="A5" s="364"/>
      <c r="B5" s="365"/>
      <c r="C5" s="3298" t="s">
        <v>2363</v>
      </c>
      <c r="D5" s="3299"/>
      <c r="E5" s="3296" t="s">
        <v>2364</v>
      </c>
      <c r="F5" s="3297"/>
      <c r="G5" s="3298" t="s">
        <v>2365</v>
      </c>
      <c r="H5" s="3299"/>
      <c r="I5" s="3298" t="s">
        <v>2366</v>
      </c>
      <c r="J5" s="3299"/>
      <c r="K5" s="2074"/>
      <c r="L5" s="2942"/>
      <c r="M5" s="2943"/>
      <c r="N5" s="2943"/>
      <c r="O5" s="2943"/>
      <c r="P5" s="3311"/>
      <c r="Q5" s="3312"/>
      <c r="R5" s="3294"/>
      <c r="S5" s="3295"/>
      <c r="T5" s="3294"/>
      <c r="U5" s="3295"/>
      <c r="V5" s="3317"/>
      <c r="W5" s="3317"/>
      <c r="X5" s="1538"/>
      <c r="Y5" s="3294"/>
      <c r="Z5" s="3295"/>
      <c r="AA5" s="3288"/>
      <c r="AB5" s="3288"/>
      <c r="AC5" s="3288"/>
    </row>
    <row r="6" spans="1:29" ht="15.75" thickBot="1">
      <c r="A6" s="366"/>
      <c r="B6" s="367"/>
      <c r="C6" s="3300" t="s">
        <v>2367</v>
      </c>
      <c r="D6" s="3301"/>
      <c r="E6" s="3302" t="s">
        <v>2367</v>
      </c>
      <c r="F6" s="3303"/>
      <c r="G6" s="3300" t="s">
        <v>2367</v>
      </c>
      <c r="H6" s="3301"/>
      <c r="I6" s="3300" t="s">
        <v>2367</v>
      </c>
      <c r="J6" s="3301"/>
      <c r="K6" s="2074" t="s">
        <v>2368</v>
      </c>
      <c r="L6" s="2942"/>
      <c r="M6" s="2943"/>
      <c r="N6" s="2943"/>
      <c r="O6" s="2943"/>
      <c r="P6" s="3313"/>
      <c r="Q6" s="3314"/>
      <c r="R6" s="3294"/>
      <c r="S6" s="3295"/>
      <c r="T6" s="3315"/>
      <c r="U6" s="3316"/>
      <c r="V6" s="3317"/>
      <c r="W6" s="3317"/>
      <c r="X6" s="1538"/>
      <c r="Y6" s="3315"/>
      <c r="Z6" s="3316"/>
      <c r="AA6" s="3289"/>
      <c r="AB6" s="3289"/>
      <c r="AC6" s="3289"/>
    </row>
    <row r="7" spans="1:29" s="113" customFormat="1" ht="15.75" thickBot="1">
      <c r="A7" s="368" t="s">
        <v>2369</v>
      </c>
      <c r="B7" s="369"/>
      <c r="C7" s="370">
        <f>'数据-取费表'!B2</f>
        <v>44299</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90" t="s">
        <v>2370</v>
      </c>
      <c r="Q7" s="3318"/>
      <c r="R7" s="710" t="s">
        <v>23</v>
      </c>
      <c r="S7" s="711">
        <f t="shared" ref="S7:S15" si="0">F7</f>
        <v>0</v>
      </c>
      <c r="T7" s="710" t="s">
        <v>23</v>
      </c>
      <c r="U7" s="711">
        <f t="shared" ref="U7:U15" si="1">H7</f>
        <v>0</v>
      </c>
      <c r="V7" s="710" t="s">
        <v>23</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90" t="s">
        <v>2373</v>
      </c>
      <c r="Q8" s="3291"/>
      <c r="R8" s="710" t="s">
        <v>23</v>
      </c>
      <c r="S8" s="711">
        <f t="shared" si="0"/>
        <v>0</v>
      </c>
      <c r="T8" s="710" t="s">
        <v>23</v>
      </c>
      <c r="U8" s="711">
        <f t="shared" si="1"/>
        <v>0</v>
      </c>
      <c r="V8" s="710" t="s">
        <v>23</v>
      </c>
      <c r="W8" s="711">
        <f t="shared" si="2"/>
        <v>0</v>
      </c>
      <c r="X8" s="712"/>
      <c r="Y8" s="3290" t="s">
        <v>2373</v>
      </c>
      <c r="Z8" s="329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28"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8"/>
      <c r="Q11" s="1526" t="str">
        <f t="shared" si="6"/>
        <v>容积率</v>
      </c>
      <c r="R11" s="710" t="s">
        <v>21</v>
      </c>
      <c r="S11" s="711" t="e">
        <f t="shared" si="0"/>
        <v>#N/A</v>
      </c>
      <c r="T11" s="710" t="s">
        <v>21</v>
      </c>
      <c r="U11" s="711" t="e">
        <f t="shared" si="1"/>
        <v>#N/A</v>
      </c>
      <c r="V11" s="710" t="s">
        <v>21</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28"/>
      <c r="Q12" s="1526">
        <f t="shared" si="6"/>
        <v>111</v>
      </c>
      <c r="R12" s="710" t="s">
        <v>21</v>
      </c>
      <c r="S12" s="711">
        <f t="shared" si="0"/>
        <v>100</v>
      </c>
      <c r="T12" s="710" t="s">
        <v>21</v>
      </c>
      <c r="U12" s="711">
        <f t="shared" si="1"/>
        <v>100</v>
      </c>
      <c r="V12" s="710" t="s">
        <v>21</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28"/>
      <c r="Q13" s="1526">
        <f t="shared" si="6"/>
        <v>111</v>
      </c>
      <c r="R13" s="710" t="s">
        <v>21</v>
      </c>
      <c r="S13" s="711">
        <f t="shared" si="0"/>
        <v>100</v>
      </c>
      <c r="T13" s="710" t="s">
        <v>21</v>
      </c>
      <c r="U13" s="711">
        <f t="shared" si="1"/>
        <v>100</v>
      </c>
      <c r="V13" s="710" t="s">
        <v>21</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28"/>
      <c r="Q14" s="1526">
        <f t="shared" si="6"/>
        <v>111</v>
      </c>
      <c r="R14" s="710" t="s">
        <v>21</v>
      </c>
      <c r="S14" s="711">
        <f t="shared" si="0"/>
        <v>100</v>
      </c>
      <c r="T14" s="710" t="s">
        <v>21</v>
      </c>
      <c r="U14" s="711">
        <f t="shared" si="1"/>
        <v>100</v>
      </c>
      <c r="V14" s="710" t="s">
        <v>21</v>
      </c>
      <c r="W14" s="711">
        <f t="shared" si="2"/>
        <v>100</v>
      </c>
      <c r="X14" s="712"/>
      <c r="Y14" s="3260"/>
      <c r="Z14" s="55">
        <f t="shared" si="7"/>
        <v>111</v>
      </c>
      <c r="AA14" s="713">
        <f t="shared" si="3"/>
        <v>1</v>
      </c>
      <c r="AB14" s="713">
        <f t="shared" si="4"/>
        <v>1</v>
      </c>
      <c r="AC14" s="713">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64" t="s">
        <v>2381</v>
      </c>
      <c r="Q15" s="1535" t="str">
        <f t="shared" si="6"/>
        <v>居住社区成熟度</v>
      </c>
      <c r="R15" s="714" t="s">
        <v>21</v>
      </c>
      <c r="S15" s="715">
        <f t="shared" si="0"/>
        <v>100</v>
      </c>
      <c r="T15" s="714" t="s">
        <v>21</v>
      </c>
      <c r="U15" s="715">
        <f t="shared" si="1"/>
        <v>100</v>
      </c>
      <c r="V15" s="714" t="s">
        <v>21</v>
      </c>
      <c r="W15" s="715">
        <f t="shared" si="2"/>
        <v>100</v>
      </c>
      <c r="X15" s="1538"/>
      <c r="Y15" s="3319" t="s">
        <v>2381</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65"/>
      <c r="Q16" s="1535"/>
      <c r="R16" s="714"/>
      <c r="S16" s="715"/>
      <c r="T16" s="714"/>
      <c r="U16" s="715"/>
      <c r="V16" s="714"/>
      <c r="W16" s="715"/>
      <c r="X16" s="1538"/>
      <c r="Y16" s="3320"/>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65"/>
      <c r="Q17" s="1535" t="str">
        <f>B17</f>
        <v>交通便捷度</v>
      </c>
      <c r="R17" s="714" t="s">
        <v>21</v>
      </c>
      <c r="S17" s="715">
        <f>F17</f>
        <v>100</v>
      </c>
      <c r="T17" s="714" t="s">
        <v>21</v>
      </c>
      <c r="U17" s="715">
        <f>H17</f>
        <v>100</v>
      </c>
      <c r="V17" s="714" t="s">
        <v>21</v>
      </c>
      <c r="W17" s="715">
        <f>J17</f>
        <v>100</v>
      </c>
      <c r="X17" s="1538"/>
      <c r="Y17" s="3320"/>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65"/>
      <c r="Q18" s="1535"/>
      <c r="R18" s="714"/>
      <c r="S18" s="715"/>
      <c r="T18" s="714"/>
      <c r="U18" s="715"/>
      <c r="V18" s="714"/>
      <c r="W18" s="715"/>
      <c r="X18" s="1538"/>
      <c r="Y18" s="3320"/>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65"/>
      <c r="Q19" s="1535" t="str">
        <f>B19</f>
        <v>公共配套设施</v>
      </c>
      <c r="R19" s="714" t="s">
        <v>21</v>
      </c>
      <c r="S19" s="715">
        <f>F19</f>
        <v>100</v>
      </c>
      <c r="T19" s="714" t="s">
        <v>21</v>
      </c>
      <c r="U19" s="715">
        <f>H19</f>
        <v>100</v>
      </c>
      <c r="V19" s="714" t="s">
        <v>21</v>
      </c>
      <c r="W19" s="715">
        <f>J19</f>
        <v>100</v>
      </c>
      <c r="X19" s="1538"/>
      <c r="Y19" s="3320"/>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65"/>
      <c r="Q20" s="1535"/>
      <c r="R20" s="714"/>
      <c r="S20" s="715"/>
      <c r="T20" s="714"/>
      <c r="U20" s="715"/>
      <c r="V20" s="714"/>
      <c r="W20" s="715"/>
      <c r="X20" s="1538"/>
      <c r="Y20" s="3320"/>
      <c r="Z20" s="1539"/>
      <c r="AA20" s="1536">
        <v>1</v>
      </c>
      <c r="AB20" s="1536">
        <v>1</v>
      </c>
      <c r="AC20" s="1536">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20"/>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7"/>
      <c r="G22" s="2088"/>
      <c r="H22" s="407"/>
      <c r="I22" s="406"/>
      <c r="J22" s="407"/>
      <c r="K22" s="2089"/>
      <c r="L22" s="2949"/>
      <c r="M22" s="2943"/>
      <c r="N22" s="2943"/>
      <c r="O22" s="2943"/>
      <c r="P22" s="3365"/>
      <c r="Q22" s="1535"/>
      <c r="R22" s="714"/>
      <c r="S22" s="715"/>
      <c r="T22" s="714"/>
      <c r="U22" s="715"/>
      <c r="V22" s="714"/>
      <c r="W22" s="715"/>
      <c r="X22" s="1538"/>
      <c r="Y22" s="3320"/>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65"/>
      <c r="Q23" s="1535" t="str">
        <f>B23</f>
        <v>自然及人文环境</v>
      </c>
      <c r="R23" s="714" t="s">
        <v>21</v>
      </c>
      <c r="S23" s="715">
        <f>F23</f>
        <v>100</v>
      </c>
      <c r="T23" s="714" t="s">
        <v>21</v>
      </c>
      <c r="U23" s="715">
        <f>H23</f>
        <v>100</v>
      </c>
      <c r="V23" s="714" t="s">
        <v>21</v>
      </c>
      <c r="W23" s="715">
        <f>J23</f>
        <v>100</v>
      </c>
      <c r="X23" s="1538"/>
      <c r="Y23" s="3320"/>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65"/>
      <c r="Q24" s="1535"/>
      <c r="R24" s="714"/>
      <c r="S24" s="715"/>
      <c r="T24" s="714"/>
      <c r="U24" s="715"/>
      <c r="V24" s="714"/>
      <c r="W24" s="715"/>
      <c r="X24" s="1538"/>
      <c r="Y24" s="3320"/>
      <c r="Z24" s="1539"/>
      <c r="AA24" s="1536">
        <v>1</v>
      </c>
      <c r="AB24" s="1536">
        <v>1</v>
      </c>
      <c r="AC24" s="1536">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6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20"/>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65"/>
      <c r="Q26" s="1535" t="str">
        <f t="shared" si="11"/>
        <v>朝向</v>
      </c>
      <c r="R26" s="714" t="s">
        <v>21</v>
      </c>
      <c r="S26" s="715">
        <f t="shared" si="12"/>
        <v>100</v>
      </c>
      <c r="T26" s="714" t="s">
        <v>21</v>
      </c>
      <c r="U26" s="715">
        <f t="shared" si="13"/>
        <v>100</v>
      </c>
      <c r="V26" s="714" t="s">
        <v>21</v>
      </c>
      <c r="W26" s="715">
        <f t="shared" si="14"/>
        <v>100</v>
      </c>
      <c r="X26" s="1538"/>
      <c r="Y26" s="3320"/>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65"/>
      <c r="Q27" s="1526">
        <f t="shared" si="11"/>
        <v>111</v>
      </c>
      <c r="R27" s="710" t="s">
        <v>21</v>
      </c>
      <c r="S27" s="711">
        <f t="shared" si="12"/>
        <v>100</v>
      </c>
      <c r="T27" s="710" t="s">
        <v>21</v>
      </c>
      <c r="U27" s="711">
        <f t="shared" si="13"/>
        <v>100</v>
      </c>
      <c r="V27" s="710" t="s">
        <v>21</v>
      </c>
      <c r="W27" s="711">
        <f t="shared" si="14"/>
        <v>100</v>
      </c>
      <c r="X27" s="712"/>
      <c r="Y27" s="3320"/>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65"/>
      <c r="Q28" s="1535">
        <f t="shared" si="11"/>
        <v>111</v>
      </c>
      <c r="R28" s="714" t="s">
        <v>21</v>
      </c>
      <c r="S28" s="715">
        <f t="shared" si="12"/>
        <v>100</v>
      </c>
      <c r="T28" s="714" t="s">
        <v>21</v>
      </c>
      <c r="U28" s="715">
        <f t="shared" si="13"/>
        <v>100</v>
      </c>
      <c r="V28" s="714" t="s">
        <v>21</v>
      </c>
      <c r="W28" s="715">
        <f t="shared" si="14"/>
        <v>100</v>
      </c>
      <c r="X28" s="1538"/>
      <c r="Y28" s="3320"/>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65"/>
      <c r="Q29" s="1535">
        <f t="shared" si="11"/>
        <v>111</v>
      </c>
      <c r="R29" s="714" t="s">
        <v>21</v>
      </c>
      <c r="S29" s="715">
        <f t="shared" si="12"/>
        <v>100</v>
      </c>
      <c r="T29" s="714" t="s">
        <v>21</v>
      </c>
      <c r="U29" s="715">
        <f t="shared" si="13"/>
        <v>100</v>
      </c>
      <c r="V29" s="714" t="s">
        <v>21</v>
      </c>
      <c r="W29" s="715">
        <f t="shared" si="14"/>
        <v>100</v>
      </c>
      <c r="X29" s="1538"/>
      <c r="Y29" s="3320"/>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65"/>
      <c r="Q30" s="1535">
        <f t="shared" si="11"/>
        <v>111</v>
      </c>
      <c r="R30" s="714" t="s">
        <v>21</v>
      </c>
      <c r="S30" s="715">
        <f t="shared" si="12"/>
        <v>100</v>
      </c>
      <c r="T30" s="714" t="s">
        <v>21</v>
      </c>
      <c r="U30" s="715">
        <f t="shared" si="13"/>
        <v>100</v>
      </c>
      <c r="V30" s="714" t="s">
        <v>21</v>
      </c>
      <c r="W30" s="715">
        <f t="shared" si="14"/>
        <v>100</v>
      </c>
      <c r="X30" s="1538"/>
      <c r="Y30" s="3320"/>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65"/>
      <c r="Q31" s="1535">
        <f t="shared" si="11"/>
        <v>111</v>
      </c>
      <c r="R31" s="714" t="s">
        <v>21</v>
      </c>
      <c r="S31" s="715">
        <f t="shared" si="12"/>
        <v>100</v>
      </c>
      <c r="T31" s="714" t="s">
        <v>21</v>
      </c>
      <c r="U31" s="715">
        <f t="shared" si="13"/>
        <v>100</v>
      </c>
      <c r="V31" s="714" t="s">
        <v>21</v>
      </c>
      <c r="W31" s="715">
        <f t="shared" si="14"/>
        <v>100</v>
      </c>
      <c r="X31" s="1538"/>
      <c r="Y31" s="3320"/>
      <c r="Z31" s="1539">
        <f t="shared" si="18"/>
        <v>111</v>
      </c>
      <c r="AA31" s="1536">
        <f t="shared" si="15"/>
        <v>1</v>
      </c>
      <c r="AB31" s="1536">
        <f t="shared" si="16"/>
        <v>1</v>
      </c>
      <c r="AC31" s="1536">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60" t="s">
        <v>2386</v>
      </c>
      <c r="Q32" s="1535" t="str">
        <f t="shared" si="11"/>
        <v>建筑类型</v>
      </c>
      <c r="R32" s="714" t="s">
        <v>21</v>
      </c>
      <c r="S32" s="715">
        <f t="shared" si="12"/>
        <v>100</v>
      </c>
      <c r="T32" s="714" t="s">
        <v>21</v>
      </c>
      <c r="U32" s="715">
        <f t="shared" si="13"/>
        <v>100</v>
      </c>
      <c r="V32" s="714" t="s">
        <v>21</v>
      </c>
      <c r="W32" s="715">
        <f t="shared" si="14"/>
        <v>100</v>
      </c>
      <c r="X32" s="1538"/>
      <c r="Y32" s="3322"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61"/>
      <c r="Q33" s="716" t="str">
        <f t="shared" si="11"/>
        <v>项目建筑规模</v>
      </c>
      <c r="R33" s="717" t="s">
        <v>21</v>
      </c>
      <c r="S33" s="718" t="e">
        <f t="shared" si="12"/>
        <v>#N/A</v>
      </c>
      <c r="T33" s="717" t="s">
        <v>21</v>
      </c>
      <c r="U33" s="718" t="e">
        <f t="shared" si="13"/>
        <v>#N/A</v>
      </c>
      <c r="V33" s="717" t="s">
        <v>21</v>
      </c>
      <c r="W33" s="718" t="e">
        <f t="shared" si="14"/>
        <v>#N/A</v>
      </c>
      <c r="X33" s="719"/>
      <c r="Y33" s="3322"/>
      <c r="Z33" s="720" t="str">
        <f t="shared" si="18"/>
        <v>项目建筑规模</v>
      </c>
      <c r="AA33" s="1536" t="e">
        <f t="shared" si="15"/>
        <v>#N/A</v>
      </c>
      <c r="AB33" s="1536" t="e">
        <f t="shared" si="16"/>
        <v>#N/A</v>
      </c>
      <c r="AC33" s="1536"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61"/>
      <c r="Q34" s="1535" t="str">
        <f t="shared" si="11"/>
        <v>建筑结构</v>
      </c>
      <c r="R34" s="714" t="s">
        <v>21</v>
      </c>
      <c r="S34" s="715">
        <f t="shared" si="12"/>
        <v>100</v>
      </c>
      <c r="T34" s="714" t="s">
        <v>21</v>
      </c>
      <c r="U34" s="715">
        <f t="shared" si="13"/>
        <v>100</v>
      </c>
      <c r="V34" s="714" t="s">
        <v>21</v>
      </c>
      <c r="W34" s="715">
        <f t="shared" si="14"/>
        <v>100</v>
      </c>
      <c r="X34" s="1538"/>
      <c r="Y34" s="3322"/>
      <c r="Z34" s="1539" t="str">
        <f t="shared" si="18"/>
        <v>建筑结构</v>
      </c>
      <c r="AA34" s="1536">
        <f t="shared" si="15"/>
        <v>1</v>
      </c>
      <c r="AB34" s="1536">
        <f t="shared" si="16"/>
        <v>1</v>
      </c>
      <c r="AC34" s="1536">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61"/>
      <c r="Q35" s="1535" t="str">
        <f t="shared" si="11"/>
        <v>建筑品质</v>
      </c>
      <c r="R35" s="714" t="s">
        <v>21</v>
      </c>
      <c r="S35" s="715">
        <f t="shared" si="12"/>
        <v>100</v>
      </c>
      <c r="T35" s="714" t="s">
        <v>21</v>
      </c>
      <c r="U35" s="715">
        <f t="shared" si="13"/>
        <v>100</v>
      </c>
      <c r="V35" s="714" t="s">
        <v>21</v>
      </c>
      <c r="W35" s="715">
        <f t="shared" si="14"/>
        <v>100</v>
      </c>
      <c r="X35" s="1538"/>
      <c r="Y35" s="3322"/>
      <c r="Z35" s="1539" t="str">
        <f t="shared" si="18"/>
        <v>建筑品质</v>
      </c>
      <c r="AA35" s="1536">
        <f t="shared" si="15"/>
        <v>1</v>
      </c>
      <c r="AB35" s="1536">
        <f t="shared" si="16"/>
        <v>1</v>
      </c>
      <c r="AC35" s="1536">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61"/>
      <c r="Q36" s="1535" t="str">
        <f t="shared" si="11"/>
        <v>公共部分装修</v>
      </c>
      <c r="R36" s="714" t="s">
        <v>21</v>
      </c>
      <c r="S36" s="715">
        <f t="shared" si="12"/>
        <v>100</v>
      </c>
      <c r="T36" s="714" t="s">
        <v>21</v>
      </c>
      <c r="U36" s="715">
        <f t="shared" si="13"/>
        <v>100</v>
      </c>
      <c r="V36" s="714" t="s">
        <v>21</v>
      </c>
      <c r="W36" s="715">
        <f t="shared" si="14"/>
        <v>100</v>
      </c>
      <c r="X36" s="1538"/>
      <c r="Y36" s="3322"/>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61"/>
      <c r="Q37" s="1526" t="str">
        <f t="shared" si="11"/>
        <v>成新度</v>
      </c>
      <c r="R37" s="710" t="s">
        <v>21</v>
      </c>
      <c r="S37" s="711" t="e">
        <f t="shared" si="12"/>
        <v>#N/A</v>
      </c>
      <c r="T37" s="710" t="s">
        <v>21</v>
      </c>
      <c r="U37" s="711" t="e">
        <f t="shared" si="13"/>
        <v>#N/A</v>
      </c>
      <c r="V37" s="710" t="s">
        <v>21</v>
      </c>
      <c r="W37" s="711" t="e">
        <f t="shared" si="14"/>
        <v>#N/A</v>
      </c>
      <c r="X37" s="712"/>
      <c r="Y37" s="3322"/>
      <c r="Z37" s="55" t="str">
        <f t="shared" si="18"/>
        <v>成新度</v>
      </c>
      <c r="AA37" s="713" t="e">
        <f t="shared" si="15"/>
        <v>#N/A</v>
      </c>
      <c r="AB37" s="713" t="e">
        <f t="shared" si="16"/>
        <v>#N/A</v>
      </c>
      <c r="AC37" s="713"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61" t="s">
        <v>2386</v>
      </c>
      <c r="Q38" s="1535" t="str">
        <f t="shared" si="11"/>
        <v>物业管理</v>
      </c>
      <c r="R38" s="714" t="s">
        <v>21</v>
      </c>
      <c r="S38" s="715">
        <f t="shared" si="12"/>
        <v>100</v>
      </c>
      <c r="T38" s="714" t="s">
        <v>21</v>
      </c>
      <c r="U38" s="715">
        <f t="shared" si="13"/>
        <v>100</v>
      </c>
      <c r="V38" s="714" t="s">
        <v>21</v>
      </c>
      <c r="W38" s="715">
        <f t="shared" si="14"/>
        <v>100</v>
      </c>
      <c r="X38" s="1538"/>
      <c r="Y38" s="3322" t="s">
        <v>2386</v>
      </c>
      <c r="Z38" s="1539" t="str">
        <f t="shared" si="18"/>
        <v>物业管理</v>
      </c>
      <c r="AA38" s="1536">
        <f t="shared" si="15"/>
        <v>1</v>
      </c>
      <c r="AB38" s="1536">
        <f t="shared" si="16"/>
        <v>1</v>
      </c>
      <c r="AC38" s="1536">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61"/>
      <c r="Q39" s="1535" t="str">
        <f t="shared" si="11"/>
        <v>市政基础设施</v>
      </c>
      <c r="R39" s="714" t="s">
        <v>21</v>
      </c>
      <c r="S39" s="715">
        <f t="shared" si="12"/>
        <v>100</v>
      </c>
      <c r="T39" s="714" t="s">
        <v>21</v>
      </c>
      <c r="U39" s="715">
        <f t="shared" si="13"/>
        <v>100</v>
      </c>
      <c r="V39" s="714" t="s">
        <v>21</v>
      </c>
      <c r="W39" s="715">
        <f t="shared" si="14"/>
        <v>100</v>
      </c>
      <c r="X39" s="1538"/>
      <c r="Y39" s="3322"/>
      <c r="Z39" s="1539" t="str">
        <f t="shared" si="18"/>
        <v>市政基础设施</v>
      </c>
      <c r="AA39" s="1536">
        <f t="shared" si="15"/>
        <v>1</v>
      </c>
      <c r="AB39" s="1536">
        <f t="shared" si="16"/>
        <v>1</v>
      </c>
      <c r="AC39" s="1536">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61"/>
      <c r="Q40" s="1535" t="str">
        <f t="shared" si="11"/>
        <v>房型</v>
      </c>
      <c r="R40" s="714" t="s">
        <v>21</v>
      </c>
      <c r="S40" s="715">
        <f t="shared" si="12"/>
        <v>100</v>
      </c>
      <c r="T40" s="714" t="s">
        <v>21</v>
      </c>
      <c r="U40" s="715">
        <f t="shared" si="13"/>
        <v>100</v>
      </c>
      <c r="V40" s="714" t="s">
        <v>21</v>
      </c>
      <c r="W40" s="715">
        <f t="shared" si="14"/>
        <v>100</v>
      </c>
      <c r="X40" s="1538"/>
      <c r="Y40" s="3322"/>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61"/>
      <c r="Q41" s="716" t="str">
        <f t="shared" si="11"/>
        <v>单套/主力户型建筑面积</v>
      </c>
      <c r="R41" s="717" t="s">
        <v>21</v>
      </c>
      <c r="S41" s="718">
        <f t="shared" si="12"/>
        <v>100</v>
      </c>
      <c r="T41" s="717" t="s">
        <v>21</v>
      </c>
      <c r="U41" s="718">
        <f t="shared" si="13"/>
        <v>100</v>
      </c>
      <c r="V41" s="717" t="s">
        <v>21</v>
      </c>
      <c r="W41" s="718">
        <f t="shared" si="14"/>
        <v>100</v>
      </c>
      <c r="X41" s="719"/>
      <c r="Y41" s="3322"/>
      <c r="Z41" s="720" t="str">
        <f t="shared" si="18"/>
        <v>单套/主力户型建筑面积</v>
      </c>
      <c r="AA41" s="1536">
        <f t="shared" si="15"/>
        <v>1</v>
      </c>
      <c r="AB41" s="1536">
        <f t="shared" si="16"/>
        <v>1</v>
      </c>
      <c r="AC41" s="1536">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61"/>
      <c r="Q42" s="1535" t="str">
        <f t="shared" si="11"/>
        <v>内部装修</v>
      </c>
      <c r="R42" s="714" t="s">
        <v>21</v>
      </c>
      <c r="S42" s="715">
        <f t="shared" si="12"/>
        <v>100</v>
      </c>
      <c r="T42" s="714" t="s">
        <v>21</v>
      </c>
      <c r="U42" s="715">
        <f t="shared" si="13"/>
        <v>100</v>
      </c>
      <c r="V42" s="714" t="s">
        <v>21</v>
      </c>
      <c r="W42" s="715">
        <f t="shared" si="14"/>
        <v>100</v>
      </c>
      <c r="X42" s="1538"/>
      <c r="Y42" s="3322"/>
      <c r="Z42" s="1539" t="str">
        <f t="shared" si="18"/>
        <v>内部装修</v>
      </c>
      <c r="AA42" s="1536">
        <f t="shared" si="15"/>
        <v>1</v>
      </c>
      <c r="AB42" s="1536">
        <f t="shared" si="16"/>
        <v>1</v>
      </c>
      <c r="AC42" s="1536">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61"/>
      <c r="Q43" s="1535" t="str">
        <f t="shared" si="11"/>
        <v>内部装修维护情况</v>
      </c>
      <c r="R43" s="714" t="s">
        <v>21</v>
      </c>
      <c r="S43" s="715">
        <f t="shared" si="12"/>
        <v>100</v>
      </c>
      <c r="T43" s="714" t="s">
        <v>21</v>
      </c>
      <c r="U43" s="715">
        <f t="shared" si="13"/>
        <v>100</v>
      </c>
      <c r="V43" s="714" t="s">
        <v>21</v>
      </c>
      <c r="W43" s="715">
        <f t="shared" si="14"/>
        <v>100</v>
      </c>
      <c r="X43" s="1538"/>
      <c r="Y43" s="3322"/>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61"/>
      <c r="Q44" s="1526">
        <f t="shared" si="11"/>
        <v>111</v>
      </c>
      <c r="R44" s="710" t="s">
        <v>21</v>
      </c>
      <c r="S44" s="711">
        <f t="shared" si="12"/>
        <v>100</v>
      </c>
      <c r="T44" s="710" t="s">
        <v>21</v>
      </c>
      <c r="U44" s="711">
        <f t="shared" si="13"/>
        <v>100</v>
      </c>
      <c r="V44" s="710" t="s">
        <v>21</v>
      </c>
      <c r="W44" s="711">
        <f t="shared" si="14"/>
        <v>100</v>
      </c>
      <c r="X44" s="712"/>
      <c r="Y44" s="3322"/>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61"/>
      <c r="Q45" s="1535">
        <f t="shared" si="11"/>
        <v>111</v>
      </c>
      <c r="R45" s="714" t="s">
        <v>21</v>
      </c>
      <c r="S45" s="715">
        <f t="shared" si="12"/>
        <v>100</v>
      </c>
      <c r="T45" s="714" t="s">
        <v>21</v>
      </c>
      <c r="U45" s="715">
        <f t="shared" si="13"/>
        <v>100</v>
      </c>
      <c r="V45" s="714" t="s">
        <v>21</v>
      </c>
      <c r="W45" s="715">
        <f t="shared" si="14"/>
        <v>100</v>
      </c>
      <c r="X45" s="1538"/>
      <c r="Y45" s="3322"/>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62"/>
      <c r="Q46" s="1535">
        <f t="shared" si="11"/>
        <v>111</v>
      </c>
      <c r="R46" s="714" t="s">
        <v>20</v>
      </c>
      <c r="S46" s="715">
        <f t="shared" si="12"/>
        <v>100</v>
      </c>
      <c r="T46" s="714" t="s">
        <v>20</v>
      </c>
      <c r="U46" s="715">
        <f t="shared" si="13"/>
        <v>100</v>
      </c>
      <c r="V46" s="714" t="s">
        <v>20</v>
      </c>
      <c r="W46" s="715">
        <f t="shared" si="14"/>
        <v>100</v>
      </c>
      <c r="X46" s="1538"/>
      <c r="Y46" s="3363"/>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8"/>
      <c r="L47" s="2951"/>
      <c r="M47" s="2952"/>
      <c r="N47" s="2943"/>
      <c r="O47" s="2952"/>
      <c r="P47" s="3304" t="str">
        <f>A47</f>
        <v>成交单价（元/平方米）</v>
      </c>
      <c r="Q47" s="3304"/>
      <c r="R47" s="3359">
        <f>E47</f>
        <v>0</v>
      </c>
      <c r="S47" s="3359"/>
      <c r="T47" s="3359">
        <f>G47</f>
        <v>0</v>
      </c>
      <c r="U47" s="3359"/>
      <c r="V47" s="3359">
        <f>I47</f>
        <v>0</v>
      </c>
      <c r="W47" s="3359"/>
      <c r="X47" s="699"/>
      <c r="Y47" s="721"/>
      <c r="Z47" s="699"/>
      <c r="AA47" s="699"/>
      <c r="AB47" s="699"/>
      <c r="AC47" s="699"/>
    </row>
    <row r="48" spans="1:29" ht="15.75" thickBot="1">
      <c r="A48" s="445" t="s">
        <v>2399</v>
      </c>
      <c r="B48" s="446"/>
      <c r="C48" s="1321" t="e">
        <f>R49</f>
        <v>#DIV/0!</v>
      </c>
      <c r="D48" s="2536" t="s">
        <v>2880</v>
      </c>
      <c r="E48" s="1322" t="e">
        <f>R48</f>
        <v>#DIV/0!</v>
      </c>
      <c r="F48" s="2537"/>
      <c r="G48" s="1321" t="e">
        <f>T48</f>
        <v>#DIV/0!</v>
      </c>
      <c r="H48" s="2537"/>
      <c r="I48" s="1322" t="e">
        <f>V48</f>
        <v>#DIV/0!</v>
      </c>
      <c r="J48" s="2537"/>
      <c r="K48" s="2538">
        <f>F48+H48+J48</f>
        <v>0</v>
      </c>
      <c r="L48" s="2951"/>
      <c r="M48" s="2952"/>
      <c r="N48" s="2952"/>
      <c r="O48" s="2952"/>
      <c r="P48" s="3304" t="str">
        <f>A48</f>
        <v>比较价值（元/平方米）</v>
      </c>
      <c r="Q48" s="3304"/>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099"/>
      <c r="L49" s="2951"/>
      <c r="M49" s="2952"/>
      <c r="N49" s="2952"/>
      <c r="O49" s="2952"/>
      <c r="P49" s="3324" t="str">
        <f>A49</f>
        <v>估价对象XX用房的比较价值（楼面单价，元/平方米）</v>
      </c>
      <c r="Q49" s="3325"/>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1"/>
      <c r="L57" s="1072"/>
      <c r="M57" s="1070"/>
      <c r="N57" s="1070"/>
      <c r="O57" s="1070"/>
      <c r="P57" s="2102"/>
      <c r="Q57" s="461"/>
    </row>
    <row r="58" spans="1:29" s="465" customFormat="1" ht="15">
      <c r="A58" s="462" t="s">
        <v>2405</v>
      </c>
      <c r="B58" s="463"/>
      <c r="C58" s="1346" t="str">
        <f>YEAR(C7)&amp;"-"&amp;MONTH(C7)</f>
        <v>2021-4</v>
      </c>
      <c r="D58" s="1345">
        <f>EDATE(C58,-1)</f>
        <v>44256</v>
      </c>
      <c r="E58" s="1345">
        <f>EDATE(D58,-1)</f>
        <v>44228</v>
      </c>
      <c r="F58" s="1345">
        <f t="shared" ref="F58:O58" si="19">EDATE(E58,-1)</f>
        <v>44197</v>
      </c>
      <c r="G58" s="1345">
        <f t="shared" si="19"/>
        <v>44166</v>
      </c>
      <c r="H58" s="1345">
        <f t="shared" si="19"/>
        <v>44136</v>
      </c>
      <c r="I58" s="1345">
        <f t="shared" si="19"/>
        <v>44105</v>
      </c>
      <c r="J58" s="1345">
        <f t="shared" si="19"/>
        <v>44075</v>
      </c>
      <c r="K58" s="1345">
        <f t="shared" si="19"/>
        <v>44044</v>
      </c>
      <c r="L58" s="1345">
        <f t="shared" si="19"/>
        <v>44013</v>
      </c>
      <c r="M58" s="1345">
        <f t="shared" si="19"/>
        <v>43983</v>
      </c>
      <c r="N58" s="1345">
        <f t="shared" si="19"/>
        <v>43952</v>
      </c>
      <c r="O58" s="1345">
        <f t="shared" si="19"/>
        <v>43922</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5" t="e">
        <f ca="1">IF(C2="——",ROUND(C49*D3/10000,0),ROUND(C49*D3/10000,0)-D2)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t="e">
        <f ca="1">IF(C2="——",C49,ROUND(B2*10000/D3,0))</f>
        <v>#DIV/0!</v>
      </c>
      <c r="C3" s="360" t="s">
        <v>2465</v>
      </c>
      <c r="D3" s="359">
        <f>IF(D1="",'数据-汇总表'!E3,SUMIF('数据-汇总表'!$C19:$C33,D1,'数据-汇总表'!$E19:$E33))</f>
        <v>72083.499999999942</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05" t="s">
        <v>2467</v>
      </c>
      <c r="D4" s="3306"/>
      <c r="E4" s="3307" t="s">
        <v>2468</v>
      </c>
      <c r="F4" s="3308"/>
      <c r="G4" s="3305" t="s">
        <v>2469</v>
      </c>
      <c r="H4" s="3306"/>
      <c r="I4" s="3305" t="s">
        <v>2470</v>
      </c>
      <c r="J4" s="3306"/>
      <c r="K4" s="567" t="s">
        <v>2471</v>
      </c>
      <c r="L4" s="2942"/>
      <c r="M4" s="2943"/>
      <c r="N4" s="2943"/>
      <c r="O4" s="2943"/>
      <c r="P4" s="3309" t="s">
        <v>2472</v>
      </c>
      <c r="Q4" s="3310"/>
      <c r="R4" s="3292" t="s">
        <v>2468</v>
      </c>
      <c r="S4" s="3293"/>
      <c r="T4" s="3292" t="s">
        <v>2469</v>
      </c>
      <c r="U4" s="3293"/>
      <c r="V4" s="3317" t="s">
        <v>2470</v>
      </c>
      <c r="W4" s="3317"/>
      <c r="X4" s="1538"/>
      <c r="Y4" s="3292" t="s">
        <v>2472</v>
      </c>
      <c r="Z4" s="3293"/>
      <c r="AA4" s="3287" t="s">
        <v>2468</v>
      </c>
      <c r="AB4" s="3317" t="s">
        <v>2469</v>
      </c>
      <c r="AC4" s="3287" t="s">
        <v>2470</v>
      </c>
    </row>
    <row r="5" spans="1:29" ht="15">
      <c r="A5" s="364"/>
      <c r="B5" s="365"/>
      <c r="C5" s="3298" t="s">
        <v>2363</v>
      </c>
      <c r="D5" s="3299"/>
      <c r="E5" s="3296" t="s">
        <v>2364</v>
      </c>
      <c r="F5" s="3297"/>
      <c r="G5" s="3298" t="s">
        <v>2365</v>
      </c>
      <c r="H5" s="3299"/>
      <c r="I5" s="3298" t="s">
        <v>2366</v>
      </c>
      <c r="J5" s="3299"/>
      <c r="K5" s="567"/>
      <c r="L5" s="2942"/>
      <c r="M5" s="2943"/>
      <c r="N5" s="2943"/>
      <c r="O5" s="2943"/>
      <c r="P5" s="3311"/>
      <c r="Q5" s="3312"/>
      <c r="R5" s="3294"/>
      <c r="S5" s="3295"/>
      <c r="T5" s="3294"/>
      <c r="U5" s="3295"/>
      <c r="V5" s="3317"/>
      <c r="W5" s="3317"/>
      <c r="X5" s="1538"/>
      <c r="Y5" s="3294"/>
      <c r="Z5" s="3295"/>
      <c r="AA5" s="3288"/>
      <c r="AB5" s="3317"/>
      <c r="AC5" s="3288"/>
    </row>
    <row r="6" spans="1:29" ht="15.75" thickBot="1">
      <c r="A6" s="366"/>
      <c r="B6" s="367"/>
      <c r="C6" s="3300" t="s">
        <v>2367</v>
      </c>
      <c r="D6" s="3301"/>
      <c r="E6" s="3302" t="s">
        <v>2367</v>
      </c>
      <c r="F6" s="3303"/>
      <c r="G6" s="3300" t="s">
        <v>2367</v>
      </c>
      <c r="H6" s="3301"/>
      <c r="I6" s="3300" t="s">
        <v>2367</v>
      </c>
      <c r="J6" s="3301"/>
      <c r="K6" s="567" t="s">
        <v>2368</v>
      </c>
      <c r="L6" s="2942"/>
      <c r="M6" s="2943"/>
      <c r="N6" s="2943"/>
      <c r="O6" s="2943"/>
      <c r="P6" s="3313"/>
      <c r="Q6" s="3314"/>
      <c r="R6" s="3294"/>
      <c r="S6" s="3295"/>
      <c r="T6" s="3315"/>
      <c r="U6" s="3316"/>
      <c r="V6" s="3317"/>
      <c r="W6" s="3317"/>
      <c r="X6" s="1538"/>
      <c r="Y6" s="3315"/>
      <c r="Z6" s="3316"/>
      <c r="AA6" s="3289"/>
      <c r="AB6" s="3317"/>
      <c r="AC6" s="3289"/>
    </row>
    <row r="7" spans="1:29" s="113" customFormat="1" ht="15.75" thickBot="1">
      <c r="A7" s="368" t="s">
        <v>2369</v>
      </c>
      <c r="B7" s="369"/>
      <c r="C7" s="370">
        <f>'数据-取费表'!B2</f>
        <v>44299</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0" t="s">
        <v>2373</v>
      </c>
      <c r="Q8" s="3291"/>
      <c r="R8" s="710" t="s">
        <v>17</v>
      </c>
      <c r="S8" s="711">
        <f t="shared" si="0"/>
        <v>0</v>
      </c>
      <c r="T8" s="710" t="s">
        <v>17</v>
      </c>
      <c r="U8" s="711">
        <f t="shared" si="1"/>
        <v>0</v>
      </c>
      <c r="V8" s="710" t="s">
        <v>17</v>
      </c>
      <c r="W8" s="711">
        <f t="shared" si="2"/>
        <v>0</v>
      </c>
      <c r="X8" s="712"/>
      <c r="Y8" s="3290" t="s">
        <v>2373</v>
      </c>
      <c r="Z8" s="329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8"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64" t="s">
        <v>2381</v>
      </c>
      <c r="Q15" s="1535" t="str">
        <f t="shared" si="6"/>
        <v>商业繁华度</v>
      </c>
      <c r="R15" s="714" t="s">
        <v>17</v>
      </c>
      <c r="S15" s="715">
        <f t="shared" si="0"/>
        <v>100</v>
      </c>
      <c r="T15" s="714" t="s">
        <v>17</v>
      </c>
      <c r="U15" s="715">
        <f t="shared" si="1"/>
        <v>100</v>
      </c>
      <c r="V15" s="714" t="s">
        <v>17</v>
      </c>
      <c r="W15" s="715">
        <f t="shared" si="2"/>
        <v>100</v>
      </c>
      <c r="X15" s="1538"/>
      <c r="Y15" s="3319"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65"/>
      <c r="Q16" s="1535"/>
      <c r="R16" s="714"/>
      <c r="S16" s="715"/>
      <c r="T16" s="714"/>
      <c r="U16" s="715"/>
      <c r="V16" s="714"/>
      <c r="W16" s="715"/>
      <c r="X16" s="1538"/>
      <c r="Y16" s="3320"/>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65"/>
      <c r="Q17" s="1535" t="str">
        <f>B17</f>
        <v>交通便捷度</v>
      </c>
      <c r="R17" s="714" t="s">
        <v>17</v>
      </c>
      <c r="S17" s="715">
        <f>F17</f>
        <v>100</v>
      </c>
      <c r="T17" s="714" t="s">
        <v>17</v>
      </c>
      <c r="U17" s="715">
        <f>H17</f>
        <v>100</v>
      </c>
      <c r="V17" s="714" t="s">
        <v>17</v>
      </c>
      <c r="W17" s="715">
        <f>J17</f>
        <v>100</v>
      </c>
      <c r="X17" s="1538"/>
      <c r="Y17" s="332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65"/>
      <c r="Q18" s="1535"/>
      <c r="R18" s="714"/>
      <c r="S18" s="715"/>
      <c r="T18" s="714"/>
      <c r="U18" s="715"/>
      <c r="V18" s="714"/>
      <c r="W18" s="715"/>
      <c r="X18" s="1538"/>
      <c r="Y18" s="3320"/>
      <c r="Z18" s="1539"/>
      <c r="AA18" s="1536">
        <v>1</v>
      </c>
      <c r="AB18" s="1536">
        <v>1</v>
      </c>
      <c r="AC18" s="1536">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65"/>
      <c r="Q19" s="1535" t="str">
        <f>B19</f>
        <v>公共配套设施</v>
      </c>
      <c r="R19" s="714" t="s">
        <v>17</v>
      </c>
      <c r="S19" s="715">
        <f>F19</f>
        <v>100</v>
      </c>
      <c r="T19" s="714" t="s">
        <v>17</v>
      </c>
      <c r="U19" s="715">
        <f>H19</f>
        <v>100</v>
      </c>
      <c r="V19" s="714" t="s">
        <v>17</v>
      </c>
      <c r="W19" s="715">
        <f>J19</f>
        <v>100</v>
      </c>
      <c r="X19" s="1538"/>
      <c r="Y19" s="332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65"/>
      <c r="Q20" s="1535"/>
      <c r="R20" s="714"/>
      <c r="S20" s="715"/>
      <c r="T20" s="714"/>
      <c r="U20" s="715"/>
      <c r="V20" s="714"/>
      <c r="W20" s="715"/>
      <c r="X20" s="1538"/>
      <c r="Y20" s="3320"/>
      <c r="Z20" s="1539"/>
      <c r="AA20" s="1536">
        <v>1</v>
      </c>
      <c r="AB20" s="1536">
        <v>1</v>
      </c>
      <c r="AC20" s="1536">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20"/>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2949"/>
      <c r="M22" s="2943"/>
      <c r="N22" s="2943"/>
      <c r="O22" s="2943"/>
      <c r="P22" s="3365"/>
      <c r="Q22" s="1535"/>
      <c r="R22" s="714"/>
      <c r="S22" s="715"/>
      <c r="T22" s="714"/>
      <c r="U22" s="715"/>
      <c r="V22" s="714"/>
      <c r="W22" s="715"/>
      <c r="X22" s="1538"/>
      <c r="Y22" s="3320"/>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65"/>
      <c r="Q23" s="1535" t="str">
        <f>B23</f>
        <v>自然及人文环境</v>
      </c>
      <c r="R23" s="714" t="s">
        <v>17</v>
      </c>
      <c r="S23" s="715">
        <f>F23</f>
        <v>100</v>
      </c>
      <c r="T23" s="714" t="s">
        <v>17</v>
      </c>
      <c r="U23" s="715">
        <f>H23</f>
        <v>100</v>
      </c>
      <c r="V23" s="714" t="s">
        <v>17</v>
      </c>
      <c r="W23" s="715">
        <f>J23</f>
        <v>100</v>
      </c>
      <c r="X23" s="1538"/>
      <c r="Y23" s="332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65"/>
      <c r="Q24" s="1535"/>
      <c r="R24" s="714"/>
      <c r="S24" s="715"/>
      <c r="T24" s="714"/>
      <c r="U24" s="715"/>
      <c r="V24" s="714"/>
      <c r="W24" s="715"/>
      <c r="X24" s="1538"/>
      <c r="Y24" s="3320"/>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65"/>
      <c r="Q25" s="1535" t="str">
        <f t="shared" ref="Q25:Q46" si="11">B25</f>
        <v>临街状况</v>
      </c>
      <c r="R25" s="714" t="s">
        <v>17</v>
      </c>
      <c r="S25" s="715">
        <f>F25</f>
        <v>100</v>
      </c>
      <c r="T25" s="714" t="s">
        <v>17</v>
      </c>
      <c r="U25" s="715">
        <f>H25</f>
        <v>100</v>
      </c>
      <c r="V25" s="714" t="s">
        <v>17</v>
      </c>
      <c r="W25" s="715">
        <f>J25</f>
        <v>100</v>
      </c>
      <c r="X25" s="1538"/>
      <c r="Y25" s="3320"/>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65"/>
      <c r="Q26" s="1535" t="str">
        <f t="shared" si="11"/>
        <v>平面位置/可视性</v>
      </c>
      <c r="R26" s="714" t="s">
        <v>17</v>
      </c>
      <c r="S26" s="715">
        <f>F26</f>
        <v>100</v>
      </c>
      <c r="T26" s="714" t="s">
        <v>17</v>
      </c>
      <c r="U26" s="715">
        <f>H26</f>
        <v>100</v>
      </c>
      <c r="V26" s="714" t="s">
        <v>17</v>
      </c>
      <c r="W26" s="715">
        <f>J26</f>
        <v>100</v>
      </c>
      <c r="X26" s="1538"/>
      <c r="Y26" s="3320"/>
      <c r="Z26" s="1539" t="str">
        <f>Q26</f>
        <v>平面位置/可视性</v>
      </c>
      <c r="AA26" s="1536">
        <f t="shared" si="3"/>
        <v>1</v>
      </c>
      <c r="AB26" s="1536">
        <f t="shared" si="4"/>
        <v>1</v>
      </c>
      <c r="AC26" s="1536">
        <f t="shared" si="5"/>
        <v>1</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65"/>
      <c r="Q27" s="1526" t="str">
        <f t="shared" si="11"/>
        <v>人流量</v>
      </c>
      <c r="R27" s="710" t="s">
        <v>17</v>
      </c>
      <c r="S27" s="711">
        <f>F27</f>
        <v>100</v>
      </c>
      <c r="T27" s="710" t="s">
        <v>17</v>
      </c>
      <c r="U27" s="711">
        <f>H27</f>
        <v>100</v>
      </c>
      <c r="V27" s="710" t="s">
        <v>17</v>
      </c>
      <c r="W27" s="711">
        <f>J27</f>
        <v>100</v>
      </c>
      <c r="X27" s="712"/>
      <c r="Y27" s="3320"/>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6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20"/>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65"/>
      <c r="Q29" s="1535">
        <f t="shared" si="11"/>
        <v>111</v>
      </c>
      <c r="R29" s="714" t="s">
        <v>17</v>
      </c>
      <c r="S29" s="715">
        <f t="shared" si="12"/>
        <v>100</v>
      </c>
      <c r="T29" s="714" t="s">
        <v>17</v>
      </c>
      <c r="U29" s="715">
        <f t="shared" si="13"/>
        <v>100</v>
      </c>
      <c r="V29" s="714" t="s">
        <v>17</v>
      </c>
      <c r="W29" s="715">
        <f t="shared" si="14"/>
        <v>100</v>
      </c>
      <c r="X29" s="1538"/>
      <c r="Y29" s="3320"/>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65"/>
      <c r="Q30" s="1535">
        <f t="shared" si="11"/>
        <v>111</v>
      </c>
      <c r="R30" s="714" t="s">
        <v>17</v>
      </c>
      <c r="S30" s="715">
        <f t="shared" si="12"/>
        <v>100</v>
      </c>
      <c r="T30" s="714" t="s">
        <v>17</v>
      </c>
      <c r="U30" s="715">
        <f t="shared" si="13"/>
        <v>100</v>
      </c>
      <c r="V30" s="714" t="s">
        <v>17</v>
      </c>
      <c r="W30" s="715">
        <f t="shared" si="14"/>
        <v>100</v>
      </c>
      <c r="X30" s="1538"/>
      <c r="Y30" s="3320"/>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65"/>
      <c r="Q31" s="1535">
        <f t="shared" si="11"/>
        <v>111</v>
      </c>
      <c r="R31" s="714" t="s">
        <v>17</v>
      </c>
      <c r="S31" s="715">
        <f t="shared" si="12"/>
        <v>100</v>
      </c>
      <c r="T31" s="714" t="s">
        <v>17</v>
      </c>
      <c r="U31" s="715">
        <f t="shared" si="13"/>
        <v>100</v>
      </c>
      <c r="V31" s="714" t="s">
        <v>17</v>
      </c>
      <c r="W31" s="715">
        <f t="shared" si="14"/>
        <v>100</v>
      </c>
      <c r="X31" s="1538"/>
      <c r="Y31" s="3320"/>
      <c r="Z31" s="1539">
        <f t="shared" si="15"/>
        <v>111</v>
      </c>
      <c r="AA31" s="1536">
        <f t="shared" si="3"/>
        <v>1</v>
      </c>
      <c r="AB31" s="1536">
        <f t="shared" si="4"/>
        <v>1</v>
      </c>
      <c r="AC31" s="1536">
        <f t="shared" si="5"/>
        <v>1</v>
      </c>
    </row>
    <row r="32" spans="1:29" ht="15">
      <c r="A32" s="399" t="s">
        <v>2384</v>
      </c>
      <c r="B32" s="67" t="s">
        <v>2481</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60" t="s">
        <v>2386</v>
      </c>
      <c r="Q32" s="1535" t="str">
        <f t="shared" si="11"/>
        <v>商业类型</v>
      </c>
      <c r="R32" s="714" t="s">
        <v>17</v>
      </c>
      <c r="S32" s="715">
        <f t="shared" si="12"/>
        <v>100</v>
      </c>
      <c r="T32" s="714" t="s">
        <v>17</v>
      </c>
      <c r="U32" s="715">
        <f t="shared" si="13"/>
        <v>100</v>
      </c>
      <c r="V32" s="714" t="s">
        <v>17</v>
      </c>
      <c r="W32" s="715">
        <f t="shared" si="14"/>
        <v>100</v>
      </c>
      <c r="X32" s="1538"/>
      <c r="Y32" s="3322"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61"/>
      <c r="Q33" s="716" t="str">
        <f t="shared" si="11"/>
        <v>项目建筑规模</v>
      </c>
      <c r="R33" s="717" t="s">
        <v>17</v>
      </c>
      <c r="S33" s="718" t="e">
        <f t="shared" si="12"/>
        <v>#N/A</v>
      </c>
      <c r="T33" s="717" t="s">
        <v>17</v>
      </c>
      <c r="U33" s="718" t="e">
        <f t="shared" si="13"/>
        <v>#N/A</v>
      </c>
      <c r="V33" s="717" t="s">
        <v>17</v>
      </c>
      <c r="W33" s="718" t="e">
        <f t="shared" si="14"/>
        <v>#N/A</v>
      </c>
      <c r="X33" s="719"/>
      <c r="Y33" s="3322"/>
      <c r="Z33" s="720" t="str">
        <f t="shared" si="15"/>
        <v>项目建筑规模</v>
      </c>
      <c r="AA33" s="1536" t="e">
        <f t="shared" si="3"/>
        <v>#N/A</v>
      </c>
      <c r="AB33" s="1536" t="e">
        <f t="shared" si="4"/>
        <v>#N/A</v>
      </c>
      <c r="AC33" s="1536" t="e">
        <f t="shared" si="5"/>
        <v>#N/A</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61"/>
      <c r="Q34" s="1535" t="str">
        <f t="shared" si="11"/>
        <v>建筑结构</v>
      </c>
      <c r="R34" s="714" t="s">
        <v>17</v>
      </c>
      <c r="S34" s="715">
        <f t="shared" si="12"/>
        <v>100</v>
      </c>
      <c r="T34" s="714" t="s">
        <v>17</v>
      </c>
      <c r="U34" s="715">
        <f t="shared" si="13"/>
        <v>100</v>
      </c>
      <c r="V34" s="714" t="s">
        <v>17</v>
      </c>
      <c r="W34" s="715">
        <f t="shared" si="14"/>
        <v>100</v>
      </c>
      <c r="X34" s="1538"/>
      <c r="Y34" s="3322"/>
      <c r="Z34" s="1539" t="str">
        <f t="shared" si="15"/>
        <v>建筑结构</v>
      </c>
      <c r="AA34" s="1536">
        <f t="shared" si="3"/>
        <v>1</v>
      </c>
      <c r="AB34" s="1536">
        <f t="shared" si="4"/>
        <v>1</v>
      </c>
      <c r="AC34" s="1536">
        <f t="shared" si="5"/>
        <v>1</v>
      </c>
    </row>
    <row r="35" spans="1:29" ht="15">
      <c r="A35" s="431"/>
      <c r="B35" s="381" t="s">
        <v>2482</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61"/>
      <c r="Q35" s="1535" t="str">
        <f t="shared" si="11"/>
        <v>公共部分装修</v>
      </c>
      <c r="R35" s="714" t="s">
        <v>17</v>
      </c>
      <c r="S35" s="715">
        <f t="shared" si="12"/>
        <v>100</v>
      </c>
      <c r="T35" s="714" t="s">
        <v>17</v>
      </c>
      <c r="U35" s="715">
        <f t="shared" si="13"/>
        <v>100</v>
      </c>
      <c r="V35" s="714" t="s">
        <v>17</v>
      </c>
      <c r="W35" s="715">
        <f t="shared" si="14"/>
        <v>100</v>
      </c>
      <c r="X35" s="1538"/>
      <c r="Y35" s="3322"/>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61"/>
      <c r="Q36" s="1535" t="str">
        <f t="shared" si="11"/>
        <v>成新度</v>
      </c>
      <c r="R36" s="714" t="s">
        <v>17</v>
      </c>
      <c r="S36" s="715" t="e">
        <f t="shared" si="12"/>
        <v>#N/A</v>
      </c>
      <c r="T36" s="714" t="s">
        <v>17</v>
      </c>
      <c r="U36" s="715" t="e">
        <f t="shared" si="13"/>
        <v>#N/A</v>
      </c>
      <c r="V36" s="714" t="s">
        <v>17</v>
      </c>
      <c r="W36" s="715" t="e">
        <f t="shared" si="14"/>
        <v>#N/A</v>
      </c>
      <c r="X36" s="1538"/>
      <c r="Y36" s="3322"/>
      <c r="Z36" s="1539" t="str">
        <f t="shared" si="15"/>
        <v>成新度</v>
      </c>
      <c r="AA36" s="1536" t="e">
        <f t="shared" si="3"/>
        <v>#N/A</v>
      </c>
      <c r="AB36" s="1536" t="e">
        <f t="shared" si="4"/>
        <v>#N/A</v>
      </c>
      <c r="AC36" s="1536" t="e">
        <f t="shared" si="5"/>
        <v>#N/A</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61"/>
      <c r="Q37" s="1526" t="str">
        <f t="shared" si="11"/>
        <v>市政基础设施</v>
      </c>
      <c r="R37" s="710" t="s">
        <v>17</v>
      </c>
      <c r="S37" s="711">
        <f t="shared" si="12"/>
        <v>100</v>
      </c>
      <c r="T37" s="710" t="s">
        <v>17</v>
      </c>
      <c r="U37" s="711">
        <f t="shared" si="13"/>
        <v>100</v>
      </c>
      <c r="V37" s="710" t="s">
        <v>17</v>
      </c>
      <c r="W37" s="711">
        <f t="shared" si="14"/>
        <v>100</v>
      </c>
      <c r="X37" s="712"/>
      <c r="Y37" s="3322"/>
      <c r="Z37" s="55" t="str">
        <f t="shared" si="15"/>
        <v>市政基础设施</v>
      </c>
      <c r="AA37" s="713">
        <f t="shared" si="3"/>
        <v>1</v>
      </c>
      <c r="AB37" s="713">
        <f t="shared" si="4"/>
        <v>1</v>
      </c>
      <c r="AC37" s="713">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61" t="s">
        <v>2386</v>
      </c>
      <c r="Q38" s="1535" t="str">
        <f t="shared" si="11"/>
        <v>业态</v>
      </c>
      <c r="R38" s="714" t="s">
        <v>17</v>
      </c>
      <c r="S38" s="715">
        <f t="shared" si="12"/>
        <v>100</v>
      </c>
      <c r="T38" s="714" t="s">
        <v>17</v>
      </c>
      <c r="U38" s="715">
        <f t="shared" si="13"/>
        <v>100</v>
      </c>
      <c r="V38" s="714" t="s">
        <v>17</v>
      </c>
      <c r="W38" s="715">
        <f t="shared" si="14"/>
        <v>100</v>
      </c>
      <c r="X38" s="1538"/>
      <c r="Y38" s="3322" t="s">
        <v>2386</v>
      </c>
      <c r="Z38" s="1539" t="str">
        <f t="shared" si="15"/>
        <v>业态</v>
      </c>
      <c r="AA38" s="1536">
        <f t="shared" si="3"/>
        <v>1</v>
      </c>
      <c r="AB38" s="1536">
        <f t="shared" si="4"/>
        <v>1</v>
      </c>
      <c r="AC38" s="1536">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61"/>
      <c r="Q39" s="1535" t="str">
        <f t="shared" si="11"/>
        <v>层高</v>
      </c>
      <c r="R39" s="714" t="s">
        <v>17</v>
      </c>
      <c r="S39" s="715">
        <f t="shared" si="12"/>
        <v>100</v>
      </c>
      <c r="T39" s="714" t="s">
        <v>17</v>
      </c>
      <c r="U39" s="715">
        <f t="shared" si="13"/>
        <v>100</v>
      </c>
      <c r="V39" s="714" t="s">
        <v>17</v>
      </c>
      <c r="W39" s="715">
        <f t="shared" si="14"/>
        <v>100</v>
      </c>
      <c r="X39" s="1538"/>
      <c r="Y39" s="3322"/>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61"/>
      <c r="Q40" s="1535" t="str">
        <f t="shared" si="11"/>
        <v>单套建筑面积</v>
      </c>
      <c r="R40" s="714" t="s">
        <v>17</v>
      </c>
      <c r="S40" s="715">
        <f t="shared" si="12"/>
        <v>100</v>
      </c>
      <c r="T40" s="714" t="s">
        <v>17</v>
      </c>
      <c r="U40" s="715">
        <f t="shared" si="13"/>
        <v>100</v>
      </c>
      <c r="V40" s="714" t="s">
        <v>17</v>
      </c>
      <c r="W40" s="715">
        <f t="shared" si="14"/>
        <v>100</v>
      </c>
      <c r="X40" s="1538"/>
      <c r="Y40" s="3322"/>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61"/>
      <c r="Q41" s="716" t="str">
        <f t="shared" si="11"/>
        <v>进深比</v>
      </c>
      <c r="R41" s="717" t="s">
        <v>17</v>
      </c>
      <c r="S41" s="718">
        <f t="shared" si="12"/>
        <v>100</v>
      </c>
      <c r="T41" s="717" t="s">
        <v>17</v>
      </c>
      <c r="U41" s="718">
        <f t="shared" si="13"/>
        <v>100</v>
      </c>
      <c r="V41" s="717" t="s">
        <v>17</v>
      </c>
      <c r="W41" s="718">
        <f t="shared" si="14"/>
        <v>100</v>
      </c>
      <c r="X41" s="719"/>
      <c r="Y41" s="3322"/>
      <c r="Z41" s="720" t="str">
        <f t="shared" si="15"/>
        <v>进深比</v>
      </c>
      <c r="AA41" s="1536">
        <f t="shared" si="3"/>
        <v>1</v>
      </c>
      <c r="AB41" s="1536">
        <f t="shared" si="4"/>
        <v>1</v>
      </c>
      <c r="AC41" s="1536">
        <f t="shared" si="5"/>
        <v>1</v>
      </c>
    </row>
    <row r="42" spans="1:29" ht="15">
      <c r="A42" s="431"/>
      <c r="B42" s="381" t="s">
        <v>2489</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61"/>
      <c r="Q42" s="1535" t="str">
        <f t="shared" si="11"/>
        <v>内部装修</v>
      </c>
      <c r="R42" s="714" t="s">
        <v>17</v>
      </c>
      <c r="S42" s="715">
        <f t="shared" si="12"/>
        <v>100</v>
      </c>
      <c r="T42" s="714" t="s">
        <v>17</v>
      </c>
      <c r="U42" s="715">
        <f t="shared" si="13"/>
        <v>100</v>
      </c>
      <c r="V42" s="714" t="s">
        <v>17</v>
      </c>
      <c r="W42" s="715">
        <f t="shared" si="14"/>
        <v>100</v>
      </c>
      <c r="X42" s="1538"/>
      <c r="Y42" s="3322"/>
      <c r="Z42" s="1539" t="str">
        <f t="shared" si="15"/>
        <v>内部装修</v>
      </c>
      <c r="AA42" s="1536">
        <f t="shared" si="3"/>
        <v>1</v>
      </c>
      <c r="AB42" s="1536">
        <f t="shared" si="4"/>
        <v>1</v>
      </c>
      <c r="AC42" s="1536">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61"/>
      <c r="Q43" s="1535" t="str">
        <f t="shared" si="11"/>
        <v>内部装修维护情况</v>
      </c>
      <c r="R43" s="714" t="s">
        <v>17</v>
      </c>
      <c r="S43" s="715">
        <f t="shared" si="12"/>
        <v>100</v>
      </c>
      <c r="T43" s="714" t="s">
        <v>17</v>
      </c>
      <c r="U43" s="715">
        <f t="shared" si="13"/>
        <v>100</v>
      </c>
      <c r="V43" s="714" t="s">
        <v>17</v>
      </c>
      <c r="W43" s="715">
        <f t="shared" si="14"/>
        <v>100</v>
      </c>
      <c r="X43" s="1538"/>
      <c r="Y43" s="3322"/>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61"/>
      <c r="Q44" s="1526">
        <f t="shared" si="11"/>
        <v>111</v>
      </c>
      <c r="R44" s="710" t="s">
        <v>17</v>
      </c>
      <c r="S44" s="711">
        <f t="shared" si="12"/>
        <v>100</v>
      </c>
      <c r="T44" s="710" t="s">
        <v>17</v>
      </c>
      <c r="U44" s="711">
        <f t="shared" si="13"/>
        <v>100</v>
      </c>
      <c r="V44" s="710" t="s">
        <v>17</v>
      </c>
      <c r="W44" s="711">
        <f t="shared" si="14"/>
        <v>100</v>
      </c>
      <c r="X44" s="712"/>
      <c r="Y44" s="3322"/>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61"/>
      <c r="Q45" s="1535">
        <f t="shared" si="11"/>
        <v>111</v>
      </c>
      <c r="R45" s="714" t="s">
        <v>17</v>
      </c>
      <c r="S45" s="715">
        <f t="shared" si="12"/>
        <v>100</v>
      </c>
      <c r="T45" s="714" t="s">
        <v>17</v>
      </c>
      <c r="U45" s="715">
        <f t="shared" si="13"/>
        <v>100</v>
      </c>
      <c r="V45" s="714" t="s">
        <v>17</v>
      </c>
      <c r="W45" s="715">
        <f t="shared" si="14"/>
        <v>100</v>
      </c>
      <c r="X45" s="1538"/>
      <c r="Y45" s="3322"/>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62"/>
      <c r="Q46" s="1535">
        <f t="shared" si="11"/>
        <v>111</v>
      </c>
      <c r="R46" s="714" t="s">
        <v>17</v>
      </c>
      <c r="S46" s="715">
        <f t="shared" si="12"/>
        <v>100</v>
      </c>
      <c r="T46" s="714" t="s">
        <v>17</v>
      </c>
      <c r="U46" s="715">
        <f t="shared" si="13"/>
        <v>100</v>
      </c>
      <c r="V46" s="714" t="s">
        <v>17</v>
      </c>
      <c r="W46" s="715">
        <f t="shared" si="14"/>
        <v>100</v>
      </c>
      <c r="X46" s="1538"/>
      <c r="Y46" s="3363"/>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1"/>
      <c r="M47" s="2952"/>
      <c r="N47" s="2943"/>
      <c r="O47" s="2952"/>
      <c r="P47" s="3304" t="str">
        <f>A47</f>
        <v>成交单价（元/平方米）</v>
      </c>
      <c r="Q47" s="3304"/>
      <c r="R47" s="3317">
        <f>E47</f>
        <v>0</v>
      </c>
      <c r="S47" s="3317"/>
      <c r="T47" s="3317">
        <f>G47</f>
        <v>0</v>
      </c>
      <c r="U47" s="3317"/>
      <c r="V47" s="3317">
        <f>I47</f>
        <v>0</v>
      </c>
      <c r="W47" s="3317"/>
      <c r="X47" s="699"/>
      <c r="Y47" s="721"/>
      <c r="Z47" s="699"/>
      <c r="AA47" s="699"/>
      <c r="AB47" s="699"/>
      <c r="AC47" s="699"/>
    </row>
    <row r="48" spans="1:29" ht="15.75" thickBot="1">
      <c r="A48" s="445" t="s">
        <v>2490</v>
      </c>
      <c r="B48" s="446"/>
      <c r="C48" s="1321" t="e">
        <f>R49</f>
        <v>#DIV/0!</v>
      </c>
      <c r="D48" s="2536" t="s">
        <v>2880</v>
      </c>
      <c r="E48" s="1322" t="e">
        <f>R48</f>
        <v>#DIV/0!</v>
      </c>
      <c r="F48" s="2537"/>
      <c r="G48" s="1321" t="e">
        <f>T48</f>
        <v>#DIV/0!</v>
      </c>
      <c r="H48" s="2537"/>
      <c r="I48" s="1322" t="e">
        <f>V48</f>
        <v>#DIV/0!</v>
      </c>
      <c r="J48" s="2537"/>
      <c r="K48" s="2539">
        <f>F48+H48+J48</f>
        <v>0</v>
      </c>
      <c r="L48" s="2951"/>
      <c r="M48" s="2952"/>
      <c r="N48" s="2943"/>
      <c r="O48" s="2952"/>
      <c r="P48" s="3304" t="str">
        <f>A48</f>
        <v>比较价值（元/平方米）</v>
      </c>
      <c r="Q48" s="3304"/>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1"/>
      <c r="M49" s="2952"/>
      <c r="N49" s="2943"/>
      <c r="O49" s="2952"/>
      <c r="P49" s="3324" t="str">
        <f>A49</f>
        <v>估价对象XX用房的比较价值（楼面单价，元/平方米）</v>
      </c>
      <c r="Q49" s="3325"/>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2021-4</v>
      </c>
      <c r="D58" s="1345">
        <f>EDATE(C58,-1)</f>
        <v>44256</v>
      </c>
      <c r="E58" s="1345">
        <f t="shared" ref="E58:N58" si="16">EDATE(D58,-1)</f>
        <v>44228</v>
      </c>
      <c r="F58" s="1345">
        <f t="shared" si="16"/>
        <v>44197</v>
      </c>
      <c r="G58" s="1345">
        <f t="shared" si="16"/>
        <v>44166</v>
      </c>
      <c r="H58" s="1345">
        <f t="shared" si="16"/>
        <v>44136</v>
      </c>
      <c r="I58" s="1345">
        <f t="shared" si="16"/>
        <v>44105</v>
      </c>
      <c r="J58" s="1345">
        <f t="shared" si="16"/>
        <v>44075</v>
      </c>
      <c r="K58" s="1345">
        <f t="shared" si="16"/>
        <v>44044</v>
      </c>
      <c r="L58" s="1345">
        <f t="shared" si="16"/>
        <v>44013</v>
      </c>
      <c r="M58" s="1345">
        <f t="shared" si="16"/>
        <v>43983</v>
      </c>
      <c r="N58" s="1345">
        <f t="shared" si="16"/>
        <v>43952</v>
      </c>
      <c r="O58" s="1345">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估价对象为房地产，为所有。根据《国有土地使用证》[]，估价对象（分摊）出让国有建设用地使用权面积为11088平方米，建筑面积为72083.4999999999平方米。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估价对象为房地产,属开发建设的，该项目尚在开发建设中。根据《国有土地使用证》[]，估价对象（分摊）出让国有建设用地使用权面积为11088平方米，规划建筑面积为72083.4999999999平方米。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2021年4月13日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72083.499999999942</v>
      </c>
      <c r="E3" s="2138"/>
      <c r="F3" s="1039"/>
      <c r="G3" s="1038"/>
      <c r="H3" s="1038"/>
      <c r="I3" s="1038"/>
      <c r="J3" s="1038"/>
      <c r="K3" s="1040"/>
      <c r="L3" s="2961"/>
      <c r="M3" s="2962"/>
      <c r="N3" s="2962"/>
      <c r="O3" s="2962"/>
      <c r="P3" s="708"/>
      <c r="Q3" s="708"/>
      <c r="R3" s="708"/>
      <c r="S3" s="708"/>
      <c r="T3" s="708"/>
      <c r="U3" s="708"/>
      <c r="V3" s="708"/>
      <c r="W3" s="708"/>
      <c r="X3" s="708"/>
      <c r="Y3" s="708"/>
      <c r="Z3" s="708"/>
      <c r="AA3" s="708"/>
      <c r="AB3" s="708"/>
      <c r="AC3" s="709"/>
    </row>
    <row r="4" spans="1:29" ht="15">
      <c r="A4" s="361" t="s">
        <v>2466</v>
      </c>
      <c r="B4" s="362"/>
      <c r="C4" s="3305" t="s">
        <v>2467</v>
      </c>
      <c r="D4" s="3306"/>
      <c r="E4" s="3307" t="s">
        <v>2468</v>
      </c>
      <c r="F4" s="3308"/>
      <c r="G4" s="3305" t="s">
        <v>2469</v>
      </c>
      <c r="H4" s="3306"/>
      <c r="I4" s="3305" t="s">
        <v>2470</v>
      </c>
      <c r="J4" s="3306"/>
      <c r="K4" s="567" t="s">
        <v>2471</v>
      </c>
      <c r="L4" s="2942"/>
      <c r="M4" s="2943"/>
      <c r="N4" s="2943"/>
      <c r="O4" s="2943"/>
      <c r="P4" s="3372" t="s">
        <v>2472</v>
      </c>
      <c r="Q4" s="3373"/>
      <c r="R4" s="3367" t="s">
        <v>2468</v>
      </c>
      <c r="S4" s="3368"/>
      <c r="T4" s="3367" t="s">
        <v>2469</v>
      </c>
      <c r="U4" s="3368"/>
      <c r="V4" s="3376" t="s">
        <v>2470</v>
      </c>
      <c r="W4" s="3376"/>
      <c r="X4" s="2142"/>
      <c r="Y4" s="3367" t="s">
        <v>2472</v>
      </c>
      <c r="Z4" s="3368"/>
      <c r="AA4" s="3366" t="s">
        <v>2468</v>
      </c>
      <c r="AB4" s="3366" t="s">
        <v>2469</v>
      </c>
      <c r="AC4" s="3369" t="s">
        <v>2470</v>
      </c>
    </row>
    <row r="5" spans="1:29" ht="15">
      <c r="A5" s="364"/>
      <c r="B5" s="365"/>
      <c r="C5" s="3298" t="s">
        <v>2363</v>
      </c>
      <c r="D5" s="3299"/>
      <c r="E5" s="3296" t="s">
        <v>2364</v>
      </c>
      <c r="F5" s="3297"/>
      <c r="G5" s="3298" t="s">
        <v>2365</v>
      </c>
      <c r="H5" s="3299"/>
      <c r="I5" s="3298" t="s">
        <v>2366</v>
      </c>
      <c r="J5" s="3299"/>
      <c r="K5" s="567"/>
      <c r="L5" s="2942"/>
      <c r="M5" s="2943"/>
      <c r="N5" s="2943"/>
      <c r="O5" s="2943"/>
      <c r="P5" s="3374"/>
      <c r="Q5" s="3312"/>
      <c r="R5" s="3294"/>
      <c r="S5" s="3295"/>
      <c r="T5" s="3294"/>
      <c r="U5" s="3295"/>
      <c r="V5" s="3317"/>
      <c r="W5" s="3317"/>
      <c r="X5" s="1538"/>
      <c r="Y5" s="3294"/>
      <c r="Z5" s="3295"/>
      <c r="AA5" s="3288"/>
      <c r="AB5" s="3288"/>
      <c r="AC5" s="3370"/>
    </row>
    <row r="6" spans="1:29" ht="15.75" thickBot="1">
      <c r="A6" s="366"/>
      <c r="B6" s="367"/>
      <c r="C6" s="3300" t="s">
        <v>2367</v>
      </c>
      <c r="D6" s="3301"/>
      <c r="E6" s="3302" t="s">
        <v>2367</v>
      </c>
      <c r="F6" s="3303"/>
      <c r="G6" s="3300" t="s">
        <v>2367</v>
      </c>
      <c r="H6" s="3301"/>
      <c r="I6" s="3300" t="s">
        <v>2367</v>
      </c>
      <c r="J6" s="3301"/>
      <c r="K6" s="567" t="s">
        <v>2368</v>
      </c>
      <c r="L6" s="2942"/>
      <c r="M6" s="2943"/>
      <c r="N6" s="2943"/>
      <c r="O6" s="2943"/>
      <c r="P6" s="3375"/>
      <c r="Q6" s="3314"/>
      <c r="R6" s="3294"/>
      <c r="S6" s="3295"/>
      <c r="T6" s="3315"/>
      <c r="U6" s="3316"/>
      <c r="V6" s="3317"/>
      <c r="W6" s="3317"/>
      <c r="X6" s="1538"/>
      <c r="Y6" s="3315"/>
      <c r="Z6" s="3316"/>
      <c r="AA6" s="3289"/>
      <c r="AB6" s="3289"/>
      <c r="AC6" s="3371"/>
    </row>
    <row r="7" spans="1:29" s="113" customFormat="1" ht="15.75" thickBot="1">
      <c r="A7" s="368" t="s">
        <v>2369</v>
      </c>
      <c r="B7" s="369"/>
      <c r="C7" s="370">
        <f>'数据-取费表'!B2</f>
        <v>44299</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7"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7" t="s">
        <v>2373</v>
      </c>
      <c r="Q8" s="3291"/>
      <c r="R8" s="710" t="s">
        <v>17</v>
      </c>
      <c r="S8" s="711">
        <f t="shared" si="0"/>
        <v>0</v>
      </c>
      <c r="T8" s="710" t="s">
        <v>17</v>
      </c>
      <c r="U8" s="711">
        <f t="shared" si="1"/>
        <v>0</v>
      </c>
      <c r="V8" s="710" t="s">
        <v>17</v>
      </c>
      <c r="W8" s="711">
        <f t="shared" si="2"/>
        <v>0</v>
      </c>
      <c r="X8" s="712"/>
      <c r="Y8" s="3290" t="s">
        <v>2373</v>
      </c>
      <c r="Z8" s="3291"/>
      <c r="AA8" s="713" t="e">
        <f t="shared" ref="AA8:AA47" si="3">D8/F8</f>
        <v>#DIV/0!</v>
      </c>
      <c r="AB8" s="713"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8"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2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2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2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64" t="s">
        <v>2381</v>
      </c>
      <c r="Q15" s="1535" t="str">
        <f t="shared" si="6"/>
        <v>办公集聚程度</v>
      </c>
      <c r="R15" s="714" t="s">
        <v>17</v>
      </c>
      <c r="S15" s="715">
        <f t="shared" si="0"/>
        <v>100</v>
      </c>
      <c r="T15" s="714" t="s">
        <v>17</v>
      </c>
      <c r="U15" s="715">
        <f t="shared" si="1"/>
        <v>100</v>
      </c>
      <c r="V15" s="714" t="s">
        <v>17</v>
      </c>
      <c r="W15" s="715">
        <f t="shared" si="2"/>
        <v>100</v>
      </c>
      <c r="X15" s="1538"/>
      <c r="Y15" s="3319" t="s">
        <v>2381</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65"/>
      <c r="Q16" s="1535"/>
      <c r="R16" s="714"/>
      <c r="S16" s="715"/>
      <c r="T16" s="714"/>
      <c r="U16" s="715"/>
      <c r="V16" s="714"/>
      <c r="W16" s="715"/>
      <c r="X16" s="1538"/>
      <c r="Y16" s="3320"/>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65"/>
      <c r="Q17" s="1535" t="str">
        <f>B17</f>
        <v>交通便捷度</v>
      </c>
      <c r="R17" s="714" t="s">
        <v>17</v>
      </c>
      <c r="S17" s="715">
        <f>F17</f>
        <v>100</v>
      </c>
      <c r="T17" s="714" t="s">
        <v>17</v>
      </c>
      <c r="U17" s="715">
        <f>H17</f>
        <v>100</v>
      </c>
      <c r="V17" s="714" t="s">
        <v>17</v>
      </c>
      <c r="W17" s="715">
        <f>J17</f>
        <v>100</v>
      </c>
      <c r="X17" s="1538"/>
      <c r="Y17" s="3320"/>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65"/>
      <c r="Q18" s="1535"/>
      <c r="R18" s="714"/>
      <c r="S18" s="715"/>
      <c r="T18" s="714"/>
      <c r="U18" s="715"/>
      <c r="V18" s="714"/>
      <c r="W18" s="715"/>
      <c r="X18" s="1538"/>
      <c r="Y18" s="3320"/>
      <c r="Z18" s="1539"/>
      <c r="AA18" s="1536">
        <v>1</v>
      </c>
      <c r="AB18" s="1536">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65"/>
      <c r="Q19" s="1535" t="str">
        <f>B19</f>
        <v>公共配套设施</v>
      </c>
      <c r="R19" s="714" t="s">
        <v>17</v>
      </c>
      <c r="S19" s="715">
        <f>F19</f>
        <v>100</v>
      </c>
      <c r="T19" s="714" t="s">
        <v>17</v>
      </c>
      <c r="U19" s="715">
        <f>H19</f>
        <v>100</v>
      </c>
      <c r="V19" s="714" t="s">
        <v>17</v>
      </c>
      <c r="W19" s="715">
        <f>J19</f>
        <v>100</v>
      </c>
      <c r="X19" s="1538"/>
      <c r="Y19" s="3320"/>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65"/>
      <c r="Q20" s="1535"/>
      <c r="R20" s="714"/>
      <c r="S20" s="715"/>
      <c r="T20" s="714"/>
      <c r="U20" s="715"/>
      <c r="V20" s="714"/>
      <c r="W20" s="715"/>
      <c r="X20" s="1538"/>
      <c r="Y20" s="3320"/>
      <c r="Z20" s="1539"/>
      <c r="AA20" s="1536">
        <v>1</v>
      </c>
      <c r="AB20" s="1536">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65"/>
      <c r="Q21" s="1535" t="str">
        <f>B21</f>
        <v>基础设施水平</v>
      </c>
      <c r="R21" s="714" t="s">
        <v>17</v>
      </c>
      <c r="S21" s="715">
        <f>F21</f>
        <v>100</v>
      </c>
      <c r="T21" s="714" t="s">
        <v>17</v>
      </c>
      <c r="U21" s="715">
        <f>H21</f>
        <v>100</v>
      </c>
      <c r="V21" s="714" t="s">
        <v>17</v>
      </c>
      <c r="W21" s="715">
        <f>J21</f>
        <v>100</v>
      </c>
      <c r="X21" s="1538"/>
      <c r="Y21" s="3320"/>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365"/>
      <c r="Q22" s="1535"/>
      <c r="R22" s="714"/>
      <c r="S22" s="715"/>
      <c r="T22" s="714"/>
      <c r="U22" s="715"/>
      <c r="V22" s="714"/>
      <c r="W22" s="715"/>
      <c r="X22" s="1538"/>
      <c r="Y22" s="3320"/>
      <c r="Z22" s="1539"/>
      <c r="AA22" s="1536">
        <v>1</v>
      </c>
      <c r="AB22" s="1536">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65"/>
      <c r="Q23" s="1535" t="str">
        <f>B23</f>
        <v>环境质量</v>
      </c>
      <c r="R23" s="714" t="s">
        <v>17</v>
      </c>
      <c r="S23" s="715">
        <f>F23</f>
        <v>100</v>
      </c>
      <c r="T23" s="714" t="s">
        <v>17</v>
      </c>
      <c r="U23" s="715">
        <f>H23</f>
        <v>100</v>
      </c>
      <c r="V23" s="714" t="s">
        <v>17</v>
      </c>
      <c r="W23" s="715">
        <f>J23</f>
        <v>100</v>
      </c>
      <c r="X23" s="1538"/>
      <c r="Y23" s="3320"/>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65"/>
      <c r="Q24" s="1535"/>
      <c r="R24" s="714"/>
      <c r="S24" s="715"/>
      <c r="T24" s="714"/>
      <c r="U24" s="715"/>
      <c r="V24" s="714"/>
      <c r="W24" s="715"/>
      <c r="X24" s="1538"/>
      <c r="Y24" s="3320"/>
      <c r="Z24" s="1539"/>
      <c r="AA24" s="1536">
        <v>1</v>
      </c>
      <c r="AB24" s="1536">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65"/>
      <c r="Q25" s="1535" t="str">
        <f>B25</f>
        <v>毗邻道路的类型与等级</v>
      </c>
      <c r="R25" s="714" t="s">
        <v>17</v>
      </c>
      <c r="S25" s="715">
        <f>F25</f>
        <v>100</v>
      </c>
      <c r="T25" s="714" t="s">
        <v>17</v>
      </c>
      <c r="U25" s="715">
        <f>H25</f>
        <v>100</v>
      </c>
      <c r="V25" s="714" t="s">
        <v>17</v>
      </c>
      <c r="W25" s="715">
        <f>J25</f>
        <v>100</v>
      </c>
      <c r="X25" s="1538"/>
      <c r="Y25" s="3320"/>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65"/>
      <c r="Q26" s="1535"/>
      <c r="R26" s="714"/>
      <c r="S26" s="715"/>
      <c r="T26" s="714"/>
      <c r="U26" s="715"/>
      <c r="V26" s="714"/>
      <c r="W26" s="715"/>
      <c r="X26" s="1538"/>
      <c r="Y26" s="3320"/>
      <c r="Z26" s="1539"/>
      <c r="AA26" s="1536">
        <v>1</v>
      </c>
      <c r="AB26" s="1536">
        <v>1</v>
      </c>
      <c r="AC26" s="2146">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65"/>
      <c r="Q27" s="1535" t="str">
        <f t="shared" ref="Q27:Q47" si="11">B27</f>
        <v>楼层</v>
      </c>
      <c r="R27" s="714" t="s">
        <v>17</v>
      </c>
      <c r="S27" s="715">
        <f>F27</f>
        <v>100</v>
      </c>
      <c r="T27" s="714" t="s">
        <v>17</v>
      </c>
      <c r="U27" s="715">
        <f>H27</f>
        <v>100</v>
      </c>
      <c r="V27" s="714" t="s">
        <v>17</v>
      </c>
      <c r="W27" s="715">
        <f>J27</f>
        <v>100</v>
      </c>
      <c r="X27" s="1538"/>
      <c r="Y27" s="3320"/>
      <c r="Z27" s="1539" t="str">
        <f>Q27</f>
        <v>楼层</v>
      </c>
      <c r="AA27" s="1536">
        <f t="shared" si="3"/>
        <v>1</v>
      </c>
      <c r="AB27" s="1536">
        <f t="shared" si="4"/>
        <v>1</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65"/>
      <c r="Q28" s="1526" t="str">
        <f t="shared" si="11"/>
        <v>朝向</v>
      </c>
      <c r="R28" s="710" t="s">
        <v>17</v>
      </c>
      <c r="S28" s="711">
        <f>F28</f>
        <v>100</v>
      </c>
      <c r="T28" s="710" t="s">
        <v>17</v>
      </c>
      <c r="U28" s="711">
        <f>H28</f>
        <v>100</v>
      </c>
      <c r="V28" s="710" t="s">
        <v>17</v>
      </c>
      <c r="W28" s="711">
        <f>J28</f>
        <v>100</v>
      </c>
      <c r="X28" s="712"/>
      <c r="Y28" s="3320"/>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65"/>
      <c r="Q29" s="1535">
        <f t="shared" si="11"/>
        <v>111</v>
      </c>
      <c r="R29" s="714" t="s">
        <v>17</v>
      </c>
      <c r="S29" s="715">
        <f t="shared" ref="S29:S47" si="12">F29</f>
        <v>100</v>
      </c>
      <c r="T29" s="714" t="s">
        <v>17</v>
      </c>
      <c r="U29" s="715">
        <f t="shared" ref="U29:U47" si="13">H29</f>
        <v>100</v>
      </c>
      <c r="V29" s="714" t="s">
        <v>17</v>
      </c>
      <c r="W29" s="715">
        <f t="shared" ref="W29:W47" si="14">J29</f>
        <v>100</v>
      </c>
      <c r="X29" s="1538"/>
      <c r="Y29" s="3320"/>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65"/>
      <c r="Q30" s="1535">
        <f t="shared" si="11"/>
        <v>111</v>
      </c>
      <c r="R30" s="714" t="s">
        <v>17</v>
      </c>
      <c r="S30" s="715">
        <f t="shared" si="12"/>
        <v>100</v>
      </c>
      <c r="T30" s="714" t="s">
        <v>17</v>
      </c>
      <c r="U30" s="715">
        <f t="shared" si="13"/>
        <v>100</v>
      </c>
      <c r="V30" s="714" t="s">
        <v>17</v>
      </c>
      <c r="W30" s="715">
        <f t="shared" si="14"/>
        <v>100</v>
      </c>
      <c r="X30" s="1538"/>
      <c r="Y30" s="3320"/>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65"/>
      <c r="Q31" s="1535">
        <f t="shared" si="11"/>
        <v>111</v>
      </c>
      <c r="R31" s="714" t="s">
        <v>17</v>
      </c>
      <c r="S31" s="715">
        <f t="shared" si="12"/>
        <v>100</v>
      </c>
      <c r="T31" s="714" t="s">
        <v>17</v>
      </c>
      <c r="U31" s="715">
        <f t="shared" si="13"/>
        <v>100</v>
      </c>
      <c r="V31" s="714" t="s">
        <v>17</v>
      </c>
      <c r="W31" s="715">
        <f t="shared" si="14"/>
        <v>100</v>
      </c>
      <c r="X31" s="1538"/>
      <c r="Y31" s="3320"/>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65"/>
      <c r="Q32" s="1535">
        <f t="shared" si="11"/>
        <v>111</v>
      </c>
      <c r="R32" s="714" t="s">
        <v>17</v>
      </c>
      <c r="S32" s="715">
        <f t="shared" si="12"/>
        <v>100</v>
      </c>
      <c r="T32" s="714" t="s">
        <v>17</v>
      </c>
      <c r="U32" s="715">
        <f t="shared" si="13"/>
        <v>100</v>
      </c>
      <c r="V32" s="714" t="s">
        <v>17</v>
      </c>
      <c r="W32" s="715">
        <f t="shared" si="14"/>
        <v>100</v>
      </c>
      <c r="X32" s="1538"/>
      <c r="Y32" s="3320"/>
      <c r="Z32" s="1539">
        <f t="shared" si="15"/>
        <v>111</v>
      </c>
      <c r="AA32" s="1536">
        <f t="shared" si="3"/>
        <v>1</v>
      </c>
      <c r="AB32" s="1536">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60" t="s">
        <v>2386</v>
      </c>
      <c r="Q33" s="1535" t="str">
        <f t="shared" si="11"/>
        <v>建筑类型</v>
      </c>
      <c r="R33" s="714" t="s">
        <v>17</v>
      </c>
      <c r="S33" s="715">
        <f t="shared" si="12"/>
        <v>100</v>
      </c>
      <c r="T33" s="714" t="s">
        <v>17</v>
      </c>
      <c r="U33" s="715">
        <f t="shared" si="13"/>
        <v>100</v>
      </c>
      <c r="V33" s="714" t="s">
        <v>17</v>
      </c>
      <c r="W33" s="715">
        <f t="shared" si="14"/>
        <v>100</v>
      </c>
      <c r="X33" s="1538"/>
      <c r="Y33" s="3322" t="s">
        <v>2386</v>
      </c>
      <c r="Z33" s="1539" t="str">
        <f t="shared" si="15"/>
        <v>建筑类型</v>
      </c>
      <c r="AA33" s="1536">
        <f t="shared" si="3"/>
        <v>1</v>
      </c>
      <c r="AB33" s="1536">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61"/>
      <c r="Q34" s="716" t="str">
        <f t="shared" si="11"/>
        <v>项目建筑规模</v>
      </c>
      <c r="R34" s="717" t="s">
        <v>17</v>
      </c>
      <c r="S34" s="718" t="e">
        <f t="shared" si="12"/>
        <v>#N/A</v>
      </c>
      <c r="T34" s="717" t="s">
        <v>17</v>
      </c>
      <c r="U34" s="718" t="e">
        <f t="shared" si="13"/>
        <v>#N/A</v>
      </c>
      <c r="V34" s="717" t="s">
        <v>17</v>
      </c>
      <c r="W34" s="718" t="e">
        <f t="shared" si="14"/>
        <v>#N/A</v>
      </c>
      <c r="X34" s="719"/>
      <c r="Y34" s="3322"/>
      <c r="Z34" s="720" t="str">
        <f t="shared" si="15"/>
        <v>项目建筑规模</v>
      </c>
      <c r="AA34" s="1536" t="e">
        <f t="shared" si="3"/>
        <v>#N/A</v>
      </c>
      <c r="AB34" s="1536"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61"/>
      <c r="Q35" s="1535" t="str">
        <f t="shared" si="11"/>
        <v>建筑结构</v>
      </c>
      <c r="R35" s="714" t="s">
        <v>17</v>
      </c>
      <c r="S35" s="715">
        <f t="shared" si="12"/>
        <v>100</v>
      </c>
      <c r="T35" s="714" t="s">
        <v>17</v>
      </c>
      <c r="U35" s="715">
        <f t="shared" si="13"/>
        <v>100</v>
      </c>
      <c r="V35" s="714" t="s">
        <v>17</v>
      </c>
      <c r="W35" s="715">
        <f t="shared" si="14"/>
        <v>100</v>
      </c>
      <c r="X35" s="1538"/>
      <c r="Y35" s="3322"/>
      <c r="Z35" s="1539" t="str">
        <f t="shared" si="15"/>
        <v>建筑结构</v>
      </c>
      <c r="AA35" s="1536">
        <f t="shared" si="3"/>
        <v>1</v>
      </c>
      <c r="AB35" s="1536">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61"/>
      <c r="Q36" s="1535" t="str">
        <f t="shared" si="11"/>
        <v>公共部分装修</v>
      </c>
      <c r="R36" s="714" t="s">
        <v>17</v>
      </c>
      <c r="S36" s="715">
        <f t="shared" si="12"/>
        <v>100</v>
      </c>
      <c r="T36" s="714" t="s">
        <v>17</v>
      </c>
      <c r="U36" s="715">
        <f t="shared" si="13"/>
        <v>100</v>
      </c>
      <c r="V36" s="714" t="s">
        <v>17</v>
      </c>
      <c r="W36" s="715">
        <f t="shared" si="14"/>
        <v>100</v>
      </c>
      <c r="X36" s="1538"/>
      <c r="Y36" s="3322"/>
      <c r="Z36" s="1539" t="str">
        <f t="shared" si="15"/>
        <v>公共部分装修</v>
      </c>
      <c r="AA36" s="1536">
        <f t="shared" si="3"/>
        <v>1</v>
      </c>
      <c r="AB36" s="1536">
        <f t="shared" si="4"/>
        <v>1</v>
      </c>
      <c r="AC36" s="2146">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61"/>
      <c r="Q37" s="1535" t="str">
        <f t="shared" si="11"/>
        <v>成新度</v>
      </c>
      <c r="R37" s="714" t="s">
        <v>17</v>
      </c>
      <c r="S37" s="715" t="e">
        <f t="shared" si="12"/>
        <v>#N/A</v>
      </c>
      <c r="T37" s="714" t="s">
        <v>17</v>
      </c>
      <c r="U37" s="715" t="e">
        <f t="shared" si="13"/>
        <v>#N/A</v>
      </c>
      <c r="V37" s="714" t="s">
        <v>17</v>
      </c>
      <c r="W37" s="715" t="e">
        <f t="shared" si="14"/>
        <v>#N/A</v>
      </c>
      <c r="X37" s="1538"/>
      <c r="Y37" s="3322"/>
      <c r="Z37" s="1539" t="str">
        <f t="shared" si="15"/>
        <v>成新度</v>
      </c>
      <c r="AA37" s="1536" t="e">
        <f t="shared" si="3"/>
        <v>#N/A</v>
      </c>
      <c r="AB37" s="1536" t="e">
        <f t="shared" si="4"/>
        <v>#N/A</v>
      </c>
      <c r="AC37" s="2146"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61"/>
      <c r="Q38" s="1526" t="str">
        <f t="shared" si="11"/>
        <v>写字楼等级</v>
      </c>
      <c r="R38" s="710" t="s">
        <v>17</v>
      </c>
      <c r="S38" s="711">
        <f t="shared" si="12"/>
        <v>100</v>
      </c>
      <c r="T38" s="710" t="s">
        <v>17</v>
      </c>
      <c r="U38" s="711">
        <f t="shared" si="13"/>
        <v>100</v>
      </c>
      <c r="V38" s="710" t="s">
        <v>17</v>
      </c>
      <c r="W38" s="711">
        <f t="shared" si="14"/>
        <v>100</v>
      </c>
      <c r="X38" s="712"/>
      <c r="Y38" s="3322"/>
      <c r="Z38" s="55" t="str">
        <f t="shared" si="15"/>
        <v>写字楼等级</v>
      </c>
      <c r="AA38" s="713">
        <f t="shared" si="3"/>
        <v>1</v>
      </c>
      <c r="AB38" s="713">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61" t="s">
        <v>2386</v>
      </c>
      <c r="Q39" s="1535" t="str">
        <f t="shared" si="11"/>
        <v>物业管理</v>
      </c>
      <c r="R39" s="714" t="s">
        <v>17</v>
      </c>
      <c r="S39" s="715">
        <f t="shared" si="12"/>
        <v>100</v>
      </c>
      <c r="T39" s="714" t="s">
        <v>17</v>
      </c>
      <c r="U39" s="715">
        <f t="shared" si="13"/>
        <v>100</v>
      </c>
      <c r="V39" s="714" t="s">
        <v>17</v>
      </c>
      <c r="W39" s="715">
        <f t="shared" si="14"/>
        <v>100</v>
      </c>
      <c r="X39" s="1538"/>
      <c r="Y39" s="3322" t="s">
        <v>2386</v>
      </c>
      <c r="Z39" s="1539" t="str">
        <f t="shared" si="15"/>
        <v>物业管理</v>
      </c>
      <c r="AA39" s="1536">
        <f t="shared" si="3"/>
        <v>1</v>
      </c>
      <c r="AB39" s="1536">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61"/>
      <c r="Q40" s="1535" t="str">
        <f t="shared" si="11"/>
        <v>市政基础设施</v>
      </c>
      <c r="R40" s="714" t="s">
        <v>17</v>
      </c>
      <c r="S40" s="715">
        <f t="shared" si="12"/>
        <v>100</v>
      </c>
      <c r="T40" s="714" t="s">
        <v>17</v>
      </c>
      <c r="U40" s="715">
        <f t="shared" si="13"/>
        <v>100</v>
      </c>
      <c r="V40" s="714" t="s">
        <v>17</v>
      </c>
      <c r="W40" s="715">
        <f t="shared" si="14"/>
        <v>100</v>
      </c>
      <c r="X40" s="1538"/>
      <c r="Y40" s="3322"/>
      <c r="Z40" s="1539" t="str">
        <f t="shared" si="15"/>
        <v>市政基础设施</v>
      </c>
      <c r="AA40" s="1536">
        <f t="shared" si="3"/>
        <v>1</v>
      </c>
      <c r="AB40" s="1536">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61"/>
      <c r="Q41" s="1535" t="str">
        <f t="shared" si="11"/>
        <v>层高</v>
      </c>
      <c r="R41" s="714" t="s">
        <v>17</v>
      </c>
      <c r="S41" s="715">
        <f t="shared" si="12"/>
        <v>100</v>
      </c>
      <c r="T41" s="714" t="s">
        <v>17</v>
      </c>
      <c r="U41" s="715">
        <f t="shared" si="13"/>
        <v>100</v>
      </c>
      <c r="V41" s="714" t="s">
        <v>17</v>
      </c>
      <c r="W41" s="715">
        <f t="shared" si="14"/>
        <v>100</v>
      </c>
      <c r="X41" s="1538"/>
      <c r="Y41" s="3322"/>
      <c r="Z41" s="1539" t="str">
        <f t="shared" si="15"/>
        <v>层高</v>
      </c>
      <c r="AA41" s="1536">
        <f t="shared" si="3"/>
        <v>1</v>
      </c>
      <c r="AB41" s="1536">
        <f t="shared" si="4"/>
        <v>1</v>
      </c>
      <c r="AC41" s="2146">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61"/>
      <c r="Q42" s="716" t="str">
        <f t="shared" si="11"/>
        <v>单套建筑面积</v>
      </c>
      <c r="R42" s="717" t="s">
        <v>17</v>
      </c>
      <c r="S42" s="718">
        <f t="shared" si="12"/>
        <v>100</v>
      </c>
      <c r="T42" s="717" t="s">
        <v>17</v>
      </c>
      <c r="U42" s="718">
        <f t="shared" si="13"/>
        <v>100</v>
      </c>
      <c r="V42" s="717" t="s">
        <v>17</v>
      </c>
      <c r="W42" s="718">
        <f t="shared" si="14"/>
        <v>100</v>
      </c>
      <c r="X42" s="719"/>
      <c r="Y42" s="3322"/>
      <c r="Z42" s="720" t="str">
        <f t="shared" si="15"/>
        <v>单套建筑面积</v>
      </c>
      <c r="AA42" s="1536">
        <f t="shared" si="3"/>
        <v>1</v>
      </c>
      <c r="AB42" s="1536">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61"/>
      <c r="Q43" s="1535" t="str">
        <f t="shared" si="11"/>
        <v>内部装修</v>
      </c>
      <c r="R43" s="714" t="s">
        <v>17</v>
      </c>
      <c r="S43" s="715">
        <f t="shared" si="12"/>
        <v>100</v>
      </c>
      <c r="T43" s="714" t="s">
        <v>17</v>
      </c>
      <c r="U43" s="715">
        <f t="shared" si="13"/>
        <v>100</v>
      </c>
      <c r="V43" s="714" t="s">
        <v>17</v>
      </c>
      <c r="W43" s="715">
        <f t="shared" si="14"/>
        <v>100</v>
      </c>
      <c r="X43" s="1538"/>
      <c r="Y43" s="3322"/>
      <c r="Z43" s="1539" t="str">
        <f t="shared" si="15"/>
        <v>内部装修</v>
      </c>
      <c r="AA43" s="1536">
        <f t="shared" si="3"/>
        <v>1</v>
      </c>
      <c r="AB43" s="1536">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61"/>
      <c r="Q44" s="1535" t="str">
        <f t="shared" si="11"/>
        <v>内部装修维护情况</v>
      </c>
      <c r="R44" s="714" t="s">
        <v>17</v>
      </c>
      <c r="S44" s="715">
        <f t="shared" si="12"/>
        <v>100</v>
      </c>
      <c r="T44" s="714" t="s">
        <v>17</v>
      </c>
      <c r="U44" s="715">
        <f t="shared" si="13"/>
        <v>100</v>
      </c>
      <c r="V44" s="714" t="s">
        <v>17</v>
      </c>
      <c r="W44" s="715">
        <f t="shared" si="14"/>
        <v>100</v>
      </c>
      <c r="X44" s="1538"/>
      <c r="Y44" s="3322"/>
      <c r="Z44" s="1539" t="str">
        <f t="shared" si="15"/>
        <v>内部装修维护情况</v>
      </c>
      <c r="AA44" s="1536">
        <f t="shared" si="3"/>
        <v>1</v>
      </c>
      <c r="AB44" s="1536">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61"/>
      <c r="Q45" s="1526">
        <f t="shared" si="11"/>
        <v>111</v>
      </c>
      <c r="R45" s="710" t="s">
        <v>17</v>
      </c>
      <c r="S45" s="711">
        <f t="shared" si="12"/>
        <v>100</v>
      </c>
      <c r="T45" s="710" t="s">
        <v>17</v>
      </c>
      <c r="U45" s="711">
        <f t="shared" si="13"/>
        <v>100</v>
      </c>
      <c r="V45" s="710" t="s">
        <v>17</v>
      </c>
      <c r="W45" s="711">
        <f t="shared" si="14"/>
        <v>100</v>
      </c>
      <c r="X45" s="712"/>
      <c r="Y45" s="3322"/>
      <c r="Z45" s="55">
        <f t="shared" si="15"/>
        <v>111</v>
      </c>
      <c r="AA45" s="713">
        <f t="shared" si="3"/>
        <v>1</v>
      </c>
      <c r="AB45" s="713">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61"/>
      <c r="Q46" s="1535">
        <f t="shared" si="11"/>
        <v>111</v>
      </c>
      <c r="R46" s="714" t="s">
        <v>17</v>
      </c>
      <c r="S46" s="715">
        <f t="shared" si="12"/>
        <v>100</v>
      </c>
      <c r="T46" s="714" t="s">
        <v>17</v>
      </c>
      <c r="U46" s="715">
        <f t="shared" si="13"/>
        <v>100</v>
      </c>
      <c r="V46" s="714" t="s">
        <v>17</v>
      </c>
      <c r="W46" s="715">
        <f t="shared" si="14"/>
        <v>100</v>
      </c>
      <c r="X46" s="1538"/>
      <c r="Y46" s="3322"/>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62"/>
      <c r="Q47" s="1535">
        <f t="shared" si="11"/>
        <v>111</v>
      </c>
      <c r="R47" s="714" t="s">
        <v>17</v>
      </c>
      <c r="S47" s="715">
        <f t="shared" si="12"/>
        <v>100</v>
      </c>
      <c r="T47" s="714" t="s">
        <v>17</v>
      </c>
      <c r="U47" s="715">
        <f t="shared" si="13"/>
        <v>100</v>
      </c>
      <c r="V47" s="714" t="s">
        <v>17</v>
      </c>
      <c r="W47" s="715">
        <f t="shared" si="14"/>
        <v>100</v>
      </c>
      <c r="X47" s="1538"/>
      <c r="Y47" s="3363"/>
      <c r="Z47" s="1539">
        <f t="shared" si="15"/>
        <v>111</v>
      </c>
      <c r="AA47" s="1536">
        <f t="shared" si="3"/>
        <v>1</v>
      </c>
      <c r="AB47" s="1536">
        <f t="shared" si="4"/>
        <v>1</v>
      </c>
      <c r="AC47" s="2146">
        <f t="shared" si="5"/>
        <v>1</v>
      </c>
    </row>
    <row r="48" spans="1:29" ht="15">
      <c r="A48" s="438" t="s">
        <v>2398</v>
      </c>
      <c r="B48" s="439"/>
      <c r="C48" s="1315" t="s">
        <v>1</v>
      </c>
      <c r="D48" s="1316"/>
      <c r="E48" s="1317"/>
      <c r="F48" s="1318"/>
      <c r="G48" s="1319"/>
      <c r="H48" s="1320"/>
      <c r="I48" s="1317"/>
      <c r="J48" s="444"/>
      <c r="K48" s="723"/>
      <c r="L48" s="2951"/>
      <c r="M48" s="2943"/>
      <c r="N48" s="2943"/>
      <c r="O48" s="2943"/>
      <c r="P48" s="3328" t="str">
        <f>A48</f>
        <v>成交单价（元/平方米）</v>
      </c>
      <c r="Q48" s="3304"/>
      <c r="R48" s="3359">
        <f>E48</f>
        <v>0</v>
      </c>
      <c r="S48" s="3359"/>
      <c r="T48" s="3359">
        <f>G48</f>
        <v>0</v>
      </c>
      <c r="U48" s="3359"/>
      <c r="V48" s="3359">
        <f>I48</f>
        <v>0</v>
      </c>
      <c r="W48" s="3359"/>
      <c r="X48" s="405"/>
      <c r="Y48" s="721"/>
      <c r="Z48" s="405"/>
      <c r="AA48" s="405"/>
      <c r="AB48" s="405"/>
      <c r="AC48" s="586"/>
    </row>
    <row r="49" spans="1:29" ht="15.75" thickBot="1">
      <c r="A49" s="445" t="s">
        <v>2490</v>
      </c>
      <c r="B49" s="446"/>
      <c r="C49" s="1321" t="e">
        <f>R50</f>
        <v>#DIV/0!</v>
      </c>
      <c r="D49" s="2536" t="s">
        <v>2880</v>
      </c>
      <c r="E49" s="1322" t="e">
        <f>R49</f>
        <v>#DIV/0!</v>
      </c>
      <c r="F49" s="2537"/>
      <c r="G49" s="1321" t="e">
        <f>T49</f>
        <v>#DIV/0!</v>
      </c>
      <c r="H49" s="2537"/>
      <c r="I49" s="1322" t="e">
        <f>V49</f>
        <v>#DIV/0!</v>
      </c>
      <c r="J49" s="2537"/>
      <c r="K49" s="2539">
        <f>F49+H49+J49</f>
        <v>0</v>
      </c>
      <c r="L49" s="2951"/>
      <c r="M49" s="2943"/>
      <c r="N49" s="2943"/>
      <c r="O49" s="2943"/>
      <c r="P49" s="3328" t="str">
        <f>A49</f>
        <v>比较价值（元/平方米）</v>
      </c>
      <c r="Q49" s="3304"/>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1"/>
      <c r="M50" s="2943"/>
      <c r="N50" s="2943"/>
      <c r="O50" s="2943"/>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2021-4</v>
      </c>
      <c r="D59" s="1345">
        <f>EDATE(C59,-1)</f>
        <v>44256</v>
      </c>
      <c r="E59" s="1345">
        <f>EDATE(D59,-1)</f>
        <v>44228</v>
      </c>
      <c r="F59" s="1345">
        <f t="shared" ref="F59:O59" si="16">EDATE(E59,-1)</f>
        <v>44197</v>
      </c>
      <c r="G59" s="1345">
        <f t="shared" si="16"/>
        <v>44166</v>
      </c>
      <c r="H59" s="1345">
        <f t="shared" si="16"/>
        <v>44136</v>
      </c>
      <c r="I59" s="1345">
        <f t="shared" si="16"/>
        <v>44105</v>
      </c>
      <c r="J59" s="1345">
        <f t="shared" si="16"/>
        <v>44075</v>
      </c>
      <c r="K59" s="1345">
        <f t="shared" si="16"/>
        <v>44044</v>
      </c>
      <c r="L59" s="1345">
        <f t="shared" si="16"/>
        <v>44013</v>
      </c>
      <c r="M59" s="1345">
        <f t="shared" si="16"/>
        <v>43983</v>
      </c>
      <c r="N59" s="1345">
        <f t="shared" si="16"/>
        <v>43952</v>
      </c>
      <c r="O59" s="1345">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72083.499999999942</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1043"/>
      <c r="M4" s="1044"/>
      <c r="N4" s="1044"/>
      <c r="O4" s="1044"/>
      <c r="P4" s="3309" t="s">
        <v>2472</v>
      </c>
      <c r="Q4" s="3310"/>
      <c r="R4" s="3292" t="s">
        <v>2468</v>
      </c>
      <c r="S4" s="3293"/>
      <c r="T4" s="3292" t="s">
        <v>2469</v>
      </c>
      <c r="U4" s="3293"/>
      <c r="V4" s="3317" t="s">
        <v>2470</v>
      </c>
      <c r="W4" s="3317"/>
      <c r="X4" s="1538"/>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1043"/>
      <c r="M5" s="1044"/>
      <c r="N5" s="1044"/>
      <c r="O5" s="1044"/>
      <c r="P5" s="3311"/>
      <c r="Q5" s="3312"/>
      <c r="R5" s="3294"/>
      <c r="S5" s="3295"/>
      <c r="T5" s="3294"/>
      <c r="U5" s="3295"/>
      <c r="V5" s="3317"/>
      <c r="W5" s="3317"/>
      <c r="X5" s="1538"/>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1043"/>
      <c r="M6" s="1044"/>
      <c r="N6" s="1044"/>
      <c r="O6" s="1044"/>
      <c r="P6" s="3313"/>
      <c r="Q6" s="3314"/>
      <c r="R6" s="3294"/>
      <c r="S6" s="3295"/>
      <c r="T6" s="3315"/>
      <c r="U6" s="3316"/>
      <c r="V6" s="3317"/>
      <c r="W6" s="3317"/>
      <c r="X6" s="1538"/>
      <c r="Y6" s="3315"/>
      <c r="Z6" s="3316"/>
      <c r="AA6" s="3289"/>
      <c r="AB6" s="3289"/>
      <c r="AC6" s="3289"/>
    </row>
    <row r="7" spans="1:29" s="113" customFormat="1" ht="15.75" thickBot="1">
      <c r="A7" s="368" t="s">
        <v>2369</v>
      </c>
      <c r="B7" s="369"/>
      <c r="C7" s="370">
        <f>'数据-取费表'!B2</f>
        <v>44299</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90" t="s">
        <v>2373</v>
      </c>
      <c r="Q8" s="3291"/>
      <c r="R8" s="710" t="s">
        <v>17</v>
      </c>
      <c r="S8" s="711">
        <f t="shared" si="0"/>
        <v>0</v>
      </c>
      <c r="T8" s="710" t="s">
        <v>17</v>
      </c>
      <c r="U8" s="711">
        <f t="shared" si="1"/>
        <v>0</v>
      </c>
      <c r="V8" s="710" t="s">
        <v>17</v>
      </c>
      <c r="W8" s="711">
        <f t="shared" si="2"/>
        <v>0</v>
      </c>
      <c r="X8" s="712"/>
      <c r="Y8" s="3290" t="s">
        <v>2373</v>
      </c>
      <c r="Z8" s="329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04"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04"/>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04"/>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04"/>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04"/>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04"/>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9" t="s">
        <v>2381</v>
      </c>
      <c r="Q15" s="1535" t="str">
        <f t="shared" si="6"/>
        <v>产业集聚程度</v>
      </c>
      <c r="R15" s="714" t="s">
        <v>17</v>
      </c>
      <c r="S15" s="715">
        <f t="shared" si="0"/>
        <v>100</v>
      </c>
      <c r="T15" s="714" t="s">
        <v>17</v>
      </c>
      <c r="U15" s="715">
        <f t="shared" si="1"/>
        <v>100</v>
      </c>
      <c r="V15" s="714" t="s">
        <v>17</v>
      </c>
      <c r="W15" s="715">
        <f t="shared" si="2"/>
        <v>100</v>
      </c>
      <c r="X15" s="1538"/>
      <c r="Y15" s="3319"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320"/>
      <c r="Q16" s="1535"/>
      <c r="R16" s="714"/>
      <c r="S16" s="715"/>
      <c r="T16" s="714"/>
      <c r="U16" s="715"/>
      <c r="V16" s="714"/>
      <c r="W16" s="715"/>
      <c r="X16" s="1538"/>
      <c r="Y16" s="3320"/>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20"/>
      <c r="Q17" s="1535" t="str">
        <f>B17</f>
        <v>交通便捷度</v>
      </c>
      <c r="R17" s="714" t="s">
        <v>17</v>
      </c>
      <c r="S17" s="715">
        <f>F17</f>
        <v>100</v>
      </c>
      <c r="T17" s="714" t="s">
        <v>17</v>
      </c>
      <c r="U17" s="715">
        <f>H17</f>
        <v>100</v>
      </c>
      <c r="V17" s="714" t="s">
        <v>17</v>
      </c>
      <c r="W17" s="715">
        <f>J17</f>
        <v>100</v>
      </c>
      <c r="X17" s="1538"/>
      <c r="Y17" s="332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3"/>
      <c r="M18" s="1044"/>
      <c r="N18" s="1044"/>
      <c r="O18" s="1052"/>
      <c r="P18" s="3320"/>
      <c r="Q18" s="1535"/>
      <c r="R18" s="714"/>
      <c r="S18" s="715"/>
      <c r="T18" s="714"/>
      <c r="U18" s="715"/>
      <c r="V18" s="714"/>
      <c r="W18" s="715"/>
      <c r="X18" s="1538"/>
      <c r="Y18" s="3320"/>
      <c r="Z18" s="1539"/>
      <c r="AA18" s="1536">
        <v>1</v>
      </c>
      <c r="AB18" s="1536">
        <v>1</v>
      </c>
      <c r="AC18" s="1536">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20"/>
      <c r="Q19" s="1535" t="str">
        <f>B19</f>
        <v>公共配套设施</v>
      </c>
      <c r="R19" s="714" t="s">
        <v>17</v>
      </c>
      <c r="S19" s="715">
        <f>F19</f>
        <v>100</v>
      </c>
      <c r="T19" s="714" t="s">
        <v>17</v>
      </c>
      <c r="U19" s="715">
        <f>H19</f>
        <v>100</v>
      </c>
      <c r="V19" s="714" t="s">
        <v>17</v>
      </c>
      <c r="W19" s="715">
        <f>J19</f>
        <v>100</v>
      </c>
      <c r="X19" s="1538"/>
      <c r="Y19" s="332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3"/>
      <c r="M20" s="1044"/>
      <c r="N20" s="1044"/>
      <c r="O20" s="1052"/>
      <c r="P20" s="3320"/>
      <c r="Q20" s="1535"/>
      <c r="R20" s="714"/>
      <c r="S20" s="715"/>
      <c r="T20" s="714"/>
      <c r="U20" s="715"/>
      <c r="V20" s="714"/>
      <c r="W20" s="715"/>
      <c r="X20" s="1538"/>
      <c r="Y20" s="3320"/>
      <c r="Z20" s="1539"/>
      <c r="AA20" s="1536">
        <v>1</v>
      </c>
      <c r="AB20" s="1536">
        <v>1</v>
      </c>
      <c r="AC20" s="1536">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20"/>
      <c r="Q21" s="1535" t="str">
        <f>B21</f>
        <v>基础设施水平</v>
      </c>
      <c r="R21" s="714" t="s">
        <v>17</v>
      </c>
      <c r="S21" s="715">
        <f>F21</f>
        <v>100</v>
      </c>
      <c r="T21" s="714" t="s">
        <v>17</v>
      </c>
      <c r="U21" s="715">
        <f>H21</f>
        <v>100</v>
      </c>
      <c r="V21" s="714" t="s">
        <v>17</v>
      </c>
      <c r="W21" s="715">
        <f>J21</f>
        <v>100</v>
      </c>
      <c r="X21" s="1538"/>
      <c r="Y21" s="3320"/>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1053"/>
      <c r="M22" s="1044"/>
      <c r="N22" s="1044"/>
      <c r="O22" s="1052"/>
      <c r="P22" s="3320"/>
      <c r="Q22" s="1535"/>
      <c r="R22" s="714"/>
      <c r="S22" s="715"/>
      <c r="T22" s="714"/>
      <c r="U22" s="715"/>
      <c r="V22" s="714"/>
      <c r="W22" s="715"/>
      <c r="X22" s="1538"/>
      <c r="Y22" s="3320"/>
      <c r="Z22" s="1539"/>
      <c r="AA22" s="1536">
        <v>1</v>
      </c>
      <c r="AB22" s="1536">
        <v>1</v>
      </c>
      <c r="AC22" s="1536">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20"/>
      <c r="Q23" s="1535" t="str">
        <f>B23</f>
        <v>环境质量</v>
      </c>
      <c r="R23" s="714" t="s">
        <v>17</v>
      </c>
      <c r="S23" s="715">
        <f>F23</f>
        <v>100</v>
      </c>
      <c r="T23" s="714" t="s">
        <v>17</v>
      </c>
      <c r="U23" s="715">
        <f>H23</f>
        <v>100</v>
      </c>
      <c r="V23" s="714" t="s">
        <v>17</v>
      </c>
      <c r="W23" s="715">
        <f>J23</f>
        <v>100</v>
      </c>
      <c r="X23" s="1538"/>
      <c r="Y23" s="3320"/>
      <c r="Z23" s="1539" t="str">
        <f>Q23</f>
        <v>环境质量</v>
      </c>
      <c r="AA23" s="1536">
        <f t="shared" si="3"/>
        <v>1</v>
      </c>
      <c r="AB23" s="1536">
        <f t="shared" si="4"/>
        <v>1</v>
      </c>
      <c r="AC23" s="1536">
        <f t="shared" si="5"/>
        <v>1</v>
      </c>
    </row>
    <row r="24" spans="1:29" ht="15">
      <c r="A24" s="387"/>
      <c r="B24" s="1292"/>
      <c r="C24" s="406"/>
      <c r="D24" s="407"/>
      <c r="E24" s="2082"/>
      <c r="F24" s="408"/>
      <c r="G24" s="2081"/>
      <c r="H24" s="407"/>
      <c r="I24" s="2082"/>
      <c r="J24" s="407"/>
      <c r="K24" s="572"/>
      <c r="L24" s="1053"/>
      <c r="M24" s="1044"/>
      <c r="N24" s="1044"/>
      <c r="O24" s="1052"/>
      <c r="P24" s="3320"/>
      <c r="Q24" s="1535"/>
      <c r="R24" s="714"/>
      <c r="S24" s="715"/>
      <c r="T24" s="714"/>
      <c r="U24" s="715"/>
      <c r="V24" s="714"/>
      <c r="W24" s="715"/>
      <c r="X24" s="1538"/>
      <c r="Y24" s="3320"/>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20"/>
      <c r="Q25" s="1535">
        <f>B25</f>
        <v>111</v>
      </c>
      <c r="R25" s="714" t="s">
        <v>17</v>
      </c>
      <c r="S25" s="715">
        <f>F25</f>
        <v>100</v>
      </c>
      <c r="T25" s="714" t="s">
        <v>17</v>
      </c>
      <c r="U25" s="715">
        <f>H25</f>
        <v>100</v>
      </c>
      <c r="V25" s="714" t="s">
        <v>17</v>
      </c>
      <c r="W25" s="715">
        <f>J25</f>
        <v>100</v>
      </c>
      <c r="X25" s="1538"/>
      <c r="Y25" s="3320"/>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20"/>
      <c r="Q26" s="1535">
        <f t="shared" ref="Q26:Q40" si="11">B26</f>
        <v>111</v>
      </c>
      <c r="R26" s="714" t="s">
        <v>17</v>
      </c>
      <c r="S26" s="715">
        <f>F26</f>
        <v>100</v>
      </c>
      <c r="T26" s="714" t="s">
        <v>17</v>
      </c>
      <c r="U26" s="715">
        <f>H26</f>
        <v>100</v>
      </c>
      <c r="V26" s="714" t="s">
        <v>17</v>
      </c>
      <c r="W26" s="715">
        <f>J26</f>
        <v>100</v>
      </c>
      <c r="X26" s="1538"/>
      <c r="Y26" s="3320"/>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20"/>
      <c r="Q27" s="1526">
        <f t="shared" si="11"/>
        <v>111</v>
      </c>
      <c r="R27" s="710" t="s">
        <v>17</v>
      </c>
      <c r="S27" s="711">
        <f>F27</f>
        <v>100</v>
      </c>
      <c r="T27" s="710" t="s">
        <v>17</v>
      </c>
      <c r="U27" s="711">
        <f>H27</f>
        <v>100</v>
      </c>
      <c r="V27" s="710" t="s">
        <v>17</v>
      </c>
      <c r="W27" s="711">
        <f>J27</f>
        <v>100</v>
      </c>
      <c r="X27" s="712"/>
      <c r="Y27" s="3320"/>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20"/>
      <c r="Q28" s="1535">
        <f t="shared" si="11"/>
        <v>111</v>
      </c>
      <c r="R28" s="714" t="s">
        <v>17</v>
      </c>
      <c r="S28" s="715">
        <f t="shared" ref="S28:S40" si="12">F28</f>
        <v>100</v>
      </c>
      <c r="T28" s="714" t="s">
        <v>17</v>
      </c>
      <c r="U28" s="715">
        <f t="shared" ref="U28:U40" si="13">H28</f>
        <v>100</v>
      </c>
      <c r="V28" s="714" t="s">
        <v>17</v>
      </c>
      <c r="W28" s="715">
        <f t="shared" ref="W28:W40" si="14">J28</f>
        <v>100</v>
      </c>
      <c r="X28" s="1538"/>
      <c r="Y28" s="3320"/>
      <c r="Z28" s="1539">
        <f t="shared" ref="Z28:Z40" si="15">Q28</f>
        <v>111</v>
      </c>
      <c r="AA28" s="1536">
        <f t="shared" si="3"/>
        <v>1</v>
      </c>
      <c r="AB28" s="1536">
        <f t="shared" si="4"/>
        <v>1</v>
      </c>
      <c r="AC28" s="1536">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21" t="s">
        <v>2386</v>
      </c>
      <c r="Q29" s="1535" t="str">
        <f t="shared" si="11"/>
        <v>建筑类型</v>
      </c>
      <c r="R29" s="714" t="s">
        <v>17</v>
      </c>
      <c r="S29" s="715">
        <f t="shared" si="12"/>
        <v>100</v>
      </c>
      <c r="T29" s="714" t="s">
        <v>17</v>
      </c>
      <c r="U29" s="715">
        <f t="shared" si="13"/>
        <v>100</v>
      </c>
      <c r="V29" s="714" t="s">
        <v>17</v>
      </c>
      <c r="W29" s="715">
        <f t="shared" si="14"/>
        <v>100</v>
      </c>
      <c r="X29" s="1538"/>
      <c r="Y29" s="3322"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2"/>
      <c r="Q30" s="716" t="str">
        <f t="shared" si="11"/>
        <v>项目建筑规模</v>
      </c>
      <c r="R30" s="717" t="s">
        <v>17</v>
      </c>
      <c r="S30" s="718" t="e">
        <f t="shared" si="12"/>
        <v>#N/A</v>
      </c>
      <c r="T30" s="717" t="s">
        <v>17</v>
      </c>
      <c r="U30" s="718" t="e">
        <f t="shared" si="13"/>
        <v>#N/A</v>
      </c>
      <c r="V30" s="717" t="s">
        <v>17</v>
      </c>
      <c r="W30" s="718" t="e">
        <f t="shared" si="14"/>
        <v>#N/A</v>
      </c>
      <c r="X30" s="719"/>
      <c r="Y30" s="3322"/>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2"/>
      <c r="Q31" s="1535" t="str">
        <f t="shared" si="11"/>
        <v>建筑结构</v>
      </c>
      <c r="R31" s="714" t="s">
        <v>17</v>
      </c>
      <c r="S31" s="715">
        <f t="shared" si="12"/>
        <v>100</v>
      </c>
      <c r="T31" s="714" t="s">
        <v>17</v>
      </c>
      <c r="U31" s="715">
        <f t="shared" si="13"/>
        <v>100</v>
      </c>
      <c r="V31" s="714" t="s">
        <v>17</v>
      </c>
      <c r="W31" s="715">
        <f t="shared" si="14"/>
        <v>100</v>
      </c>
      <c r="X31" s="1538"/>
      <c r="Y31" s="3322"/>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2"/>
      <c r="Q32" s="1535" t="str">
        <f t="shared" si="11"/>
        <v>公共部分装修</v>
      </c>
      <c r="R32" s="714" t="s">
        <v>17</v>
      </c>
      <c r="S32" s="715">
        <f t="shared" si="12"/>
        <v>100</v>
      </c>
      <c r="T32" s="714" t="s">
        <v>17</v>
      </c>
      <c r="U32" s="715">
        <f t="shared" si="13"/>
        <v>100</v>
      </c>
      <c r="V32" s="714" t="s">
        <v>17</v>
      </c>
      <c r="W32" s="715">
        <f t="shared" si="14"/>
        <v>100</v>
      </c>
      <c r="X32" s="1538"/>
      <c r="Y32" s="3322"/>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2"/>
      <c r="Q33" s="1535" t="str">
        <f t="shared" si="11"/>
        <v>成新度</v>
      </c>
      <c r="R33" s="714" t="s">
        <v>17</v>
      </c>
      <c r="S33" s="715" t="e">
        <f t="shared" si="12"/>
        <v>#N/A</v>
      </c>
      <c r="T33" s="714" t="s">
        <v>17</v>
      </c>
      <c r="U33" s="715" t="e">
        <f t="shared" si="13"/>
        <v>#N/A</v>
      </c>
      <c r="V33" s="714" t="s">
        <v>17</v>
      </c>
      <c r="W33" s="715" t="e">
        <f t="shared" si="14"/>
        <v>#N/A</v>
      </c>
      <c r="X33" s="1538"/>
      <c r="Y33" s="3322"/>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2"/>
      <c r="Q34" s="1526" t="str">
        <f t="shared" si="11"/>
        <v>物业管理</v>
      </c>
      <c r="R34" s="710" t="s">
        <v>17</v>
      </c>
      <c r="S34" s="711">
        <f t="shared" si="12"/>
        <v>100</v>
      </c>
      <c r="T34" s="710" t="s">
        <v>17</v>
      </c>
      <c r="U34" s="711">
        <f t="shared" si="13"/>
        <v>100</v>
      </c>
      <c r="V34" s="710" t="s">
        <v>17</v>
      </c>
      <c r="W34" s="711">
        <f t="shared" si="14"/>
        <v>100</v>
      </c>
      <c r="X34" s="712"/>
      <c r="Y34" s="332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2" t="s">
        <v>2386</v>
      </c>
      <c r="Q35" s="1535" t="str">
        <f t="shared" si="11"/>
        <v>市政基础设施</v>
      </c>
      <c r="R35" s="714" t="s">
        <v>17</v>
      </c>
      <c r="S35" s="715">
        <f t="shared" si="12"/>
        <v>100</v>
      </c>
      <c r="T35" s="714" t="s">
        <v>17</v>
      </c>
      <c r="U35" s="715">
        <f t="shared" si="13"/>
        <v>100</v>
      </c>
      <c r="V35" s="714" t="s">
        <v>17</v>
      </c>
      <c r="W35" s="715">
        <f t="shared" si="14"/>
        <v>100</v>
      </c>
      <c r="X35" s="1538"/>
      <c r="Y35" s="3322"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2"/>
      <c r="Q36" s="1535" t="str">
        <f t="shared" si="11"/>
        <v>内部装修</v>
      </c>
      <c r="R36" s="714" t="s">
        <v>17</v>
      </c>
      <c r="S36" s="715">
        <f t="shared" si="12"/>
        <v>100</v>
      </c>
      <c r="T36" s="714" t="s">
        <v>17</v>
      </c>
      <c r="U36" s="715">
        <f t="shared" si="13"/>
        <v>100</v>
      </c>
      <c r="V36" s="714" t="s">
        <v>17</v>
      </c>
      <c r="W36" s="715">
        <f t="shared" si="14"/>
        <v>100</v>
      </c>
      <c r="X36" s="1538"/>
      <c r="Y36" s="3322"/>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2"/>
      <c r="Q37" s="1535" t="str">
        <f t="shared" si="11"/>
        <v>内部装修状况</v>
      </c>
      <c r="R37" s="714" t="s">
        <v>17</v>
      </c>
      <c r="S37" s="715">
        <f t="shared" si="12"/>
        <v>100</v>
      </c>
      <c r="T37" s="714" t="s">
        <v>17</v>
      </c>
      <c r="U37" s="715">
        <f t="shared" si="13"/>
        <v>100</v>
      </c>
      <c r="V37" s="714" t="s">
        <v>17</v>
      </c>
      <c r="W37" s="715">
        <f t="shared" si="14"/>
        <v>100</v>
      </c>
      <c r="X37" s="1538"/>
      <c r="Y37" s="3322"/>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2"/>
      <c r="Q38" s="716">
        <f t="shared" si="11"/>
        <v>111</v>
      </c>
      <c r="R38" s="717" t="s">
        <v>17</v>
      </c>
      <c r="S38" s="718">
        <f t="shared" si="12"/>
        <v>100</v>
      </c>
      <c r="T38" s="717" t="s">
        <v>17</v>
      </c>
      <c r="U38" s="718">
        <f t="shared" si="13"/>
        <v>100</v>
      </c>
      <c r="V38" s="717" t="s">
        <v>17</v>
      </c>
      <c r="W38" s="718">
        <f t="shared" si="14"/>
        <v>100</v>
      </c>
      <c r="X38" s="719"/>
      <c r="Y38" s="3322"/>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2"/>
      <c r="Q39" s="1535">
        <f t="shared" si="11"/>
        <v>111</v>
      </c>
      <c r="R39" s="714" t="s">
        <v>17</v>
      </c>
      <c r="S39" s="715">
        <f t="shared" si="12"/>
        <v>100</v>
      </c>
      <c r="T39" s="714" t="s">
        <v>17</v>
      </c>
      <c r="U39" s="715">
        <f t="shared" si="13"/>
        <v>100</v>
      </c>
      <c r="V39" s="714" t="s">
        <v>17</v>
      </c>
      <c r="W39" s="715">
        <f t="shared" si="14"/>
        <v>100</v>
      </c>
      <c r="X39" s="1538"/>
      <c r="Y39" s="3322"/>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63"/>
      <c r="Q40" s="1535">
        <f t="shared" si="11"/>
        <v>111</v>
      </c>
      <c r="R40" s="714" t="s">
        <v>17</v>
      </c>
      <c r="S40" s="715">
        <f t="shared" si="12"/>
        <v>100</v>
      </c>
      <c r="T40" s="714" t="s">
        <v>17</v>
      </c>
      <c r="U40" s="715">
        <f t="shared" si="13"/>
        <v>100</v>
      </c>
      <c r="V40" s="714" t="s">
        <v>17</v>
      </c>
      <c r="W40" s="715">
        <f t="shared" si="14"/>
        <v>100</v>
      </c>
      <c r="X40" s="1538"/>
      <c r="Y40" s="3363"/>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6"/>
      <c r="M41" s="1057"/>
      <c r="N41" s="1044"/>
      <c r="O41" s="1057"/>
      <c r="P41" s="3304" t="str">
        <f>A41</f>
        <v>成交单价（元/平方米）</v>
      </c>
      <c r="Q41" s="3304"/>
      <c r="R41" s="3359">
        <f>E41</f>
        <v>0</v>
      </c>
      <c r="S41" s="3359"/>
      <c r="T41" s="3359">
        <f>G41</f>
        <v>0</v>
      </c>
      <c r="U41" s="3359"/>
      <c r="V41" s="3359">
        <f>I41</f>
        <v>0</v>
      </c>
      <c r="W41" s="3359"/>
      <c r="X41" s="699"/>
      <c r="Y41" s="721"/>
      <c r="Z41" s="699"/>
      <c r="AA41" s="699"/>
      <c r="AB41" s="699"/>
      <c r="AC41" s="699"/>
    </row>
    <row r="42" spans="1:29" ht="15.75" thickBot="1">
      <c r="A42" s="445" t="s">
        <v>2490</v>
      </c>
      <c r="B42" s="446"/>
      <c r="C42" s="1321" t="e">
        <f>R43</f>
        <v>#DIV/0!</v>
      </c>
      <c r="D42" s="2536" t="s">
        <v>2880</v>
      </c>
      <c r="E42" s="1322" t="e">
        <f>R42</f>
        <v>#DIV/0!</v>
      </c>
      <c r="F42" s="2537"/>
      <c r="G42" s="1321" t="e">
        <f>T42</f>
        <v>#DIV/0!</v>
      </c>
      <c r="H42" s="2537"/>
      <c r="I42" s="1322" t="e">
        <f>V42</f>
        <v>#DIV/0!</v>
      </c>
      <c r="J42" s="2537"/>
      <c r="K42" s="2539">
        <f>F42+H42+J42</f>
        <v>0</v>
      </c>
      <c r="L42" s="1056"/>
      <c r="M42" s="1057"/>
      <c r="N42" s="1044"/>
      <c r="O42" s="1057"/>
      <c r="P42" s="3304" t="str">
        <f>A42</f>
        <v>比较价值（元/平方米）</v>
      </c>
      <c r="Q42" s="3304"/>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6"/>
      <c r="M43" s="1057"/>
      <c r="N43" s="1057"/>
      <c r="O43" s="1057"/>
      <c r="P43" s="3324" t="str">
        <f>A43</f>
        <v>估价对象XX用房的比较价值（楼面单价，元/平方米）</v>
      </c>
      <c r="Q43" s="3325"/>
      <c r="R43" s="3358" t="e">
        <f>IF(F1="售价",ROUND(IF(D42="简单平均",AVERAGE(R42:V42),R42*F42+T42*H42+V42*J42),0),ROUND(IF(D42="简单平均",AVERAGE(R42:V42),R42*F42+T42*H42+V42*J42),1))</f>
        <v>#DIV/0!</v>
      </c>
      <c r="S43" s="3358"/>
      <c r="T43" s="3358"/>
      <c r="U43" s="3358"/>
      <c r="V43" s="3358"/>
      <c r="W43" s="3358"/>
      <c r="X43" s="699"/>
      <c r="Y43" s="699"/>
      <c r="Z43" s="699"/>
      <c r="AA43" s="699"/>
      <c r="AB43" s="699"/>
      <c r="AC43" s="699"/>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3" t="s">
        <v>2495</v>
      </c>
      <c r="B51" s="699"/>
      <c r="C51" s="704"/>
      <c r="D51" s="704"/>
      <c r="E51" s="704"/>
      <c r="F51" s="705"/>
      <c r="G51" s="705"/>
      <c r="H51" s="704"/>
      <c r="I51" s="704"/>
      <c r="J51" s="704"/>
      <c r="K51" s="1071"/>
      <c r="L51" s="1072"/>
      <c r="M51" s="1070"/>
      <c r="N51" s="1070"/>
      <c r="O51" s="1070"/>
      <c r="P51" s="460"/>
      <c r="Q51" s="461"/>
    </row>
    <row r="52" spans="1:17" s="465" customFormat="1" ht="15">
      <c r="A52" s="462" t="s">
        <v>2369</v>
      </c>
      <c r="B52" s="463"/>
      <c r="C52" s="1344" t="str">
        <f>YEAR(C7)&amp;"-"&amp;MONTH(C7)</f>
        <v>2021-4</v>
      </c>
      <c r="D52" s="1345">
        <f>EDATE(C52,-1)</f>
        <v>44256</v>
      </c>
      <c r="E52" s="1345">
        <f t="shared" ref="E52:O52" si="16">EDATE(D52,-1)</f>
        <v>44228</v>
      </c>
      <c r="F52" s="1345">
        <f t="shared" si="16"/>
        <v>44197</v>
      </c>
      <c r="G52" s="1345">
        <f t="shared" si="16"/>
        <v>44166</v>
      </c>
      <c r="H52" s="1345">
        <f t="shared" si="16"/>
        <v>44136</v>
      </c>
      <c r="I52" s="1345">
        <f t="shared" si="16"/>
        <v>44105</v>
      </c>
      <c r="J52" s="1345">
        <f t="shared" si="16"/>
        <v>44075</v>
      </c>
      <c r="K52" s="1345">
        <f t="shared" si="16"/>
        <v>44044</v>
      </c>
      <c r="L52" s="1345">
        <f t="shared" si="16"/>
        <v>44013</v>
      </c>
      <c r="M52" s="1345">
        <f t="shared" si="16"/>
        <v>43983</v>
      </c>
      <c r="N52" s="1345">
        <f t="shared" si="16"/>
        <v>43952</v>
      </c>
      <c r="O52" s="1345">
        <f t="shared" si="16"/>
        <v>43922</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2"/>
      <c r="M4" s="2943"/>
      <c r="N4" s="2943"/>
      <c r="O4" s="2943"/>
      <c r="P4" s="3309" t="s">
        <v>2472</v>
      </c>
      <c r="Q4" s="3310"/>
      <c r="R4" s="3292" t="s">
        <v>2468</v>
      </c>
      <c r="S4" s="3293"/>
      <c r="T4" s="3292" t="s">
        <v>2469</v>
      </c>
      <c r="U4" s="3293"/>
      <c r="V4" s="3317" t="s">
        <v>2470</v>
      </c>
      <c r="W4" s="3317"/>
      <c r="X4" s="1538"/>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2942"/>
      <c r="M5" s="2943"/>
      <c r="N5" s="2943"/>
      <c r="O5" s="2943"/>
      <c r="P5" s="3311"/>
      <c r="Q5" s="3312"/>
      <c r="R5" s="3294"/>
      <c r="S5" s="3295"/>
      <c r="T5" s="3294"/>
      <c r="U5" s="3295"/>
      <c r="V5" s="3317"/>
      <c r="W5" s="3317"/>
      <c r="X5" s="1538"/>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2942"/>
      <c r="M6" s="2943"/>
      <c r="N6" s="2943"/>
      <c r="O6" s="2943"/>
      <c r="P6" s="3313"/>
      <c r="Q6" s="3314"/>
      <c r="R6" s="3294"/>
      <c r="S6" s="3295"/>
      <c r="T6" s="3315"/>
      <c r="U6" s="3316"/>
      <c r="V6" s="3317"/>
      <c r="W6" s="3317"/>
      <c r="X6" s="1538"/>
      <c r="Y6" s="3315"/>
      <c r="Z6" s="3316"/>
      <c r="AA6" s="3289"/>
      <c r="AB6" s="3289"/>
      <c r="AC6" s="3289"/>
    </row>
    <row r="7" spans="1:29" s="113" customFormat="1" ht="15.75" thickBot="1">
      <c r="A7" s="368" t="s">
        <v>2369</v>
      </c>
      <c r="B7" s="369"/>
      <c r="C7" s="370">
        <f>'数据-取费表'!B2</f>
        <v>44299</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90" t="s">
        <v>2370</v>
      </c>
      <c r="Q7" s="3318"/>
      <c r="R7" s="710" t="s">
        <v>17</v>
      </c>
      <c r="S7" s="711">
        <f t="shared" ref="S7:S14" si="0">F7</f>
        <v>0</v>
      </c>
      <c r="T7" s="710" t="s">
        <v>17</v>
      </c>
      <c r="U7" s="711">
        <f t="shared" ref="U7:U14" si="1">H7</f>
        <v>0</v>
      </c>
      <c r="V7" s="710" t="s">
        <v>17</v>
      </c>
      <c r="W7" s="711">
        <f t="shared" ref="W7:W14"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90" t="s">
        <v>2373</v>
      </c>
      <c r="Q8" s="3291"/>
      <c r="R8" s="710" t="s">
        <v>17</v>
      </c>
      <c r="S8" s="711">
        <f t="shared" si="0"/>
        <v>0</v>
      </c>
      <c r="T8" s="710" t="s">
        <v>17</v>
      </c>
      <c r="U8" s="711">
        <f t="shared" si="1"/>
        <v>0</v>
      </c>
      <c r="V8" s="710" t="s">
        <v>17</v>
      </c>
      <c r="W8" s="711">
        <f t="shared" si="2"/>
        <v>0</v>
      </c>
      <c r="X8" s="712"/>
      <c r="Y8" s="3290" t="s">
        <v>2373</v>
      </c>
      <c r="Z8" s="329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04" t="s">
        <v>2376</v>
      </c>
      <c r="Q9" s="1526" t="str">
        <f t="shared" ref="Q9:Q14" si="6">B9</f>
        <v>用途</v>
      </c>
      <c r="R9" s="710" t="s">
        <v>17</v>
      </c>
      <c r="S9" s="711">
        <f t="shared" si="0"/>
        <v>100</v>
      </c>
      <c r="T9" s="710" t="s">
        <v>17</v>
      </c>
      <c r="U9" s="711">
        <f t="shared" si="1"/>
        <v>100</v>
      </c>
      <c r="V9" s="710" t="s">
        <v>17</v>
      </c>
      <c r="W9" s="711">
        <f t="shared" si="2"/>
        <v>100</v>
      </c>
      <c r="X9" s="712"/>
      <c r="Y9" s="326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04"/>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04"/>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04"/>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04"/>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9" t="s">
        <v>2381</v>
      </c>
      <c r="Q14" s="1535" t="str">
        <f t="shared" si="6"/>
        <v>交通便捷度</v>
      </c>
      <c r="R14" s="714" t="s">
        <v>17</v>
      </c>
      <c r="S14" s="715">
        <f t="shared" si="0"/>
        <v>100</v>
      </c>
      <c r="T14" s="714" t="s">
        <v>17</v>
      </c>
      <c r="U14" s="715">
        <f t="shared" si="1"/>
        <v>100</v>
      </c>
      <c r="V14" s="714" t="s">
        <v>17</v>
      </c>
      <c r="W14" s="715">
        <f t="shared" si="2"/>
        <v>100</v>
      </c>
      <c r="X14" s="1538"/>
      <c r="Y14" s="3319"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20"/>
      <c r="Q15" s="1535"/>
      <c r="R15" s="714"/>
      <c r="S15" s="715"/>
      <c r="T15" s="714"/>
      <c r="U15" s="715"/>
      <c r="V15" s="714"/>
      <c r="W15" s="715"/>
      <c r="X15" s="1538"/>
      <c r="Y15" s="3320"/>
      <c r="Z15" s="1539"/>
      <c r="AA15" s="1536">
        <v>1</v>
      </c>
      <c r="AB15" s="1536">
        <v>1</v>
      </c>
      <c r="AC15" s="1536">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20"/>
      <c r="Q16" s="1535" t="str">
        <f>B16</f>
        <v>公共配套设施</v>
      </c>
      <c r="R16" s="714" t="s">
        <v>17</v>
      </c>
      <c r="S16" s="715">
        <f>F16</f>
        <v>100</v>
      </c>
      <c r="T16" s="714" t="s">
        <v>17</v>
      </c>
      <c r="U16" s="715">
        <f>H16</f>
        <v>100</v>
      </c>
      <c r="V16" s="714" t="s">
        <v>17</v>
      </c>
      <c r="W16" s="715">
        <f>J16</f>
        <v>100</v>
      </c>
      <c r="X16" s="1538"/>
      <c r="Y16" s="332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20"/>
      <c r="Q17" s="1535"/>
      <c r="R17" s="714"/>
      <c r="S17" s="715"/>
      <c r="T17" s="714"/>
      <c r="U17" s="715"/>
      <c r="V17" s="714"/>
      <c r="W17" s="715"/>
      <c r="X17" s="1538"/>
      <c r="Y17" s="3320"/>
      <c r="Z17" s="1539"/>
      <c r="AA17" s="1536">
        <v>1</v>
      </c>
      <c r="AB17" s="1536">
        <v>1</v>
      </c>
      <c r="AC17" s="1536">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20"/>
      <c r="Q18" s="1535" t="str">
        <f>B18</f>
        <v>基础设施水平</v>
      </c>
      <c r="R18" s="714" t="s">
        <v>17</v>
      </c>
      <c r="S18" s="715">
        <f>F18</f>
        <v>100</v>
      </c>
      <c r="T18" s="714" t="s">
        <v>17</v>
      </c>
      <c r="U18" s="715">
        <f>H18</f>
        <v>100</v>
      </c>
      <c r="V18" s="714" t="s">
        <v>17</v>
      </c>
      <c r="W18" s="715">
        <f>J18</f>
        <v>100</v>
      </c>
      <c r="X18" s="1538"/>
      <c r="Y18" s="332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1"/>
      <c r="L19" s="2949"/>
      <c r="M19" s="2943"/>
      <c r="N19" s="2943"/>
      <c r="O19" s="2943"/>
      <c r="P19" s="3320"/>
      <c r="Q19" s="1535"/>
      <c r="R19" s="714"/>
      <c r="S19" s="715"/>
      <c r="T19" s="714"/>
      <c r="U19" s="715"/>
      <c r="V19" s="714"/>
      <c r="W19" s="715"/>
      <c r="X19" s="1538"/>
      <c r="Y19" s="3320"/>
      <c r="Z19" s="1539"/>
      <c r="AA19" s="1536">
        <v>1</v>
      </c>
      <c r="AB19" s="1536">
        <v>1</v>
      </c>
      <c r="AC19" s="1536">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20"/>
      <c r="Q20" s="1535" t="str">
        <f>B20</f>
        <v>自然及人文环境</v>
      </c>
      <c r="R20" s="714" t="s">
        <v>17</v>
      </c>
      <c r="S20" s="715">
        <f>F20</f>
        <v>100</v>
      </c>
      <c r="T20" s="714" t="s">
        <v>17</v>
      </c>
      <c r="U20" s="715">
        <f>H20</f>
        <v>100</v>
      </c>
      <c r="V20" s="714" t="s">
        <v>17</v>
      </c>
      <c r="W20" s="715">
        <f>J20</f>
        <v>100</v>
      </c>
      <c r="X20" s="1538"/>
      <c r="Y20" s="332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20"/>
      <c r="Q21" s="1535"/>
      <c r="R21" s="714"/>
      <c r="S21" s="715"/>
      <c r="T21" s="714"/>
      <c r="U21" s="715"/>
      <c r="V21" s="714"/>
      <c r="W21" s="715"/>
      <c r="X21" s="1538"/>
      <c r="Y21" s="3320"/>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20"/>
      <c r="Q22" s="1535" t="str">
        <f>B22</f>
        <v>楼层</v>
      </c>
      <c r="R22" s="714" t="s">
        <v>17</v>
      </c>
      <c r="S22" s="715">
        <f>F22</f>
        <v>100</v>
      </c>
      <c r="T22" s="714" t="s">
        <v>17</v>
      </c>
      <c r="U22" s="715">
        <f>H22</f>
        <v>100</v>
      </c>
      <c r="V22" s="714" t="s">
        <v>17</v>
      </c>
      <c r="W22" s="715">
        <f>J22</f>
        <v>100</v>
      </c>
      <c r="X22" s="1538"/>
      <c r="Y22" s="332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20"/>
      <c r="Q23" s="1535">
        <f>B23</f>
        <v>111</v>
      </c>
      <c r="R23" s="714" t="s">
        <v>17</v>
      </c>
      <c r="S23" s="715">
        <f>F23</f>
        <v>100</v>
      </c>
      <c r="T23" s="714" t="s">
        <v>17</v>
      </c>
      <c r="U23" s="715">
        <f>H23</f>
        <v>100</v>
      </c>
      <c r="V23" s="714" t="s">
        <v>17</v>
      </c>
      <c r="W23" s="715">
        <f>J23</f>
        <v>100</v>
      </c>
      <c r="X23" s="1538"/>
      <c r="Y23" s="332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20"/>
      <c r="Q24" s="1535">
        <f t="shared" ref="Q24:Q36" si="11">B24</f>
        <v>111</v>
      </c>
      <c r="R24" s="714" t="s">
        <v>17</v>
      </c>
      <c r="S24" s="715">
        <f>F24</f>
        <v>100</v>
      </c>
      <c r="T24" s="714" t="s">
        <v>17</v>
      </c>
      <c r="U24" s="715">
        <f>H24</f>
        <v>100</v>
      </c>
      <c r="V24" s="714" t="s">
        <v>17</v>
      </c>
      <c r="W24" s="715">
        <f>J24</f>
        <v>100</v>
      </c>
      <c r="X24" s="1538"/>
      <c r="Y24" s="332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20"/>
      <c r="Q25" s="1526">
        <f t="shared" si="11"/>
        <v>111</v>
      </c>
      <c r="R25" s="710" t="s">
        <v>17</v>
      </c>
      <c r="S25" s="711">
        <f>F25</f>
        <v>100</v>
      </c>
      <c r="T25" s="710" t="s">
        <v>17</v>
      </c>
      <c r="U25" s="711">
        <f>H25</f>
        <v>100</v>
      </c>
      <c r="V25" s="710" t="s">
        <v>17</v>
      </c>
      <c r="W25" s="711">
        <f>J25</f>
        <v>100</v>
      </c>
      <c r="X25" s="712"/>
      <c r="Y25" s="3320"/>
      <c r="Z25" s="55">
        <f>Q25</f>
        <v>111</v>
      </c>
      <c r="AA25" s="1536">
        <f>D25/F25</f>
        <v>1</v>
      </c>
      <c r="AB25" s="1536">
        <f>D25/H25</f>
        <v>1</v>
      </c>
      <c r="AC25" s="1536">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21"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22"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2"/>
      <c r="Q27" s="716" t="str">
        <f t="shared" si="11"/>
        <v>项目停车位配比</v>
      </c>
      <c r="R27" s="717" t="s">
        <v>17</v>
      </c>
      <c r="S27" s="718">
        <f t="shared" si="12"/>
        <v>100</v>
      </c>
      <c r="T27" s="717" t="s">
        <v>17</v>
      </c>
      <c r="U27" s="718">
        <f t="shared" si="13"/>
        <v>100</v>
      </c>
      <c r="V27" s="717" t="s">
        <v>17</v>
      </c>
      <c r="W27" s="718">
        <f t="shared" si="14"/>
        <v>100</v>
      </c>
      <c r="X27" s="719"/>
      <c r="Y27" s="3322"/>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2"/>
      <c r="Q28" s="1535" t="str">
        <f t="shared" si="11"/>
        <v>公共部分装修</v>
      </c>
      <c r="R28" s="714" t="s">
        <v>17</v>
      </c>
      <c r="S28" s="715">
        <f t="shared" si="12"/>
        <v>100</v>
      </c>
      <c r="T28" s="714" t="s">
        <v>17</v>
      </c>
      <c r="U28" s="715">
        <f t="shared" si="13"/>
        <v>100</v>
      </c>
      <c r="V28" s="714" t="s">
        <v>17</v>
      </c>
      <c r="W28" s="715">
        <f t="shared" si="14"/>
        <v>100</v>
      </c>
      <c r="X28" s="1538"/>
      <c r="Y28" s="3322"/>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2"/>
      <c r="Q29" s="1535" t="str">
        <f t="shared" si="11"/>
        <v>成新率</v>
      </c>
      <c r="R29" s="714" t="s">
        <v>17</v>
      </c>
      <c r="S29" s="715" t="e">
        <f t="shared" si="12"/>
        <v>#N/A</v>
      </c>
      <c r="T29" s="714" t="s">
        <v>17</v>
      </c>
      <c r="U29" s="715" t="e">
        <f t="shared" si="13"/>
        <v>#N/A</v>
      </c>
      <c r="V29" s="714" t="s">
        <v>17</v>
      </c>
      <c r="W29" s="715" t="e">
        <f t="shared" si="14"/>
        <v>#N/A</v>
      </c>
      <c r="X29" s="1538"/>
      <c r="Y29" s="3322"/>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2"/>
      <c r="Q30" s="1535" t="str">
        <f t="shared" si="11"/>
        <v>物业等级</v>
      </c>
      <c r="R30" s="714" t="s">
        <v>17</v>
      </c>
      <c r="S30" s="715">
        <f t="shared" si="12"/>
        <v>100</v>
      </c>
      <c r="T30" s="714" t="s">
        <v>17</v>
      </c>
      <c r="U30" s="715">
        <f t="shared" si="13"/>
        <v>100</v>
      </c>
      <c r="V30" s="714" t="s">
        <v>17</v>
      </c>
      <c r="W30" s="715">
        <f t="shared" si="14"/>
        <v>100</v>
      </c>
      <c r="X30" s="1538"/>
      <c r="Y30" s="3322"/>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2"/>
      <c r="Q31" s="1526" t="str">
        <f t="shared" si="11"/>
        <v>停车位面积</v>
      </c>
      <c r="R31" s="710" t="s">
        <v>17</v>
      </c>
      <c r="S31" s="711" t="e">
        <f t="shared" si="12"/>
        <v>#N/A</v>
      </c>
      <c r="T31" s="710" t="s">
        <v>17</v>
      </c>
      <c r="U31" s="711" t="e">
        <f t="shared" si="13"/>
        <v>#N/A</v>
      </c>
      <c r="V31" s="710" t="s">
        <v>17</v>
      </c>
      <c r="W31" s="711" t="e">
        <f t="shared" si="14"/>
        <v>#N/A</v>
      </c>
      <c r="X31" s="712"/>
      <c r="Y31" s="332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2" t="s">
        <v>2386</v>
      </c>
      <c r="Q32" s="1535" t="str">
        <f t="shared" si="11"/>
        <v>车位类型</v>
      </c>
      <c r="R32" s="714" t="s">
        <v>17</v>
      </c>
      <c r="S32" s="715">
        <f t="shared" si="12"/>
        <v>100</v>
      </c>
      <c r="T32" s="714" t="s">
        <v>17</v>
      </c>
      <c r="U32" s="715">
        <f t="shared" si="13"/>
        <v>100</v>
      </c>
      <c r="V32" s="714" t="s">
        <v>17</v>
      </c>
      <c r="W32" s="715">
        <f t="shared" si="14"/>
        <v>100</v>
      </c>
      <c r="X32" s="1538"/>
      <c r="Y32" s="3322"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2"/>
      <c r="Q33" s="1535" t="str">
        <f t="shared" si="11"/>
        <v>是否直接入户</v>
      </c>
      <c r="R33" s="714" t="s">
        <v>17</v>
      </c>
      <c r="S33" s="715">
        <f t="shared" si="12"/>
        <v>100</v>
      </c>
      <c r="T33" s="714" t="s">
        <v>17</v>
      </c>
      <c r="U33" s="715">
        <f t="shared" si="13"/>
        <v>100</v>
      </c>
      <c r="V33" s="714" t="s">
        <v>17</v>
      </c>
      <c r="W33" s="715">
        <f t="shared" si="14"/>
        <v>100</v>
      </c>
      <c r="X33" s="1538"/>
      <c r="Y33" s="332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2"/>
      <c r="Q34" s="1535">
        <f t="shared" si="11"/>
        <v>111</v>
      </c>
      <c r="R34" s="714" t="s">
        <v>17</v>
      </c>
      <c r="S34" s="715">
        <f t="shared" si="12"/>
        <v>100</v>
      </c>
      <c r="T34" s="714" t="s">
        <v>17</v>
      </c>
      <c r="U34" s="715">
        <f t="shared" si="13"/>
        <v>100</v>
      </c>
      <c r="V34" s="714" t="s">
        <v>17</v>
      </c>
      <c r="W34" s="715">
        <f t="shared" si="14"/>
        <v>100</v>
      </c>
      <c r="X34" s="1538"/>
      <c r="Y34" s="332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2"/>
      <c r="Q35" s="716">
        <f t="shared" si="11"/>
        <v>111</v>
      </c>
      <c r="R35" s="717" t="s">
        <v>17</v>
      </c>
      <c r="S35" s="718">
        <f t="shared" si="12"/>
        <v>100</v>
      </c>
      <c r="T35" s="717" t="s">
        <v>17</v>
      </c>
      <c r="U35" s="718">
        <f t="shared" si="13"/>
        <v>100</v>
      </c>
      <c r="V35" s="717" t="s">
        <v>17</v>
      </c>
      <c r="W35" s="718">
        <f t="shared" si="14"/>
        <v>100</v>
      </c>
      <c r="X35" s="719"/>
      <c r="Y35" s="3322"/>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2"/>
      <c r="Q36" s="1535">
        <f t="shared" si="11"/>
        <v>111</v>
      </c>
      <c r="R36" s="714" t="s">
        <v>17</v>
      </c>
      <c r="S36" s="715">
        <f t="shared" si="12"/>
        <v>100</v>
      </c>
      <c r="T36" s="714" t="s">
        <v>17</v>
      </c>
      <c r="U36" s="715">
        <f t="shared" si="13"/>
        <v>100</v>
      </c>
      <c r="V36" s="714" t="s">
        <v>17</v>
      </c>
      <c r="W36" s="715">
        <f t="shared" si="14"/>
        <v>100</v>
      </c>
      <c r="X36" s="1538"/>
      <c r="Y36" s="3322"/>
      <c r="Z36" s="1539">
        <f t="shared" si="15"/>
        <v>111</v>
      </c>
      <c r="AA36" s="1536">
        <f t="shared" si="3"/>
        <v>1</v>
      </c>
      <c r="AB36" s="1536">
        <f t="shared" si="4"/>
        <v>1</v>
      </c>
      <c r="AC36" s="1536">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304" t="str">
        <f>A37</f>
        <v>成交单价</v>
      </c>
      <c r="Q37" s="3304"/>
      <c r="R37" s="3359">
        <f>E37</f>
        <v>0</v>
      </c>
      <c r="S37" s="3359"/>
      <c r="T37" s="3359">
        <f>G37</f>
        <v>0</v>
      </c>
      <c r="U37" s="3359"/>
      <c r="V37" s="3359">
        <f>I37</f>
        <v>0</v>
      </c>
      <c r="W37" s="3359"/>
      <c r="X37" s="699"/>
      <c r="Y37" s="721"/>
      <c r="Z37" s="699"/>
      <c r="AA37" s="699"/>
      <c r="AB37" s="699"/>
      <c r="AC37" s="699"/>
    </row>
    <row r="38" spans="1:29" ht="15.75" thickBot="1">
      <c r="A38" s="445" t="s">
        <v>2543</v>
      </c>
      <c r="B38" s="446" t="str">
        <f>B37</f>
        <v>元/车位</v>
      </c>
      <c r="C38" s="1321" t="e">
        <f>R39</f>
        <v>#DIV/0!</v>
      </c>
      <c r="D38" s="2536" t="s">
        <v>2880</v>
      </c>
      <c r="E38" s="1322" t="e">
        <f>R38</f>
        <v>#DIV/0!</v>
      </c>
      <c r="F38" s="2537"/>
      <c r="G38" s="1321" t="e">
        <f>T38</f>
        <v>#DIV/0!</v>
      </c>
      <c r="H38" s="2537"/>
      <c r="I38" s="1322" t="e">
        <f>V38</f>
        <v>#DIV/0!</v>
      </c>
      <c r="J38" s="2537"/>
      <c r="K38" s="2539">
        <f>F38+H38+J38</f>
        <v>0</v>
      </c>
      <c r="L38" s="2951"/>
      <c r="M38" s="2952"/>
      <c r="N38" s="2952"/>
      <c r="O38" s="2952"/>
      <c r="P38" s="3304" t="str">
        <f>A38</f>
        <v>比较价值（元/平方米）</v>
      </c>
      <c r="Q38" s="3304"/>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1"/>
      <c r="M39" s="2952"/>
      <c r="N39" s="2952"/>
      <c r="O39" s="2952"/>
      <c r="P39" s="3324" t="str">
        <f>A39</f>
        <v>估价对象XX用房的比较价值（楼面单价，元/平方米）</v>
      </c>
      <c r="Q39" s="3325"/>
      <c r="R39" s="3381" t="e">
        <f>IF(F1="售价",ROUND(IF(D38="简单平均",AVERAGE(R38:W38),R38*F38+T38*H38+V38*J38),0),ROUND(IF(D38="简单平均",AVERAGE(R38:V38),R38*F38+T38*H38+V38*J38),1))</f>
        <v>#DIV/0!</v>
      </c>
      <c r="S39" s="3381"/>
      <c r="T39" s="3381"/>
      <c r="U39" s="3381"/>
      <c r="V39" s="3381"/>
      <c r="W39" s="3381"/>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2021-4</v>
      </c>
      <c r="D48" s="1345">
        <f>EDATE(C48,-1)</f>
        <v>44256</v>
      </c>
      <c r="E48" s="1345">
        <f t="shared" ref="E48:O48" si="16">EDATE(D48,-1)</f>
        <v>44228</v>
      </c>
      <c r="F48" s="1345">
        <f t="shared" si="16"/>
        <v>44197</v>
      </c>
      <c r="G48" s="1345">
        <f t="shared" si="16"/>
        <v>44166</v>
      </c>
      <c r="H48" s="1345">
        <f t="shared" si="16"/>
        <v>44136</v>
      </c>
      <c r="I48" s="1345">
        <f t="shared" si="16"/>
        <v>44105</v>
      </c>
      <c r="J48" s="1345">
        <f t="shared" si="16"/>
        <v>44075</v>
      </c>
      <c r="K48" s="1345">
        <f t="shared" si="16"/>
        <v>44044</v>
      </c>
      <c r="L48" s="1345">
        <f t="shared" si="16"/>
        <v>44013</v>
      </c>
      <c r="M48" s="1345">
        <f t="shared" si="16"/>
        <v>43983</v>
      </c>
      <c r="N48" s="1345">
        <f t="shared" si="16"/>
        <v>43952</v>
      </c>
      <c r="O48" s="1345">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2"/>
      <c r="M4" s="2943"/>
      <c r="N4" s="2943"/>
      <c r="O4" s="2943"/>
      <c r="P4" s="3309" t="s">
        <v>2472</v>
      </c>
      <c r="Q4" s="3310"/>
      <c r="R4" s="3292" t="s">
        <v>2468</v>
      </c>
      <c r="S4" s="3293"/>
      <c r="T4" s="3292" t="s">
        <v>2469</v>
      </c>
      <c r="U4" s="3293"/>
      <c r="V4" s="3317" t="s">
        <v>2470</v>
      </c>
      <c r="W4" s="3317"/>
      <c r="X4" s="1538"/>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2942"/>
      <c r="M5" s="2943"/>
      <c r="N5" s="2943"/>
      <c r="O5" s="2943"/>
      <c r="P5" s="3311"/>
      <c r="Q5" s="3312"/>
      <c r="R5" s="3294"/>
      <c r="S5" s="3295"/>
      <c r="T5" s="3294"/>
      <c r="U5" s="3295"/>
      <c r="V5" s="3317"/>
      <c r="W5" s="3317"/>
      <c r="X5" s="1538"/>
      <c r="Y5" s="3294"/>
      <c r="Z5" s="3295"/>
      <c r="AA5" s="3288"/>
      <c r="AB5" s="3288"/>
      <c r="AC5" s="3288"/>
    </row>
    <row r="6" spans="1:29" ht="15.75" thickBot="1">
      <c r="A6" s="366"/>
      <c r="B6" s="367"/>
      <c r="C6" s="3300" t="s">
        <v>2367</v>
      </c>
      <c r="D6" s="3301"/>
      <c r="E6" s="3302" t="s">
        <v>2367</v>
      </c>
      <c r="F6" s="3303"/>
      <c r="G6" s="3300" t="s">
        <v>2367</v>
      </c>
      <c r="H6" s="3301"/>
      <c r="I6" s="3300" t="s">
        <v>2367</v>
      </c>
      <c r="J6" s="3301"/>
      <c r="K6" s="567" t="s">
        <v>2368</v>
      </c>
      <c r="L6" s="2942"/>
      <c r="M6" s="2943"/>
      <c r="N6" s="2943"/>
      <c r="O6" s="2943"/>
      <c r="P6" s="3313"/>
      <c r="Q6" s="3314"/>
      <c r="R6" s="3294"/>
      <c r="S6" s="3295"/>
      <c r="T6" s="3315"/>
      <c r="U6" s="3316"/>
      <c r="V6" s="3317"/>
      <c r="W6" s="3317"/>
      <c r="X6" s="1538"/>
      <c r="Y6" s="3315"/>
      <c r="Z6" s="3316"/>
      <c r="AA6" s="3289"/>
      <c r="AB6" s="3289"/>
      <c r="AC6" s="3289"/>
    </row>
    <row r="7" spans="1:29" s="113" customFormat="1" ht="15.75" thickBot="1">
      <c r="A7" s="368" t="s">
        <v>2369</v>
      </c>
      <c r="B7" s="369"/>
      <c r="C7" s="370">
        <f>'数据-取费表'!B2</f>
        <v>44299</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90" t="s">
        <v>2370</v>
      </c>
      <c r="Q7" s="3318"/>
      <c r="R7" s="710" t="s">
        <v>17</v>
      </c>
      <c r="S7" s="711">
        <f t="shared" ref="S7:S14" si="0">F7</f>
        <v>0</v>
      </c>
      <c r="T7" s="710" t="s">
        <v>17</v>
      </c>
      <c r="U7" s="711">
        <f t="shared" ref="U7:U14" si="1">H7</f>
        <v>0</v>
      </c>
      <c r="V7" s="710" t="s">
        <v>17</v>
      </c>
      <c r="W7" s="711">
        <f t="shared" ref="W7:W14" si="2">J7</f>
        <v>0</v>
      </c>
      <c r="X7" s="712"/>
      <c r="Y7" s="3290" t="s">
        <v>2370</v>
      </c>
      <c r="Z7" s="329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0" t="s">
        <v>2373</v>
      </c>
      <c r="Q8" s="3291"/>
      <c r="R8" s="710" t="s">
        <v>17</v>
      </c>
      <c r="S8" s="711">
        <f t="shared" si="0"/>
        <v>0</v>
      </c>
      <c r="T8" s="710" t="s">
        <v>17</v>
      </c>
      <c r="U8" s="711">
        <f t="shared" si="1"/>
        <v>0</v>
      </c>
      <c r="V8" s="710" t="s">
        <v>17</v>
      </c>
      <c r="W8" s="711">
        <f t="shared" si="2"/>
        <v>0</v>
      </c>
      <c r="X8" s="712"/>
      <c r="Y8" s="3290" t="s">
        <v>2373</v>
      </c>
      <c r="Z8" s="329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04" t="s">
        <v>2376</v>
      </c>
      <c r="Q9" s="1526" t="str">
        <f t="shared" ref="Q9:Q14" si="6">B9</f>
        <v>用途</v>
      </c>
      <c r="R9" s="710" t="s">
        <v>17</v>
      </c>
      <c r="S9" s="711">
        <f t="shared" si="0"/>
        <v>100</v>
      </c>
      <c r="T9" s="710" t="s">
        <v>17</v>
      </c>
      <c r="U9" s="711">
        <f t="shared" si="1"/>
        <v>100</v>
      </c>
      <c r="V9" s="710" t="s">
        <v>17</v>
      </c>
      <c r="W9" s="711">
        <f t="shared" si="2"/>
        <v>100</v>
      </c>
      <c r="X9" s="712"/>
      <c r="Y9" s="326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04"/>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04"/>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04"/>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04"/>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9" t="s">
        <v>2381</v>
      </c>
      <c r="Q14" s="1535" t="str">
        <f t="shared" si="6"/>
        <v>交通便捷度</v>
      </c>
      <c r="R14" s="714" t="s">
        <v>17</v>
      </c>
      <c r="S14" s="715">
        <f t="shared" si="0"/>
        <v>100</v>
      </c>
      <c r="T14" s="714" t="s">
        <v>17</v>
      </c>
      <c r="U14" s="715">
        <f t="shared" si="1"/>
        <v>100</v>
      </c>
      <c r="V14" s="714" t="s">
        <v>17</v>
      </c>
      <c r="W14" s="715">
        <f t="shared" si="2"/>
        <v>100</v>
      </c>
      <c r="X14" s="1538"/>
      <c r="Y14" s="3319"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20"/>
      <c r="Q15" s="1535"/>
      <c r="R15" s="714"/>
      <c r="S15" s="715"/>
      <c r="T15" s="714"/>
      <c r="U15" s="715"/>
      <c r="V15" s="714"/>
      <c r="W15" s="715"/>
      <c r="X15" s="1538"/>
      <c r="Y15" s="3320"/>
      <c r="Z15" s="1539"/>
      <c r="AA15" s="1536">
        <v>1</v>
      </c>
      <c r="AB15" s="1536">
        <v>1</v>
      </c>
      <c r="AC15" s="1536">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20"/>
      <c r="Q16" s="1535" t="str">
        <f>B16</f>
        <v>公共配套设施</v>
      </c>
      <c r="R16" s="714" t="s">
        <v>17</v>
      </c>
      <c r="S16" s="715">
        <f>F16</f>
        <v>100</v>
      </c>
      <c r="T16" s="714" t="s">
        <v>17</v>
      </c>
      <c r="U16" s="715">
        <f>H16</f>
        <v>100</v>
      </c>
      <c r="V16" s="714" t="s">
        <v>17</v>
      </c>
      <c r="W16" s="715">
        <f>J16</f>
        <v>100</v>
      </c>
      <c r="X16" s="1538"/>
      <c r="Y16" s="332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20"/>
      <c r="Q17" s="1535"/>
      <c r="R17" s="714"/>
      <c r="S17" s="715"/>
      <c r="T17" s="714"/>
      <c r="U17" s="715"/>
      <c r="V17" s="714"/>
      <c r="W17" s="715"/>
      <c r="X17" s="1538"/>
      <c r="Y17" s="3320"/>
      <c r="Z17" s="1539"/>
      <c r="AA17" s="1536">
        <v>1</v>
      </c>
      <c r="AB17" s="1536">
        <v>1</v>
      </c>
      <c r="AC17" s="1536">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20"/>
      <c r="Q18" s="1535" t="str">
        <f>B18</f>
        <v>基础设施水平</v>
      </c>
      <c r="R18" s="714" t="s">
        <v>17</v>
      </c>
      <c r="S18" s="715">
        <f>F18</f>
        <v>100</v>
      </c>
      <c r="T18" s="714" t="s">
        <v>17</v>
      </c>
      <c r="U18" s="715">
        <f>H18</f>
        <v>100</v>
      </c>
      <c r="V18" s="714" t="s">
        <v>17</v>
      </c>
      <c r="W18" s="715">
        <f>J18</f>
        <v>100</v>
      </c>
      <c r="X18" s="1538"/>
      <c r="Y18" s="3320"/>
      <c r="Z18" s="1539" t="str">
        <f>Q18</f>
        <v>基础设施水平</v>
      </c>
      <c r="AA18" s="1536">
        <f t="shared" ref="AA18" si="8">D18/F18</f>
        <v>1</v>
      </c>
      <c r="AB18" s="1536">
        <f t="shared" ref="AB18" si="9">D18/H18</f>
        <v>1</v>
      </c>
      <c r="AC18" s="1536">
        <f t="shared" ref="AC18" si="10">D18/J18</f>
        <v>1</v>
      </c>
    </row>
    <row r="19" spans="1:29" ht="15">
      <c r="A19" s="387"/>
      <c r="B19" s="1292"/>
      <c r="C19" s="2085"/>
      <c r="D19" s="409"/>
      <c r="E19" s="2085"/>
      <c r="F19" s="412"/>
      <c r="G19" s="2085"/>
      <c r="H19" s="407"/>
      <c r="I19" s="406"/>
      <c r="J19" s="407"/>
      <c r="K19" s="1291"/>
      <c r="L19" s="2949"/>
      <c r="M19" s="2943"/>
      <c r="N19" s="2943"/>
      <c r="O19" s="3001"/>
      <c r="P19" s="3320"/>
      <c r="Q19" s="1535"/>
      <c r="R19" s="714"/>
      <c r="S19" s="715"/>
      <c r="T19" s="714"/>
      <c r="U19" s="715"/>
      <c r="V19" s="714"/>
      <c r="W19" s="715"/>
      <c r="X19" s="1538"/>
      <c r="Y19" s="3320"/>
      <c r="Z19" s="1539"/>
      <c r="AA19" s="1536">
        <v>1</v>
      </c>
      <c r="AB19" s="1536">
        <v>1</v>
      </c>
      <c r="AC19" s="1536">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20"/>
      <c r="Q20" s="1535" t="str">
        <f>B20</f>
        <v>自然及人文环境</v>
      </c>
      <c r="R20" s="714" t="s">
        <v>17</v>
      </c>
      <c r="S20" s="715">
        <f>F20</f>
        <v>100</v>
      </c>
      <c r="T20" s="714" t="s">
        <v>17</v>
      </c>
      <c r="U20" s="715">
        <f>H20</f>
        <v>100</v>
      </c>
      <c r="V20" s="714" t="s">
        <v>17</v>
      </c>
      <c r="W20" s="715">
        <f>J20</f>
        <v>100</v>
      </c>
      <c r="X20" s="1538"/>
      <c r="Y20" s="332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20"/>
      <c r="Q21" s="1535"/>
      <c r="R21" s="714"/>
      <c r="S21" s="715"/>
      <c r="T21" s="714"/>
      <c r="U21" s="715"/>
      <c r="V21" s="714"/>
      <c r="W21" s="715"/>
      <c r="X21" s="1538"/>
      <c r="Y21" s="3320"/>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20"/>
      <c r="Q22" s="1535" t="str">
        <f>B22</f>
        <v>楼层</v>
      </c>
      <c r="R22" s="714" t="s">
        <v>17</v>
      </c>
      <c r="S22" s="715">
        <f>F22</f>
        <v>100</v>
      </c>
      <c r="T22" s="714" t="s">
        <v>17</v>
      </c>
      <c r="U22" s="715">
        <f>H22</f>
        <v>100</v>
      </c>
      <c r="V22" s="714" t="s">
        <v>17</v>
      </c>
      <c r="W22" s="715">
        <f>J22</f>
        <v>100</v>
      </c>
      <c r="X22" s="1538"/>
      <c r="Y22" s="332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20"/>
      <c r="Q23" s="1535">
        <f>B23</f>
        <v>111</v>
      </c>
      <c r="R23" s="714" t="s">
        <v>17</v>
      </c>
      <c r="S23" s="715">
        <f>F23</f>
        <v>100</v>
      </c>
      <c r="T23" s="714" t="s">
        <v>17</v>
      </c>
      <c r="U23" s="715">
        <f>H23</f>
        <v>100</v>
      </c>
      <c r="V23" s="714" t="s">
        <v>17</v>
      </c>
      <c r="W23" s="715">
        <f>J23</f>
        <v>100</v>
      </c>
      <c r="X23" s="1538"/>
      <c r="Y23" s="332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20"/>
      <c r="Q24" s="1535">
        <f t="shared" ref="Q24:Q34" si="11">B24</f>
        <v>111</v>
      </c>
      <c r="R24" s="714" t="s">
        <v>17</v>
      </c>
      <c r="S24" s="715">
        <f>F24</f>
        <v>100</v>
      </c>
      <c r="T24" s="714" t="s">
        <v>17</v>
      </c>
      <c r="U24" s="715">
        <f>H24</f>
        <v>100</v>
      </c>
      <c r="V24" s="714" t="s">
        <v>17</v>
      </c>
      <c r="W24" s="715">
        <f>J24</f>
        <v>100</v>
      </c>
      <c r="X24" s="1538"/>
      <c r="Y24" s="3320"/>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20"/>
      <c r="Q25" s="1526">
        <f t="shared" si="11"/>
        <v>111</v>
      </c>
      <c r="R25" s="710" t="s">
        <v>17</v>
      </c>
      <c r="S25" s="711">
        <f>F25</f>
        <v>100</v>
      </c>
      <c r="T25" s="710" t="s">
        <v>17</v>
      </c>
      <c r="U25" s="711">
        <f>H25</f>
        <v>100</v>
      </c>
      <c r="V25" s="710" t="s">
        <v>17</v>
      </c>
      <c r="W25" s="711">
        <f>J25</f>
        <v>100</v>
      </c>
      <c r="X25" s="712"/>
      <c r="Y25" s="3320"/>
      <c r="Z25" s="55">
        <f>Q25</f>
        <v>111</v>
      </c>
      <c r="AA25" s="1536">
        <f>D25/F25</f>
        <v>1</v>
      </c>
      <c r="AB25" s="1536">
        <f>D25/H25</f>
        <v>1</v>
      </c>
      <c r="AC25" s="1536">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21"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22"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2"/>
      <c r="Q27" s="716" t="str">
        <f t="shared" si="11"/>
        <v>成新率</v>
      </c>
      <c r="R27" s="717" t="s">
        <v>17</v>
      </c>
      <c r="S27" s="718" t="e">
        <f t="shared" si="12"/>
        <v>#N/A</v>
      </c>
      <c r="T27" s="717" t="s">
        <v>17</v>
      </c>
      <c r="U27" s="718" t="e">
        <f t="shared" si="13"/>
        <v>#N/A</v>
      </c>
      <c r="V27" s="717" t="s">
        <v>17</v>
      </c>
      <c r="W27" s="718" t="e">
        <f t="shared" si="14"/>
        <v>#N/A</v>
      </c>
      <c r="X27" s="719"/>
      <c r="Y27" s="3322"/>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2"/>
      <c r="Q28" s="1535" t="str">
        <f t="shared" si="11"/>
        <v>物业等级</v>
      </c>
      <c r="R28" s="714" t="s">
        <v>17</v>
      </c>
      <c r="S28" s="715">
        <f t="shared" si="12"/>
        <v>100</v>
      </c>
      <c r="T28" s="714" t="s">
        <v>17</v>
      </c>
      <c r="U28" s="715">
        <f t="shared" si="13"/>
        <v>100</v>
      </c>
      <c r="V28" s="714" t="s">
        <v>17</v>
      </c>
      <c r="W28" s="715">
        <f t="shared" si="14"/>
        <v>100</v>
      </c>
      <c r="X28" s="1538"/>
      <c r="Y28" s="3322"/>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2"/>
      <c r="Q29" s="1535" t="str">
        <f t="shared" si="11"/>
        <v>有无电梯</v>
      </c>
      <c r="R29" s="714" t="s">
        <v>17</v>
      </c>
      <c r="S29" s="715">
        <f t="shared" si="12"/>
        <v>100</v>
      </c>
      <c r="T29" s="714" t="s">
        <v>17</v>
      </c>
      <c r="U29" s="715">
        <f t="shared" si="13"/>
        <v>100</v>
      </c>
      <c r="V29" s="714" t="s">
        <v>17</v>
      </c>
      <c r="W29" s="715">
        <f t="shared" si="14"/>
        <v>100</v>
      </c>
      <c r="X29" s="1538"/>
      <c r="Y29" s="3322"/>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2"/>
      <c r="Q30" s="1535" t="str">
        <f t="shared" si="11"/>
        <v>建筑面积</v>
      </c>
      <c r="R30" s="714" t="s">
        <v>17</v>
      </c>
      <c r="S30" s="715" t="e">
        <f t="shared" si="12"/>
        <v>#N/A</v>
      </c>
      <c r="T30" s="714" t="s">
        <v>17</v>
      </c>
      <c r="U30" s="715" t="e">
        <f t="shared" si="13"/>
        <v>#N/A</v>
      </c>
      <c r="V30" s="714" t="s">
        <v>17</v>
      </c>
      <c r="W30" s="715" t="e">
        <f t="shared" si="14"/>
        <v>#N/A</v>
      </c>
      <c r="X30" s="1538"/>
      <c r="Y30" s="3322"/>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2"/>
      <c r="Q31" s="1526" t="str">
        <f t="shared" si="11"/>
        <v>是否封闭</v>
      </c>
      <c r="R31" s="710" t="s">
        <v>17</v>
      </c>
      <c r="S31" s="711">
        <f t="shared" si="12"/>
        <v>100</v>
      </c>
      <c r="T31" s="710" t="s">
        <v>17</v>
      </c>
      <c r="U31" s="711">
        <f t="shared" si="13"/>
        <v>100</v>
      </c>
      <c r="V31" s="710" t="s">
        <v>17</v>
      </c>
      <c r="W31" s="711">
        <f t="shared" si="14"/>
        <v>100</v>
      </c>
      <c r="X31" s="712"/>
      <c r="Y31" s="3322"/>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2" t="s">
        <v>2386</v>
      </c>
      <c r="Q32" s="1535">
        <f t="shared" si="11"/>
        <v>111</v>
      </c>
      <c r="R32" s="714" t="s">
        <v>17</v>
      </c>
      <c r="S32" s="715">
        <f t="shared" si="12"/>
        <v>100</v>
      </c>
      <c r="T32" s="714" t="s">
        <v>17</v>
      </c>
      <c r="U32" s="715">
        <f t="shared" si="13"/>
        <v>100</v>
      </c>
      <c r="V32" s="714" t="s">
        <v>17</v>
      </c>
      <c r="W32" s="715">
        <f t="shared" si="14"/>
        <v>100</v>
      </c>
      <c r="X32" s="1538"/>
      <c r="Y32" s="3322" t="s">
        <v>2386</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2"/>
      <c r="Q33" s="1535">
        <f t="shared" si="11"/>
        <v>111</v>
      </c>
      <c r="R33" s="714" t="s">
        <v>17</v>
      </c>
      <c r="S33" s="715">
        <f t="shared" si="12"/>
        <v>100</v>
      </c>
      <c r="T33" s="714" t="s">
        <v>17</v>
      </c>
      <c r="U33" s="715">
        <f t="shared" si="13"/>
        <v>100</v>
      </c>
      <c r="V33" s="714" t="s">
        <v>17</v>
      </c>
      <c r="W33" s="715">
        <f t="shared" si="14"/>
        <v>100</v>
      </c>
      <c r="X33" s="1538"/>
      <c r="Y33" s="3322"/>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22"/>
      <c r="Q34" s="1535">
        <f t="shared" si="11"/>
        <v>111</v>
      </c>
      <c r="R34" s="714" t="s">
        <v>17</v>
      </c>
      <c r="S34" s="715">
        <f t="shared" si="12"/>
        <v>100</v>
      </c>
      <c r="T34" s="714" t="s">
        <v>17</v>
      </c>
      <c r="U34" s="715">
        <f t="shared" si="13"/>
        <v>100</v>
      </c>
      <c r="V34" s="714" t="s">
        <v>17</v>
      </c>
      <c r="W34" s="715">
        <f t="shared" si="14"/>
        <v>100</v>
      </c>
      <c r="X34" s="1538"/>
      <c r="Y34" s="3322"/>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1"/>
      <c r="M35" s="2952"/>
      <c r="N35" s="2943"/>
      <c r="O35" s="2952"/>
      <c r="P35" s="3304" t="str">
        <f>A35</f>
        <v>成交单价（元/平方米）</v>
      </c>
      <c r="Q35" s="3304"/>
      <c r="R35" s="3359">
        <f>E35</f>
        <v>0</v>
      </c>
      <c r="S35" s="3359"/>
      <c r="T35" s="3359">
        <f>G35</f>
        <v>0</v>
      </c>
      <c r="U35" s="3359"/>
      <c r="V35" s="3359">
        <f>I35</f>
        <v>0</v>
      </c>
      <c r="W35" s="3359"/>
      <c r="X35" s="699"/>
      <c r="Y35" s="721"/>
      <c r="Z35" s="699"/>
      <c r="AA35" s="699"/>
      <c r="AB35" s="699"/>
      <c r="AC35" s="699"/>
    </row>
    <row r="36" spans="1:30" ht="15.75" thickBot="1">
      <c r="A36" s="445" t="s">
        <v>2490</v>
      </c>
      <c r="B36" s="446"/>
      <c r="C36" s="1321" t="e">
        <f>R37</f>
        <v>#DIV/0!</v>
      </c>
      <c r="D36" s="2536" t="s">
        <v>2880</v>
      </c>
      <c r="E36" s="1322" t="e">
        <f>R36</f>
        <v>#DIV/0!</v>
      </c>
      <c r="F36" s="2537"/>
      <c r="G36" s="1321" t="e">
        <f>T36</f>
        <v>#DIV/0!</v>
      </c>
      <c r="H36" s="2537"/>
      <c r="I36" s="1322" t="e">
        <f>V36</f>
        <v>#DIV/0!</v>
      </c>
      <c r="J36" s="2537"/>
      <c r="K36" s="2539">
        <f>F36+H36+J36</f>
        <v>0</v>
      </c>
      <c r="L36" s="2951"/>
      <c r="M36" s="2952"/>
      <c r="N36" s="2943"/>
      <c r="O36" s="2952"/>
      <c r="P36" s="3304" t="str">
        <f>A36</f>
        <v>比较价值（元/平方米）</v>
      </c>
      <c r="Q36" s="3304"/>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1"/>
      <c r="M37" s="2952"/>
      <c r="N37" s="2952"/>
      <c r="O37" s="2952"/>
      <c r="P37" s="3324" t="str">
        <f>A37</f>
        <v>估价对象XX用房的比较价值（楼面单价，元/平方米）</v>
      </c>
      <c r="Q37" s="3325"/>
      <c r="R37" s="3381" t="e">
        <f>IF(F1="售价",ROUND(IF(D36="简单平均",AVERAGE(R36:W36),R36*F36+T36*H36+V36*J36),0),ROUND(IF(D36="简单平均",AVERAGE(R36:V36),R36*F36+T36*H36+V36*J36),1))</f>
        <v>#DIV/0!</v>
      </c>
      <c r="S37" s="3381"/>
      <c r="T37" s="3381"/>
      <c r="U37" s="3381"/>
      <c r="V37" s="3381"/>
      <c r="W37" s="3381"/>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2021-4</v>
      </c>
      <c r="D46" s="1345">
        <f>EDATE(C46,-1)</f>
        <v>44256</v>
      </c>
      <c r="E46" s="1345">
        <f t="shared" ref="E46:O46" si="16">EDATE(D46,-1)</f>
        <v>44228</v>
      </c>
      <c r="F46" s="1345">
        <f t="shared" si="16"/>
        <v>44197</v>
      </c>
      <c r="G46" s="1345">
        <f t="shared" si="16"/>
        <v>44166</v>
      </c>
      <c r="H46" s="1345">
        <f t="shared" si="16"/>
        <v>44136</v>
      </c>
      <c r="I46" s="1345">
        <f t="shared" si="16"/>
        <v>44105</v>
      </c>
      <c r="J46" s="1345">
        <f t="shared" si="16"/>
        <v>44075</v>
      </c>
      <c r="K46" s="1345">
        <f t="shared" si="16"/>
        <v>44044</v>
      </c>
      <c r="L46" s="1345">
        <f t="shared" si="16"/>
        <v>44013</v>
      </c>
      <c r="M46" s="1345">
        <f t="shared" si="16"/>
        <v>43983</v>
      </c>
      <c r="N46" s="1345">
        <f t="shared" si="16"/>
        <v>43952</v>
      </c>
      <c r="O46" s="1345">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8"/>
      <c r="D2" s="1038"/>
      <c r="E2" s="1038"/>
      <c r="F2" s="1039"/>
      <c r="G2" s="1038"/>
      <c r="H2" s="1038"/>
      <c r="I2" s="1038"/>
      <c r="J2" s="1038"/>
      <c r="K2" s="1040"/>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2"/>
      <c r="M4" s="2943"/>
      <c r="N4" s="2943"/>
      <c r="O4" s="2943"/>
      <c r="P4" s="3309" t="s">
        <v>2472</v>
      </c>
      <c r="Q4" s="3310"/>
      <c r="R4" s="3292" t="s">
        <v>2468</v>
      </c>
      <c r="S4" s="3293"/>
      <c r="T4" s="3292" t="s">
        <v>2469</v>
      </c>
      <c r="U4" s="3293"/>
      <c r="V4" s="3317" t="s">
        <v>2470</v>
      </c>
      <c r="W4" s="3317"/>
      <c r="X4" s="1538"/>
      <c r="Y4" s="3292" t="s">
        <v>2472</v>
      </c>
      <c r="Z4" s="3293"/>
      <c r="AA4" s="3287" t="s">
        <v>2468</v>
      </c>
      <c r="AB4" s="3288" t="s">
        <v>2469</v>
      </c>
      <c r="AC4" s="3287" t="s">
        <v>2470</v>
      </c>
    </row>
    <row r="5" spans="1:29" ht="15">
      <c r="A5" s="364"/>
      <c r="B5" s="365"/>
      <c r="C5" s="3298" t="s">
        <v>2363</v>
      </c>
      <c r="D5" s="3299"/>
      <c r="E5" s="3296" t="s">
        <v>2364</v>
      </c>
      <c r="F5" s="3297"/>
      <c r="G5" s="3298" t="s">
        <v>2365</v>
      </c>
      <c r="H5" s="3299"/>
      <c r="I5" s="3298" t="s">
        <v>2366</v>
      </c>
      <c r="J5" s="3299"/>
      <c r="K5" s="567"/>
      <c r="L5" s="2942"/>
      <c r="M5" s="2943"/>
      <c r="N5" s="2943"/>
      <c r="O5" s="2943"/>
      <c r="P5" s="3311"/>
      <c r="Q5" s="3312"/>
      <c r="R5" s="3294"/>
      <c r="S5" s="3295"/>
      <c r="T5" s="3294"/>
      <c r="U5" s="3295"/>
      <c r="V5" s="3317"/>
      <c r="W5" s="3317"/>
      <c r="X5" s="1538"/>
      <c r="Y5" s="3294"/>
      <c r="Z5" s="3295"/>
      <c r="AA5" s="3288"/>
      <c r="AB5" s="3288"/>
      <c r="AC5" s="3288"/>
    </row>
    <row r="6" spans="1:29" ht="15.75" thickBot="1">
      <c r="A6" s="366"/>
      <c r="B6" s="367"/>
      <c r="C6" s="3382" t="s">
        <v>2617</v>
      </c>
      <c r="D6" s="3383"/>
      <c r="E6" s="3384" t="s">
        <v>2617</v>
      </c>
      <c r="F6" s="3385"/>
      <c r="G6" s="3382" t="s">
        <v>2617</v>
      </c>
      <c r="H6" s="3383"/>
      <c r="I6" s="3382" t="s">
        <v>2617</v>
      </c>
      <c r="J6" s="3383"/>
      <c r="K6" s="567" t="s">
        <v>2368</v>
      </c>
      <c r="L6" s="2942"/>
      <c r="M6" s="2943"/>
      <c r="N6" s="2943"/>
      <c r="O6" s="2943"/>
      <c r="P6" s="3313"/>
      <c r="Q6" s="3314"/>
      <c r="R6" s="3294"/>
      <c r="S6" s="3295"/>
      <c r="T6" s="3315"/>
      <c r="U6" s="3316"/>
      <c r="V6" s="3317"/>
      <c r="W6" s="3317"/>
      <c r="X6" s="1538"/>
      <c r="Y6" s="3315"/>
      <c r="Z6" s="3316"/>
      <c r="AA6" s="3289"/>
      <c r="AB6" s="3289"/>
      <c r="AC6" s="3289"/>
    </row>
    <row r="7" spans="1:29" s="113" customFormat="1" ht="15.75" thickBot="1">
      <c r="A7" s="368" t="s">
        <v>2369</v>
      </c>
      <c r="B7" s="369"/>
      <c r="C7" s="370">
        <f>'数据-取费表'!B2</f>
        <v>44299</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90" t="s">
        <v>2370</v>
      </c>
      <c r="Q7" s="3318"/>
      <c r="R7" s="710" t="s">
        <v>17</v>
      </c>
      <c r="S7" s="711">
        <f t="shared" ref="S7:S15" si="0">F7</f>
        <v>0</v>
      </c>
      <c r="T7" s="710" t="s">
        <v>17</v>
      </c>
      <c r="U7" s="711">
        <f t="shared" ref="U7:U15" si="1">H7</f>
        <v>0</v>
      </c>
      <c r="V7" s="710" t="s">
        <v>17</v>
      </c>
      <c r="W7" s="711">
        <f t="shared" ref="W7:W15" si="2">J7</f>
        <v>0</v>
      </c>
      <c r="X7" s="712"/>
      <c r="Y7" s="3290" t="s">
        <v>2370</v>
      </c>
      <c r="Z7" s="329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0" t="s">
        <v>2373</v>
      </c>
      <c r="Q8" s="3291"/>
      <c r="R8" s="710" t="s">
        <v>17</v>
      </c>
      <c r="S8" s="711">
        <f t="shared" si="0"/>
        <v>0</v>
      </c>
      <c r="T8" s="710" t="s">
        <v>17</v>
      </c>
      <c r="U8" s="711">
        <f t="shared" si="1"/>
        <v>0</v>
      </c>
      <c r="V8" s="710" t="s">
        <v>17</v>
      </c>
      <c r="W8" s="711">
        <f t="shared" si="2"/>
        <v>0</v>
      </c>
      <c r="X8" s="712"/>
      <c r="Y8" s="3290" t="s">
        <v>2373</v>
      </c>
      <c r="Z8" s="3291"/>
      <c r="AA8" s="713" t="e">
        <f t="shared" ref="AA8:AA40" si="3">D8/F8</f>
        <v>#DIV/0!</v>
      </c>
      <c r="AB8" s="713" t="e">
        <f t="shared" ref="AB8:AB40" si="4">D8/H8</f>
        <v>#DIV/0!</v>
      </c>
      <c r="AC8" s="713"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04" t="s">
        <v>2376</v>
      </c>
      <c r="Q9" s="1526"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6"/>
      <c r="M10" s="2947"/>
      <c r="N10" s="2947"/>
      <c r="O10" s="3000"/>
      <c r="P10" s="3304"/>
      <c r="Q10" s="1526" t="str">
        <f t="shared" si="6"/>
        <v>土地使用年限（年）</v>
      </c>
      <c r="R10" s="710" t="s">
        <v>17</v>
      </c>
      <c r="S10" s="711">
        <f t="shared" si="0"/>
        <v>105</v>
      </c>
      <c r="T10" s="710" t="s">
        <v>17</v>
      </c>
      <c r="U10" s="711">
        <f t="shared" si="1"/>
        <v>105</v>
      </c>
      <c r="V10" s="710" t="s">
        <v>17</v>
      </c>
      <c r="W10" s="711">
        <f t="shared" si="2"/>
        <v>105</v>
      </c>
      <c r="X10" s="712"/>
      <c r="Y10" s="3260"/>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04"/>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04"/>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04"/>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04"/>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9" t="s">
        <v>2381</v>
      </c>
      <c r="Q15" s="1535" t="str">
        <f t="shared" si="6"/>
        <v>产业集聚程度</v>
      </c>
      <c r="R15" s="714" t="s">
        <v>17</v>
      </c>
      <c r="S15" s="715">
        <f t="shared" si="0"/>
        <v>100</v>
      </c>
      <c r="T15" s="714" t="s">
        <v>17</v>
      </c>
      <c r="U15" s="715">
        <f t="shared" si="1"/>
        <v>100</v>
      </c>
      <c r="V15" s="714" t="s">
        <v>17</v>
      </c>
      <c r="W15" s="715">
        <f t="shared" si="2"/>
        <v>100</v>
      </c>
      <c r="X15" s="1538"/>
      <c r="Y15" s="3319" t="s">
        <v>2381</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20"/>
      <c r="Q16" s="1535"/>
      <c r="R16" s="714"/>
      <c r="S16" s="715"/>
      <c r="T16" s="714"/>
      <c r="U16" s="715"/>
      <c r="V16" s="714"/>
      <c r="W16" s="715"/>
      <c r="X16" s="1538"/>
      <c r="Y16" s="3320"/>
      <c r="Z16" s="1539"/>
      <c r="AA16" s="1536">
        <v>1</v>
      </c>
      <c r="AB16" s="1536">
        <v>1</v>
      </c>
      <c r="AC16" s="1536">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20"/>
      <c r="Q17" s="1535" t="str">
        <f>B17</f>
        <v>交通便捷度</v>
      </c>
      <c r="R17" s="714" t="s">
        <v>17</v>
      </c>
      <c r="S17" s="715">
        <f>F17</f>
        <v>100</v>
      </c>
      <c r="T17" s="714" t="s">
        <v>17</v>
      </c>
      <c r="U17" s="715">
        <f>H17</f>
        <v>100</v>
      </c>
      <c r="V17" s="714" t="s">
        <v>17</v>
      </c>
      <c r="W17" s="715">
        <f>J17</f>
        <v>100</v>
      </c>
      <c r="X17" s="1538"/>
      <c r="Y17" s="332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20"/>
      <c r="Q18" s="1535"/>
      <c r="R18" s="714"/>
      <c r="S18" s="715"/>
      <c r="T18" s="714"/>
      <c r="U18" s="715"/>
      <c r="V18" s="714"/>
      <c r="W18" s="715"/>
      <c r="X18" s="1538"/>
      <c r="Y18" s="3320"/>
      <c r="Z18" s="1539"/>
      <c r="AA18" s="1536">
        <v>1</v>
      </c>
      <c r="AB18" s="1536">
        <v>1</v>
      </c>
      <c r="AC18" s="1536">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20"/>
      <c r="Q19" s="1535" t="str">
        <f t="shared" ref="Q19:Q33" si="8">B19</f>
        <v>区域土地利用方向</v>
      </c>
      <c r="R19" s="714" t="s">
        <v>17</v>
      </c>
      <c r="S19" s="715">
        <f>F19</f>
        <v>100</v>
      </c>
      <c r="T19" s="714" t="s">
        <v>17</v>
      </c>
      <c r="U19" s="715">
        <f>H19</f>
        <v>100</v>
      </c>
      <c r="V19" s="714" t="s">
        <v>17</v>
      </c>
      <c r="W19" s="715">
        <f>J19</f>
        <v>100</v>
      </c>
      <c r="X19" s="1538"/>
      <c r="Y19" s="332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0"/>
      <c r="L20" s="2949"/>
      <c r="M20" s="2943"/>
      <c r="N20" s="2943"/>
      <c r="O20" s="3001"/>
      <c r="P20" s="3320"/>
      <c r="Q20" s="1535"/>
      <c r="R20" s="714"/>
      <c r="S20" s="715"/>
      <c r="T20" s="714"/>
      <c r="U20" s="715"/>
      <c r="V20" s="714"/>
      <c r="W20" s="715"/>
      <c r="X20" s="1538"/>
      <c r="Y20" s="3320"/>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20"/>
      <c r="Q21" s="1535" t="str">
        <f t="shared" si="8"/>
        <v>环境状况</v>
      </c>
      <c r="R21" s="714" t="s">
        <v>17</v>
      </c>
      <c r="S21" s="715">
        <f>F21</f>
        <v>100</v>
      </c>
      <c r="T21" s="714" t="s">
        <v>17</v>
      </c>
      <c r="U21" s="715">
        <f>H21</f>
        <v>100</v>
      </c>
      <c r="V21" s="714" t="s">
        <v>17</v>
      </c>
      <c r="W21" s="715">
        <f>J21</f>
        <v>100</v>
      </c>
      <c r="X21" s="1538"/>
      <c r="Y21" s="332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20"/>
      <c r="Q22" s="1535"/>
      <c r="R22" s="714"/>
      <c r="S22" s="715"/>
      <c r="T22" s="714"/>
      <c r="U22" s="715"/>
      <c r="V22" s="714"/>
      <c r="W22" s="715"/>
      <c r="X22" s="1538"/>
      <c r="Y22" s="3320"/>
      <c r="Z22" s="1539"/>
      <c r="AA22" s="1536">
        <v>1</v>
      </c>
      <c r="AB22" s="1536">
        <v>1</v>
      </c>
      <c r="AC22" s="1536">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20"/>
      <c r="Q23" s="1526" t="str">
        <f t="shared" si="8"/>
        <v>公共配套设施</v>
      </c>
      <c r="R23" s="710" t="s">
        <v>17</v>
      </c>
      <c r="S23" s="711">
        <f>F23</f>
        <v>100</v>
      </c>
      <c r="T23" s="710" t="s">
        <v>17</v>
      </c>
      <c r="U23" s="711">
        <f>H23</f>
        <v>100</v>
      </c>
      <c r="V23" s="710" t="s">
        <v>17</v>
      </c>
      <c r="W23" s="711">
        <f>J23</f>
        <v>100</v>
      </c>
      <c r="X23" s="712"/>
      <c r="Y23" s="3320"/>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20"/>
      <c r="Q24" s="1526"/>
      <c r="R24" s="710"/>
      <c r="S24" s="711"/>
      <c r="T24" s="710"/>
      <c r="U24" s="711"/>
      <c r="V24" s="710"/>
      <c r="W24" s="711"/>
      <c r="X24" s="712"/>
      <c r="Y24" s="3320"/>
      <c r="Z24" s="55"/>
      <c r="AA24" s="713">
        <v>1</v>
      </c>
      <c r="AB24" s="713">
        <v>1</v>
      </c>
      <c r="AC24" s="713">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20"/>
      <c r="Q25" s="1526" t="str">
        <f t="shared" ref="Q25" si="9">B25</f>
        <v>基础设施水平</v>
      </c>
      <c r="R25" s="710" t="s">
        <v>17</v>
      </c>
      <c r="S25" s="711">
        <f>F25</f>
        <v>100</v>
      </c>
      <c r="T25" s="710" t="s">
        <v>17</v>
      </c>
      <c r="U25" s="711">
        <f>H25</f>
        <v>100</v>
      </c>
      <c r="V25" s="710" t="s">
        <v>17</v>
      </c>
      <c r="W25" s="711">
        <f>J25</f>
        <v>100</v>
      </c>
      <c r="X25" s="712"/>
      <c r="Y25" s="3320"/>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20"/>
      <c r="Q26" s="1526"/>
      <c r="R26" s="710"/>
      <c r="S26" s="711"/>
      <c r="T26" s="710"/>
      <c r="U26" s="711"/>
      <c r="V26" s="710"/>
      <c r="W26" s="711"/>
      <c r="X26" s="712"/>
      <c r="Y26" s="332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2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20"/>
      <c r="Z27" s="1539" t="str">
        <f t="shared" ref="Z27:Z40" si="13">Q27</f>
        <v>临街状况</v>
      </c>
      <c r="AA27" s="1536">
        <f t="shared" si="3"/>
        <v>1</v>
      </c>
      <c r="AB27" s="1536">
        <f t="shared" si="4"/>
        <v>1</v>
      </c>
      <c r="AC27" s="1536">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20"/>
      <c r="Q28" s="1535" t="str">
        <f t="shared" si="8"/>
        <v>毗邻道路的类型与等级</v>
      </c>
      <c r="R28" s="714" t="s">
        <v>17</v>
      </c>
      <c r="S28" s="715">
        <f t="shared" si="10"/>
        <v>100</v>
      </c>
      <c r="T28" s="714" t="s">
        <v>17</v>
      </c>
      <c r="U28" s="715">
        <f t="shared" si="11"/>
        <v>100</v>
      </c>
      <c r="V28" s="714" t="s">
        <v>17</v>
      </c>
      <c r="W28" s="715">
        <f t="shared" si="12"/>
        <v>100</v>
      </c>
      <c r="X28" s="1538"/>
      <c r="Y28" s="332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20"/>
      <c r="Q29" s="1535"/>
      <c r="R29" s="714"/>
      <c r="S29" s="715"/>
      <c r="T29" s="714"/>
      <c r="U29" s="715"/>
      <c r="V29" s="714"/>
      <c r="W29" s="715"/>
      <c r="X29" s="1538"/>
      <c r="Y29" s="3320"/>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20"/>
      <c r="Q30" s="1535" t="str">
        <f t="shared" si="8"/>
        <v>土地级别</v>
      </c>
      <c r="R30" s="714" t="s">
        <v>17</v>
      </c>
      <c r="S30" s="715">
        <f t="shared" si="10"/>
        <v>100</v>
      </c>
      <c r="T30" s="714" t="s">
        <v>17</v>
      </c>
      <c r="U30" s="715">
        <f t="shared" si="11"/>
        <v>100</v>
      </c>
      <c r="V30" s="714" t="s">
        <v>17</v>
      </c>
      <c r="W30" s="715">
        <f t="shared" si="12"/>
        <v>100</v>
      </c>
      <c r="X30" s="1538"/>
      <c r="Y30" s="3320"/>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20"/>
      <c r="Q31" s="1535">
        <f t="shared" si="8"/>
        <v>111</v>
      </c>
      <c r="R31" s="714" t="s">
        <v>17</v>
      </c>
      <c r="S31" s="715">
        <f t="shared" si="10"/>
        <v>100</v>
      </c>
      <c r="T31" s="714" t="s">
        <v>17</v>
      </c>
      <c r="U31" s="715">
        <f t="shared" si="11"/>
        <v>100</v>
      </c>
      <c r="V31" s="714" t="s">
        <v>17</v>
      </c>
      <c r="W31" s="715">
        <f t="shared" si="12"/>
        <v>100</v>
      </c>
      <c r="X31" s="1538"/>
      <c r="Y31" s="3320"/>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21" t="s">
        <v>2386</v>
      </c>
      <c r="Q32" s="1535">
        <f t="shared" si="8"/>
        <v>111</v>
      </c>
      <c r="R32" s="714" t="s">
        <v>17</v>
      </c>
      <c r="S32" s="715">
        <f t="shared" si="10"/>
        <v>100</v>
      </c>
      <c r="T32" s="714" t="s">
        <v>17</v>
      </c>
      <c r="U32" s="715">
        <f t="shared" si="11"/>
        <v>100</v>
      </c>
      <c r="V32" s="714" t="s">
        <v>17</v>
      </c>
      <c r="W32" s="715">
        <f t="shared" si="12"/>
        <v>100</v>
      </c>
      <c r="X32" s="1538"/>
      <c r="Y32" s="3322" t="s">
        <v>2386</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2"/>
      <c r="Q33" s="1535">
        <f t="shared" si="8"/>
        <v>111</v>
      </c>
      <c r="R33" s="717" t="s">
        <v>17</v>
      </c>
      <c r="S33" s="718">
        <f t="shared" si="10"/>
        <v>100</v>
      </c>
      <c r="T33" s="717" t="s">
        <v>17</v>
      </c>
      <c r="U33" s="718">
        <f t="shared" si="11"/>
        <v>100</v>
      </c>
      <c r="V33" s="717" t="s">
        <v>17</v>
      </c>
      <c r="W33" s="718">
        <f t="shared" si="12"/>
        <v>100</v>
      </c>
      <c r="X33" s="719"/>
      <c r="Y33" s="3322"/>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2"/>
      <c r="Q34" s="1535" t="str">
        <f>B34</f>
        <v>宗地面积</v>
      </c>
      <c r="R34" s="714" t="s">
        <v>17</v>
      </c>
      <c r="S34" s="715" t="e">
        <f t="shared" si="10"/>
        <v>#N/A</v>
      </c>
      <c r="T34" s="714" t="s">
        <v>17</v>
      </c>
      <c r="U34" s="715" t="e">
        <f t="shared" si="11"/>
        <v>#N/A</v>
      </c>
      <c r="V34" s="714" t="s">
        <v>17</v>
      </c>
      <c r="W34" s="715" t="e">
        <f t="shared" si="12"/>
        <v>#N/A</v>
      </c>
      <c r="X34" s="1538"/>
      <c r="Y34" s="3322"/>
      <c r="Z34" s="1539" t="str">
        <f t="shared" si="13"/>
        <v>宗地面积</v>
      </c>
      <c r="AA34" s="1536" t="e">
        <f t="shared" si="3"/>
        <v>#N/A</v>
      </c>
      <c r="AB34" s="1536" t="e">
        <f t="shared" si="4"/>
        <v>#N/A</v>
      </c>
      <c r="AC34" s="1536"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22"/>
      <c r="Q35" s="1535" t="str">
        <f t="shared" ref="Q35:Q40" si="14">B35</f>
        <v>宗地形状</v>
      </c>
      <c r="R35" s="714" t="s">
        <v>17</v>
      </c>
      <c r="S35" s="715">
        <f t="shared" si="10"/>
        <v>100</v>
      </c>
      <c r="T35" s="714" t="s">
        <v>17</v>
      </c>
      <c r="U35" s="715">
        <f t="shared" si="11"/>
        <v>100</v>
      </c>
      <c r="V35" s="714" t="s">
        <v>17</v>
      </c>
      <c r="W35" s="715">
        <f t="shared" si="12"/>
        <v>100</v>
      </c>
      <c r="X35" s="1538"/>
      <c r="Y35" s="3322"/>
      <c r="Z35" s="1539" t="str">
        <f t="shared" si="13"/>
        <v>宗地形状</v>
      </c>
      <c r="AA35" s="1536">
        <f t="shared" si="3"/>
        <v>1</v>
      </c>
      <c r="AB35" s="1536">
        <f t="shared" si="4"/>
        <v>1</v>
      </c>
      <c r="AC35" s="1536">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22"/>
      <c r="Q36" s="1535" t="str">
        <f t="shared" si="14"/>
        <v>宗地开发程度</v>
      </c>
      <c r="R36" s="710" t="s">
        <v>17</v>
      </c>
      <c r="S36" s="711">
        <f t="shared" si="10"/>
        <v>100</v>
      </c>
      <c r="T36" s="710" t="s">
        <v>17</v>
      </c>
      <c r="U36" s="711">
        <f t="shared" si="11"/>
        <v>100</v>
      </c>
      <c r="V36" s="710" t="s">
        <v>17</v>
      </c>
      <c r="W36" s="711">
        <f t="shared" si="12"/>
        <v>100</v>
      </c>
      <c r="X36" s="712"/>
      <c r="Y36" s="3322"/>
      <c r="Z36" s="55" t="str">
        <f t="shared" si="13"/>
        <v>宗地开发程度</v>
      </c>
      <c r="AA36" s="713">
        <f t="shared" si="3"/>
        <v>1</v>
      </c>
      <c r="AB36" s="713">
        <f t="shared" si="4"/>
        <v>1</v>
      </c>
      <c r="AC36" s="713">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22" t="s">
        <v>2386</v>
      </c>
      <c r="Q37" s="1535" t="str">
        <f t="shared" si="14"/>
        <v>工程地质条件</v>
      </c>
      <c r="R37" s="714" t="s">
        <v>17</v>
      </c>
      <c r="S37" s="715">
        <f t="shared" si="10"/>
        <v>100</v>
      </c>
      <c r="T37" s="714" t="s">
        <v>17</v>
      </c>
      <c r="U37" s="715">
        <f t="shared" si="11"/>
        <v>100</v>
      </c>
      <c r="V37" s="714" t="s">
        <v>17</v>
      </c>
      <c r="W37" s="715">
        <f t="shared" si="12"/>
        <v>100</v>
      </c>
      <c r="X37" s="1538"/>
      <c r="Y37" s="3322"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2"/>
      <c r="Q38" s="1535">
        <f t="shared" si="14"/>
        <v>111</v>
      </c>
      <c r="R38" s="714" t="s">
        <v>17</v>
      </c>
      <c r="S38" s="715">
        <f t="shared" si="10"/>
        <v>100</v>
      </c>
      <c r="T38" s="714" t="s">
        <v>17</v>
      </c>
      <c r="U38" s="715">
        <f t="shared" si="11"/>
        <v>100</v>
      </c>
      <c r="V38" s="714" t="s">
        <v>17</v>
      </c>
      <c r="W38" s="715">
        <f t="shared" si="12"/>
        <v>100</v>
      </c>
      <c r="X38" s="1538"/>
      <c r="Y38" s="3322"/>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2"/>
      <c r="Q39" s="1535">
        <f t="shared" si="14"/>
        <v>111</v>
      </c>
      <c r="R39" s="714" t="s">
        <v>17</v>
      </c>
      <c r="S39" s="715">
        <f t="shared" si="10"/>
        <v>100</v>
      </c>
      <c r="T39" s="714" t="s">
        <v>17</v>
      </c>
      <c r="U39" s="715">
        <f t="shared" si="11"/>
        <v>100</v>
      </c>
      <c r="V39" s="714" t="s">
        <v>17</v>
      </c>
      <c r="W39" s="715">
        <f t="shared" si="12"/>
        <v>100</v>
      </c>
      <c r="X39" s="1538"/>
      <c r="Y39" s="3322"/>
      <c r="Z39" s="1539">
        <f t="shared" si="13"/>
        <v>111</v>
      </c>
      <c r="AA39" s="1536">
        <f t="shared" si="3"/>
        <v>1</v>
      </c>
      <c r="AB39" s="1536">
        <f t="shared" si="4"/>
        <v>1</v>
      </c>
      <c r="AC39" s="1536">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2"/>
      <c r="Q40" s="1535">
        <f t="shared" si="14"/>
        <v>111</v>
      </c>
      <c r="R40" s="717" t="s">
        <v>17</v>
      </c>
      <c r="S40" s="718">
        <f t="shared" si="10"/>
        <v>100</v>
      </c>
      <c r="T40" s="717" t="s">
        <v>17</v>
      </c>
      <c r="U40" s="718">
        <f t="shared" si="11"/>
        <v>100</v>
      </c>
      <c r="V40" s="717" t="s">
        <v>17</v>
      </c>
      <c r="W40" s="718">
        <f t="shared" si="12"/>
        <v>100</v>
      </c>
      <c r="X40" s="719"/>
      <c r="Y40" s="3322"/>
      <c r="Z40" s="720">
        <f t="shared" si="13"/>
        <v>111</v>
      </c>
      <c r="AA40" s="1536">
        <f t="shared" si="3"/>
        <v>1</v>
      </c>
      <c r="AB40" s="1536">
        <f t="shared" si="4"/>
        <v>1</v>
      </c>
      <c r="AC40" s="1536">
        <f t="shared" si="5"/>
        <v>1</v>
      </c>
    </row>
    <row r="41" spans="1:31" ht="15">
      <c r="A41" s="438" t="s">
        <v>2541</v>
      </c>
      <c r="B41" s="2166" t="s">
        <v>2620</v>
      </c>
      <c r="C41" s="638" t="s">
        <v>1</v>
      </c>
      <c r="D41" s="440"/>
      <c r="E41" s="441"/>
      <c r="F41" s="442"/>
      <c r="G41" s="443"/>
      <c r="H41" s="444"/>
      <c r="I41" s="441"/>
      <c r="J41" s="444"/>
      <c r="K41" s="723"/>
      <c r="L41" s="2951"/>
      <c r="M41" s="2943"/>
      <c r="N41" s="2943"/>
      <c r="O41" s="2952"/>
      <c r="P41" s="3304" t="str">
        <f>A41</f>
        <v>成交单价</v>
      </c>
      <c r="Q41" s="3304"/>
      <c r="R41" s="3317">
        <f>E41</f>
        <v>0</v>
      </c>
      <c r="S41" s="3317"/>
      <c r="T41" s="3317">
        <f>G41</f>
        <v>0</v>
      </c>
      <c r="U41" s="3317"/>
      <c r="V41" s="3317">
        <f>I41</f>
        <v>0</v>
      </c>
      <c r="W41" s="3317"/>
      <c r="X41" s="699"/>
      <c r="Y41" s="721"/>
      <c r="Z41" s="699"/>
      <c r="AA41" s="699"/>
      <c r="AB41" s="699"/>
      <c r="AC41" s="699"/>
    </row>
    <row r="42" spans="1:31" ht="15.75" thickBot="1">
      <c r="A42" s="445" t="s">
        <v>2490</v>
      </c>
      <c r="B42" s="639"/>
      <c r="C42" s="448" t="e">
        <f>R43</f>
        <v>#DIV/0!</v>
      </c>
      <c r="D42" s="2536" t="s">
        <v>2880</v>
      </c>
      <c r="E42" s="448" t="e">
        <f>R42</f>
        <v>#DIV/0!</v>
      </c>
      <c r="F42" s="2537"/>
      <c r="G42" s="447" t="e">
        <f>T42</f>
        <v>#DIV/0!</v>
      </c>
      <c r="H42" s="2537"/>
      <c r="I42" s="448" t="e">
        <f>V42</f>
        <v>#DIV/0!</v>
      </c>
      <c r="J42" s="2537"/>
      <c r="K42" s="2539">
        <f>F42+H42+J42</f>
        <v>0</v>
      </c>
      <c r="L42" s="2951"/>
      <c r="M42" s="2943"/>
      <c r="N42" s="2943"/>
      <c r="O42" s="2952"/>
      <c r="P42" s="3304" t="str">
        <f>A42</f>
        <v>比较价值（元/平方米）</v>
      </c>
      <c r="Q42" s="3304"/>
      <c r="R42" s="3323" t="e">
        <f>ROUND(PRODUCT(R41,AA7:AA40),0)</f>
        <v>#DIV/0!</v>
      </c>
      <c r="S42" s="3323"/>
      <c r="T42" s="3323" t="e">
        <f>ROUND(PRODUCT(T41,AB7:AB40),0)</f>
        <v>#DIV/0!</v>
      </c>
      <c r="U42" s="3323"/>
      <c r="V42" s="3323" t="e">
        <f>ROUND(PRODUCT(V41,AC7:AC40),0)</f>
        <v>#DIV/0!</v>
      </c>
      <c r="W42" s="332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24" t="str">
        <f>A43</f>
        <v>估价对象XX用房的比较价值（楼面单价，元/平方米）</v>
      </c>
      <c r="Q43" s="3325"/>
      <c r="R43" s="3326" t="e">
        <f>ROUND(IF(D42="简单平均",AVERAGE(R42:W42),R42*F42+T42*H42+V42*J42),0)</f>
        <v>#DIV/0!</v>
      </c>
      <c r="S43" s="3326"/>
      <c r="T43" s="3326"/>
      <c r="U43" s="3326"/>
      <c r="V43" s="3326"/>
      <c r="W43" s="332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305" t="s">
        <v>2584</v>
      </c>
      <c r="H50" s="3327"/>
      <c r="I50" s="1539" t="s">
        <v>2621</v>
      </c>
      <c r="J50" s="1539">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4">
        <v>1</v>
      </c>
      <c r="E51" s="646">
        <f>'数据-汇总表'!E8+'数据-汇总表'!E9</f>
        <v>51887.190000000039</v>
      </c>
      <c r="F51" s="647" t="e">
        <f t="shared" ref="F51:F60" si="15">ROUND(B51*E51/10000,0)</f>
        <v>#DIV/0!</v>
      </c>
      <c r="G51" s="3328"/>
      <c r="H51" s="3304"/>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5">
        <v>0.25</v>
      </c>
      <c r="E52" s="650"/>
      <c r="F52" s="647" t="e">
        <f t="shared" si="15"/>
        <v>#DIV/0!</v>
      </c>
      <c r="G52" s="3329" t="s">
        <v>2589</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5">
        <v>0.25</v>
      </c>
      <c r="E53" s="650"/>
      <c r="F53" s="647" t="e">
        <f t="shared" si="15"/>
        <v>#DIV/0!</v>
      </c>
      <c r="G53" s="3329"/>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5">
        <v>0.25</v>
      </c>
      <c r="E54" s="650"/>
      <c r="F54" s="647" t="e">
        <f t="shared" si="15"/>
        <v>#DIV/0!</v>
      </c>
      <c r="G54" s="3329"/>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5">
        <v>0.25</v>
      </c>
      <c r="E55" s="650"/>
      <c r="F55" s="647" t="e">
        <f t="shared" si="15"/>
        <v>#DIV/0!</v>
      </c>
      <c r="G55" s="3329"/>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5">
        <v>0.25</v>
      </c>
      <c r="E56" s="223">
        <f>'数据-汇总表'!E11</f>
        <v>0</v>
      </c>
      <c r="F56" s="647" t="e">
        <f t="shared" si="15"/>
        <v>#DIV/0!</v>
      </c>
      <c r="G56" s="2171" t="s">
        <v>2594</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5">
        <v>0.25</v>
      </c>
      <c r="E57" s="223">
        <f>'数据-汇总表'!E12</f>
        <v>136.68</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5">
        <v>0.25</v>
      </c>
      <c r="E59" s="223">
        <f>'数据-汇总表'!E14</f>
        <v>0</v>
      </c>
      <c r="F59" s="647" t="e">
        <f t="shared" si="15"/>
        <v>#DIV/0!</v>
      </c>
      <c r="G59" s="2171" t="s">
        <v>2589</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5">
        <v>0.25</v>
      </c>
      <c r="E60" s="223">
        <f>'数据-汇总表'!E15</f>
        <v>14680.529999999908</v>
      </c>
      <c r="F60" s="647" t="e">
        <f t="shared" si="15"/>
        <v>#DIV/0!</v>
      </c>
      <c r="G60" s="2172" t="s">
        <v>2594</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11088</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8"/>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北京市平均增长率0.00%</v>
      </c>
      <c r="C66" s="560">
        <v>100</v>
      </c>
      <c r="D66" s="552"/>
      <c r="E66" s="552"/>
      <c r="F66" s="552"/>
      <c r="G66" s="552"/>
      <c r="H66" s="552"/>
      <c r="I66" s="552"/>
      <c r="J66" s="552"/>
      <c r="K66" s="552"/>
      <c r="L66" s="552"/>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3">
        <f>SUMPRODUCT((区片价!B5:B9=I2)*(区片价!C3:F3=E2)*(区片价!C5:F9))</f>
        <v>0</v>
      </c>
      <c r="N1" s="996">
        <f>SUMPRODUCT((因素修正幅度!B5:B9=I2)*(因素修正幅度!C3:F3=E2)*(因素修正幅度!C5:F9))</f>
        <v>0</v>
      </c>
      <c r="O1" s="2181"/>
      <c r="P1" s="2181"/>
      <c r="Q1" s="1279"/>
      <c r="R1" s="1372" t="s">
        <v>2627</v>
      </c>
      <c r="S1" s="1372" t="s">
        <v>2628</v>
      </c>
      <c r="T1" s="1372" t="s">
        <v>2629</v>
      </c>
      <c r="U1" s="1372" t="s">
        <v>2630</v>
      </c>
      <c r="V1" s="1372" t="s">
        <v>2631</v>
      </c>
      <c r="W1" s="1376"/>
      <c r="X1" s="1376"/>
      <c r="Y1" s="1376"/>
      <c r="Z1" s="1376"/>
      <c r="AA1" s="1376"/>
      <c r="AB1" s="1376"/>
      <c r="AC1" s="1377"/>
      <c r="AD1" s="1378"/>
      <c r="AE1" s="1378"/>
      <c r="AF1" s="1378"/>
      <c r="AG1" s="1378"/>
      <c r="AH1" s="1378"/>
      <c r="AI1" s="1378"/>
      <c r="AJ1" s="1379"/>
    </row>
    <row r="2" spans="1:36" ht="15.75">
      <c r="A2" s="207" t="s">
        <v>2632</v>
      </c>
      <c r="B2" s="210"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9"/>
      <c r="L2" s="2188" t="s">
        <v>2637</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2638</v>
      </c>
      <c r="B3" s="210" t="e">
        <f>ROUND(B2*10000/D1,0)</f>
        <v>#DIV/0!</v>
      </c>
      <c r="C3" s="2183" t="s">
        <v>2639</v>
      </c>
      <c r="D3" s="2184" t="s">
        <v>2640</v>
      </c>
      <c r="E3" s="2189"/>
      <c r="F3" s="2190" t="s">
        <v>2641</v>
      </c>
      <c r="G3" s="854">
        <f>IF(F3="宗地容积率",'数据-汇总表'!I4,IF(F3="估价对象容积率",'数据-汇总表'!I6,'数据-汇总表'!I7))</f>
        <v>4.68</v>
      </c>
      <c r="H3" s="175" t="s">
        <v>2642</v>
      </c>
      <c r="I3" s="880"/>
      <c r="J3" s="2187" t="s">
        <v>2643</v>
      </c>
      <c r="K3" s="1279"/>
      <c r="L3" s="2188" t="s">
        <v>2644</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05"/>
      <c r="B4" s="3406"/>
      <c r="C4" s="3406"/>
      <c r="D4" s="3407"/>
      <c r="E4" s="3407"/>
      <c r="F4" s="3407"/>
      <c r="G4" s="3407"/>
      <c r="H4" s="3407"/>
      <c r="I4" s="3407"/>
      <c r="J4" s="3408"/>
      <c r="K4" s="1279"/>
      <c r="L4" s="2188" t="s">
        <v>2645</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5" t="e">
        <f>ROUND(IF(E2="商业",C6*C7+C16,(IF(E2="住宅",C6*C12+C16,C6+C16))),0)</f>
        <v>#DIV/0!</v>
      </c>
      <c r="D5" s="1522" t="e">
        <f>ROUND(C6+C16,0)</f>
        <v>#DIV/0!</v>
      </c>
      <c r="E5" s="1522"/>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7"/>
      <c r="L6" s="2188" t="s">
        <v>2651</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6" t="str">
        <f>IF(E2="商业",IF(C8="不临58条商业街","",2),"")</f>
        <v/>
      </c>
      <c r="B7" s="2207" t="s">
        <v>2652</v>
      </c>
      <c r="C7" s="857" t="e">
        <f>IF(C8="不临58条商业街",1,ROUND(1+(1.6*E8+1.2*E9+0.8*E10+0.4*E11)*C9,4))</f>
        <v>#DIV/0!</v>
      </c>
      <c r="D7" s="2208" t="s">
        <v>2653</v>
      </c>
      <c r="E7" s="881"/>
      <c r="F7" s="2209"/>
      <c r="G7" s="2210"/>
      <c r="H7" s="2210"/>
      <c r="I7" s="2210"/>
      <c r="J7" s="2211"/>
      <c r="K7" s="1567"/>
      <c r="L7" s="2188" t="s">
        <v>2654</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2655</v>
      </c>
      <c r="X7" s="1374">
        <f>G2</f>
        <v>0</v>
      </c>
      <c r="Y7" s="1374" t="s">
        <v>2656</v>
      </c>
      <c r="Z7" s="1375">
        <f>G3</f>
        <v>4.68</v>
      </c>
      <c r="AA7" s="1376"/>
      <c r="AB7" s="1376"/>
      <c r="AC7" s="1377"/>
      <c r="AD7" s="1378"/>
      <c r="AE7" s="1378"/>
      <c r="AF7" s="1378"/>
      <c r="AG7" s="1378"/>
      <c r="AH7" s="1378"/>
      <c r="AI7" s="1378"/>
      <c r="AJ7" s="1379"/>
    </row>
    <row r="8" spans="1:36" ht="15">
      <c r="A8" s="3409"/>
      <c r="B8" s="175" t="s">
        <v>2657</v>
      </c>
      <c r="C8" s="2212"/>
      <c r="D8" s="858" t="s">
        <v>139</v>
      </c>
      <c r="E8" s="859" t="e">
        <f>ROUND(C11/E7,4)</f>
        <v>#DIV/0!</v>
      </c>
      <c r="F8" s="2213" t="s">
        <v>2658</v>
      </c>
      <c r="G8" s="2214"/>
      <c r="H8" s="2214"/>
      <c r="I8" s="2214"/>
      <c r="J8" s="2215"/>
      <c r="K8" s="1279"/>
      <c r="L8" s="2188" t="s">
        <v>2659</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402" t="s">
        <v>2660</v>
      </c>
      <c r="X8" s="3403"/>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409"/>
      <c r="B9" s="175" t="s">
        <v>2673</v>
      </c>
      <c r="C9" s="860">
        <f>SUMIF(修正!C59:C119,C8,修正!E59:E119)</f>
        <v>0</v>
      </c>
      <c r="D9" s="176" t="s">
        <v>140</v>
      </c>
      <c r="E9" s="176" t="e">
        <f>ROUND(C11/E7,4)</f>
        <v>#DIV/0!</v>
      </c>
      <c r="F9" s="2213" t="s">
        <v>2674</v>
      </c>
      <c r="G9" s="2214"/>
      <c r="H9" s="2214"/>
      <c r="I9" s="2214"/>
      <c r="J9" s="2215"/>
      <c r="K9" s="1279"/>
      <c r="L9" s="2188" t="s">
        <v>2675</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404"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9"/>
      <c r="B10" s="175" t="s">
        <v>2678</v>
      </c>
      <c r="C10" s="176">
        <f>SUMIF(修正!C59:C119,C8,修正!F59:F119)</f>
        <v>0</v>
      </c>
      <c r="D10" s="176" t="s">
        <v>141</v>
      </c>
      <c r="E10" s="176" t="e">
        <f>ROUND(C11/E7,4)</f>
        <v>#DIV/0!</v>
      </c>
      <c r="F10" s="2213" t="s">
        <v>2679</v>
      </c>
      <c r="G10" s="2214"/>
      <c r="H10" s="2214"/>
      <c r="I10" s="2214"/>
      <c r="J10" s="2215"/>
      <c r="K10" s="1279"/>
      <c r="L10" s="2188" t="s">
        <v>2680</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404"/>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9"/>
      <c r="B11" s="2216" t="s">
        <v>2681</v>
      </c>
      <c r="C11" s="861">
        <f>C10/4</f>
        <v>0</v>
      </c>
      <c r="D11" s="861" t="s">
        <v>142</v>
      </c>
      <c r="E11" s="861" t="e">
        <f>ROUND(C11/E7,4)</f>
        <v>#DIV/0!</v>
      </c>
      <c r="F11" s="2217" t="s">
        <v>2682</v>
      </c>
      <c r="G11" s="2218"/>
      <c r="H11" s="2218"/>
      <c r="I11" s="2218"/>
      <c r="J11" s="2219"/>
      <c r="K11" s="1279"/>
      <c r="L11" s="2188" t="s">
        <v>2683</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404" t="s">
        <v>2684</v>
      </c>
      <c r="X11" s="1384" t="s">
        <v>2685</v>
      </c>
      <c r="Y11" s="1385">
        <f>$G$3</f>
        <v>4.68</v>
      </c>
      <c r="Z11" s="1385">
        <f t="shared" ref="Z11:AJ11" si="3">$G$3</f>
        <v>4.68</v>
      </c>
      <c r="AA11" s="1385">
        <f t="shared" si="3"/>
        <v>4.68</v>
      </c>
      <c r="AB11" s="1385">
        <f t="shared" si="3"/>
        <v>4.68</v>
      </c>
      <c r="AC11" s="1385">
        <f t="shared" si="3"/>
        <v>4.68</v>
      </c>
      <c r="AD11" s="1385">
        <f t="shared" si="3"/>
        <v>4.68</v>
      </c>
      <c r="AE11" s="1385">
        <f t="shared" si="3"/>
        <v>4.68</v>
      </c>
      <c r="AF11" s="1385">
        <f t="shared" si="3"/>
        <v>4.68</v>
      </c>
      <c r="AG11" s="1385">
        <f t="shared" si="3"/>
        <v>4.68</v>
      </c>
      <c r="AH11" s="1385">
        <f t="shared" si="3"/>
        <v>4.68</v>
      </c>
      <c r="AI11" s="1385">
        <f t="shared" si="3"/>
        <v>4.68</v>
      </c>
      <c r="AJ11" s="1385">
        <f t="shared" si="3"/>
        <v>4.68</v>
      </c>
    </row>
    <row r="12" spans="1:36" ht="25.5" thickBot="1">
      <c r="A12" s="3386" t="s">
        <v>2686</v>
      </c>
      <c r="B12" s="2220" t="s">
        <v>2687</v>
      </c>
      <c r="C12" s="857">
        <f>ROUND(C15*D15*E15*F15*G15*H15*I15*J15,4)</f>
        <v>1</v>
      </c>
      <c r="D12" s="2221" t="s">
        <v>2688</v>
      </c>
      <c r="E12" s="2222"/>
      <c r="F12" s="2222"/>
      <c r="G12" s="2223"/>
      <c r="H12" s="2223"/>
      <c r="I12" s="2223"/>
      <c r="J12" s="2224"/>
      <c r="K12" s="1279"/>
      <c r="L12" s="2225" t="s">
        <v>2689</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404"/>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10"/>
      <c r="B13" s="2226" t="s">
        <v>2691</v>
      </c>
      <c r="C13" s="2227" t="s">
        <v>2692</v>
      </c>
      <c r="D13" s="1533" t="s">
        <v>2693</v>
      </c>
      <c r="E13" s="1533" t="s">
        <v>2694</v>
      </c>
      <c r="F13" s="30" t="s">
        <v>2695</v>
      </c>
      <c r="G13" s="2228" t="s">
        <v>2696</v>
      </c>
      <c r="H13" s="2228" t="s">
        <v>2696</v>
      </c>
      <c r="I13" s="2228" t="s">
        <v>2696</v>
      </c>
      <c r="J13" s="2229" t="s">
        <v>2696</v>
      </c>
      <c r="K13" s="1279"/>
      <c r="L13" s="1279"/>
      <c r="M13" s="1279"/>
      <c r="N13" s="1279"/>
      <c r="O13" s="1279"/>
      <c r="P13" s="1279"/>
      <c r="Q13" s="1279"/>
      <c r="R13" s="1372">
        <v>12</v>
      </c>
      <c r="S13" s="1373"/>
      <c r="T13" s="1372" t="e">
        <f t="shared" si="0"/>
        <v>#DIV/0!</v>
      </c>
      <c r="U13" s="1373"/>
      <c r="V13" s="1372" t="e">
        <f t="shared" si="1"/>
        <v>#DIV/0!</v>
      </c>
      <c r="W13" s="3404"/>
      <c r="X13" s="1386"/>
      <c r="Y13" s="1383">
        <f>(-0.163*(Y12^2)-0.59*Y12+7617)*(10^(-4))/Y11</f>
        <v>0.16275641025641027</v>
      </c>
      <c r="Z13" s="1383">
        <f t="shared" ref="Z13:AJ13" si="5">(-0.163*(Z12^2)-0.59*Z12+7617)*(10^(-4))/Z11</f>
        <v>0.16275641025641027</v>
      </c>
      <c r="AA13" s="1383">
        <f t="shared" si="5"/>
        <v>0.16275641025641027</v>
      </c>
      <c r="AB13" s="1383">
        <f t="shared" si="5"/>
        <v>0.16275641025641027</v>
      </c>
      <c r="AC13" s="1383">
        <f t="shared" si="5"/>
        <v>0.16275641025641027</v>
      </c>
      <c r="AD13" s="1383">
        <f t="shared" si="5"/>
        <v>0.16275641025641027</v>
      </c>
      <c r="AE13" s="1383">
        <f t="shared" si="5"/>
        <v>0.16275641025641027</v>
      </c>
      <c r="AF13" s="1383">
        <f t="shared" si="5"/>
        <v>0.16275641025641027</v>
      </c>
      <c r="AG13" s="1383">
        <f t="shared" si="5"/>
        <v>0.16275641025641027</v>
      </c>
      <c r="AH13" s="1383">
        <f t="shared" si="5"/>
        <v>0.16275641025641027</v>
      </c>
      <c r="AI13" s="1383">
        <f t="shared" si="5"/>
        <v>0.16275641025641027</v>
      </c>
      <c r="AJ13" s="1383">
        <f t="shared" si="5"/>
        <v>0.16275641025641027</v>
      </c>
    </row>
    <row r="14" spans="1:36" ht="15">
      <c r="A14" s="3410"/>
      <c r="B14" s="2230"/>
      <c r="C14" s="2231"/>
      <c r="D14" s="2232"/>
      <c r="E14" s="2232"/>
      <c r="F14" s="2233"/>
      <c r="G14" s="2234" t="s">
        <v>2697</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11"/>
      <c r="B15" s="2238" t="s">
        <v>2698</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6" t="s">
        <v>2703</v>
      </c>
      <c r="B16" s="2207" t="s">
        <v>2704</v>
      </c>
      <c r="C16" s="2369" t="e">
        <f>ROUND(IF(F17="与级别开发程度一致",0,(G17-E17)/C17),0)</f>
        <v>#DIV/0!</v>
      </c>
      <c r="D16" s="3399" t="s">
        <v>2708</v>
      </c>
      <c r="E16" s="3400"/>
      <c r="F16" s="3399" t="s">
        <v>2705</v>
      </c>
      <c r="G16" s="3400"/>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7"/>
      <c r="B17" s="2380" t="s">
        <v>2707</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2711</v>
      </c>
      <c r="C19" s="862" t="e">
        <f>ROUND(IF(H19="按公示增长率计算",SUMPRODUCT((地价!A3:A33=YEAR(G19)&amp;"-"&amp;ROUNDUP(MONTH(G19)/3,0))*(地价!X2:AB2=E2)*(地价!X3:AB33)),IF(H19="地价指数",M20/M19,(1+I19)^O19)),4)</f>
        <v>#VALUE!</v>
      </c>
      <c r="D19" s="2249" t="s">
        <v>2712</v>
      </c>
      <c r="E19" s="863">
        <v>41640</v>
      </c>
      <c r="F19" s="2249" t="s">
        <v>2713</v>
      </c>
      <c r="G19" s="864">
        <f>'数据-取费表'!B2</f>
        <v>44299</v>
      </c>
      <c r="H19" s="2250"/>
      <c r="I19" s="865" t="str">
        <f>IF(H19="季度增幅（自定义）",SUMIF(N21:N24,E2,O21:O24),"")</f>
        <v/>
      </c>
      <c r="J19" s="2247"/>
      <c r="K19" s="1286"/>
      <c r="L19" s="2251" t="s">
        <v>2714</v>
      </c>
      <c r="M19" s="1495">
        <f>ROUND(SUMIF(地价!B2:F2,E2,地价!B33:F33),0)</f>
        <v>0</v>
      </c>
      <c r="N19" s="2252" t="s">
        <v>2715</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4">
        <f ca="1">存贷款利率!D4/100</f>
        <v>3.85E-2</v>
      </c>
      <c r="F20" s="2256" t="s">
        <v>2709</v>
      </c>
      <c r="G20" s="872">
        <f>SUMIF(M26:P26,E2,M28:P28)</f>
        <v>0</v>
      </c>
      <c r="H20" s="2256" t="s">
        <v>2718</v>
      </c>
      <c r="I20" s="873" t="e">
        <f>SUMIF('数据-取费表'!C6:C15,E2,'数据-取费表'!F6:F15)/COUNTIF('数据-取费表'!C6:C15,E2)</f>
        <v>#DIV/0!</v>
      </c>
      <c r="J20" s="874">
        <f>IF(E2="住宅",70,IF(E2="商业",40,50))</f>
        <v>50</v>
      </c>
      <c r="K20" s="1286"/>
      <c r="L20" s="2257" t="s">
        <v>2719</v>
      </c>
      <c r="M20" s="1496">
        <f>ROUND(SUMPRODUCT((地价!A4:A33=YEAR(G19)&amp;"-"&amp;ROUNDUP(MONTH(G19)/3,0))*(地价!B2:F2=E2)*(地价!B4:F33)),0)</f>
        <v>0</v>
      </c>
      <c r="N20" s="2258" t="s">
        <v>2720</v>
      </c>
      <c r="O20" s="2259" t="s">
        <v>2721</v>
      </c>
      <c r="P20" s="2260" t="s">
        <v>2722</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2723</v>
      </c>
      <c r="C21" s="875">
        <f>IF(B21="容积率修正",IF(G3&lt;=10,D22,J22),C23)</f>
        <v>0</v>
      </c>
      <c r="D21" s="2263"/>
      <c r="E21" s="2263"/>
      <c r="F21" s="2263"/>
      <c r="G21" s="2263"/>
      <c r="H21" s="2263"/>
      <c r="I21" s="2263"/>
      <c r="J21" s="2264"/>
      <c r="K21" s="1286"/>
      <c r="L21" s="3017"/>
      <c r="M21" s="3017"/>
      <c r="N21" s="2265" t="s">
        <v>2724</v>
      </c>
      <c r="O21" s="1334"/>
      <c r="P21" s="1335">
        <f>SUMPRODUCT((地价!A3:A33=YEAR(G19)&amp;"-"&amp;ROUNDUP(MONTH(G19)/3,0))*(地价!AD2:AH2=N21)*(地价!AD3:AH33))</f>
        <v>0</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2725</v>
      </c>
      <c r="B22" s="2266" t="s">
        <v>2726</v>
      </c>
      <c r="C22" s="1535" t="s">
        <v>2727</v>
      </c>
      <c r="D22" s="1535">
        <f>IF(E22=G22,F22,IF(G3&lt;=10,ROUND(F22+(H22-F22)*(G3-E22)/(G22-E22),4),"——"))</f>
        <v>0</v>
      </c>
      <c r="E22" s="854">
        <f>ROUNDDOWN(G3,1)</f>
        <v>4.5999999999999996</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4.6999999999999993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7"/>
      <c r="M22" s="3017"/>
      <c r="N22" s="2265" t="s">
        <v>2728</v>
      </c>
      <c r="O22" s="1334"/>
      <c r="P22" s="1335">
        <f>SUMPRODUCT((地价!A3:A33=YEAR(G19)&amp;"-"&amp;ROUNDUP(MONTH(G19)/3,0))*(地价!AD2:AH2=N22)*(地价!AD3:AH33))</f>
        <v>0</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2731</v>
      </c>
      <c r="O23" s="1334"/>
      <c r="P23" s="1335">
        <f>SUMPRODUCT((地价!A3:A33=YEAR(G19)&amp;"-"&amp;ROUNDUP(MONTH(G19)/3,0))*(地价!AD2:AH2=N23)*(地价!AD3:AH33))</f>
        <v>0</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6"/>
      <c r="L24" s="3017"/>
      <c r="M24" s="3017"/>
      <c r="N24" s="2275" t="s">
        <v>2733</v>
      </c>
      <c r="O24" s="1336"/>
      <c r="P24" s="1337">
        <f>SUMPRODUCT((地价!A3:A33=YEAR(G19)&amp;"-"&amp;ROUNDUP(MONTH(G19)/3,0))*(地价!AD2:AH2=N24)*(地价!AD3:AH33))</f>
        <v>0</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2734</v>
      </c>
      <c r="C25" s="868"/>
      <c r="D25" s="2210"/>
      <c r="E25" s="2210"/>
      <c r="F25" s="2277"/>
      <c r="G25" s="2210"/>
      <c r="H25" s="2210"/>
      <c r="I25" s="2210"/>
      <c r="J25" s="2211"/>
      <c r="K25" s="1279"/>
      <c r="L25" s="2181"/>
      <c r="M25" s="2181"/>
      <c r="N25" s="3012" t="s">
        <v>2735</v>
      </c>
      <c r="O25" s="3013"/>
      <c r="P25" s="3014">
        <f>SUMPRODUCT((地价!A3:A33=YEAR(G19)&amp;"-"&amp;ROUNDUP(MONTH(G19)/3,0))*(地价!AD2:AH2=N25)*(地价!AD3:AH33))</f>
        <v>0</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5" t="s">
        <v>2634</v>
      </c>
      <c r="M26" s="2208" t="s">
        <v>2699</v>
      </c>
      <c r="N26" s="2208" t="s">
        <v>2700</v>
      </c>
      <c r="O26" s="2208" t="s">
        <v>2701</v>
      </c>
      <c r="P26" s="3016"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69" t="e">
        <f>E30+SUM(I33:I39)</f>
        <v>#DIV/0!</v>
      </c>
      <c r="D27" s="2283"/>
      <c r="E27" s="2284"/>
      <c r="F27" s="2285"/>
      <c r="G27" s="2284"/>
      <c r="H27" s="2284"/>
      <c r="I27" s="2284"/>
      <c r="J27" s="2286"/>
      <c r="K27" s="1279"/>
      <c r="L27" s="2241"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8"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8"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6"/>
      <c r="B33" s="2310" t="s">
        <v>2750</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1"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97"/>
      <c r="B34" s="2227" t="s">
        <v>2751</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7"/>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97"/>
      <c r="B35" s="2227" t="s">
        <v>2752</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7"/>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98"/>
      <c r="B36" s="2227" t="s">
        <v>2753</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8"/>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4"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2863</v>
      </c>
      <c r="C41" s="348" t="e">
        <f>ROUND(POWER(1+E41,H41-G41)*(POWER(1+E41,G41)-1)/(POWER(1+E41,H41)-1),4)</f>
        <v>#DIV/0!</v>
      </c>
      <c r="D41" s="176" t="s">
        <v>2709</v>
      </c>
      <c r="E41" s="2367">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2760</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2761</v>
      </c>
      <c r="B47" s="1534" t="s">
        <v>2762</v>
      </c>
      <c r="C47" s="1534" t="s">
        <v>2763</v>
      </c>
      <c r="D47" s="1534" t="s">
        <v>2764</v>
      </c>
      <c r="E47" s="757" t="s">
        <v>2765</v>
      </c>
      <c r="F47" s="2328" t="s">
        <v>2766</v>
      </c>
      <c r="G47" s="1534" t="s">
        <v>754</v>
      </c>
      <c r="H47" s="2329"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3"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4"/>
      <c r="C58" s="1534" t="s">
        <v>2763</v>
      </c>
      <c r="D58" s="1534" t="s">
        <v>2764</v>
      </c>
      <c r="E58" s="757" t="s">
        <v>2765</v>
      </c>
      <c r="F58" s="2328" t="s">
        <v>2781</v>
      </c>
      <c r="G58" s="1534" t="s">
        <v>754</v>
      </c>
      <c r="H58" s="2329"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3"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3"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4"/>
      <c r="C69" s="1534" t="s">
        <v>2763</v>
      </c>
      <c r="D69" s="1534" t="s">
        <v>2764</v>
      </c>
      <c r="E69" s="757" t="s">
        <v>2765</v>
      </c>
      <c r="F69" s="2328" t="s">
        <v>2781</v>
      </c>
      <c r="G69" s="1534" t="s">
        <v>754</v>
      </c>
      <c r="H69" s="2329"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3"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3"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2"/>
      <c r="D79" s="752"/>
      <c r="E79" s="753"/>
      <c r="F79" s="2326"/>
      <c r="G79" s="6"/>
      <c r="H79" s="6"/>
      <c r="I79" s="6"/>
      <c r="J79" s="7"/>
      <c r="K79" s="7"/>
      <c r="L79" s="7"/>
      <c r="M79" s="7"/>
      <c r="N79" s="7"/>
      <c r="Z79" s="2182"/>
      <c r="AA79" s="2248"/>
      <c r="AG79" s="1281"/>
      <c r="AK79" s="2248"/>
    </row>
    <row r="80" spans="1:37" ht="24.75">
      <c r="A80" s="2327" t="s">
        <v>2761</v>
      </c>
      <c r="B80" s="1534"/>
      <c r="C80" s="1534" t="s">
        <v>2763</v>
      </c>
      <c r="D80" s="1534" t="s">
        <v>2764</v>
      </c>
      <c r="E80" s="757" t="s">
        <v>2765</v>
      </c>
      <c r="F80" s="2328" t="s">
        <v>2781</v>
      </c>
      <c r="G80" s="1534" t="s">
        <v>754</v>
      </c>
      <c r="H80" s="2329" t="s">
        <v>2767</v>
      </c>
      <c r="I80" s="1534"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3"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3"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88" t="s">
        <v>2791</v>
      </c>
      <c r="B90" s="3388"/>
      <c r="C90" s="3388"/>
      <c r="D90" s="3388"/>
      <c r="E90" s="3388"/>
      <c r="F90" s="3388"/>
      <c r="G90" s="3388"/>
      <c r="H90" s="3388"/>
      <c r="I90" s="3388"/>
      <c r="J90" s="3388"/>
      <c r="K90" s="2341"/>
      <c r="L90" s="2341"/>
      <c r="M90" s="2341"/>
      <c r="N90" s="2341"/>
    </row>
    <row r="91" spans="1:37">
      <c r="A91" s="3390" t="s">
        <v>2792</v>
      </c>
      <c r="B91" s="3390" t="s">
        <v>2793</v>
      </c>
      <c r="C91" s="2295" t="s">
        <v>2794</v>
      </c>
      <c r="D91" s="2296"/>
      <c r="E91" s="2296"/>
      <c r="F91" s="2296"/>
      <c r="G91" s="2296"/>
      <c r="H91" s="2296"/>
      <c r="I91" s="2296"/>
      <c r="J91" s="2342"/>
      <c r="K91" s="2343"/>
      <c r="L91" s="2343"/>
      <c r="M91" s="2343"/>
      <c r="N91" s="2343"/>
    </row>
    <row r="92" spans="1:37">
      <c r="A92" s="3390"/>
      <c r="B92" s="3390"/>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91"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2"/>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2"/>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2"/>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2"/>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2"/>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2"/>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3"/>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1" t="s">
        <v>2796</v>
      </c>
      <c r="B101" s="2348" t="s">
        <v>2797</v>
      </c>
      <c r="C101" s="2349">
        <f>$G$3</f>
        <v>4.68</v>
      </c>
      <c r="D101" s="2349">
        <f t="shared" ref="D101:N101" si="31">$G$3</f>
        <v>4.68</v>
      </c>
      <c r="E101" s="2349">
        <f t="shared" si="31"/>
        <v>4.68</v>
      </c>
      <c r="F101" s="2349">
        <f t="shared" si="31"/>
        <v>4.68</v>
      </c>
      <c r="G101" s="2349">
        <f t="shared" si="31"/>
        <v>4.68</v>
      </c>
      <c r="H101" s="2349">
        <f t="shared" si="31"/>
        <v>4.68</v>
      </c>
      <c r="I101" s="2349">
        <f t="shared" si="31"/>
        <v>4.68</v>
      </c>
      <c r="J101" s="2349">
        <f t="shared" si="31"/>
        <v>4.68</v>
      </c>
      <c r="K101" s="2349">
        <f t="shared" si="31"/>
        <v>4.68</v>
      </c>
      <c r="L101" s="2349">
        <f t="shared" si="31"/>
        <v>4.68</v>
      </c>
      <c r="M101" s="2349">
        <f t="shared" si="31"/>
        <v>4.68</v>
      </c>
      <c r="N101" s="2349">
        <f t="shared" si="31"/>
        <v>4.68</v>
      </c>
    </row>
    <row r="102" spans="1:14">
      <c r="A102" s="3392"/>
      <c r="B102" s="2344">
        <v>1</v>
      </c>
      <c r="C102" s="2345">
        <f>1.9362/C101</f>
        <v>0.4137179487179487</v>
      </c>
      <c r="D102" s="2345">
        <f>1.9362/D101</f>
        <v>0.4137179487179487</v>
      </c>
      <c r="E102" s="2345">
        <f>1.8629/E101</f>
        <v>0.39805555555555561</v>
      </c>
      <c r="F102" s="2345">
        <f>1.8629/F101</f>
        <v>0.39805555555555561</v>
      </c>
      <c r="G102" s="2345">
        <f>1.8629/G101</f>
        <v>0.39805555555555561</v>
      </c>
      <c r="H102" s="2345">
        <f>1.8629/H101</f>
        <v>0.39805555555555561</v>
      </c>
      <c r="I102" s="2345">
        <f>1.8629/I101</f>
        <v>0.39805555555555561</v>
      </c>
      <c r="J102" s="2345">
        <f>1.942/J101</f>
        <v>0.41495726495726498</v>
      </c>
      <c r="K102" s="2345">
        <f>1.942/K101</f>
        <v>0.41495726495726498</v>
      </c>
      <c r="L102" s="2345">
        <f>1.942/L101</f>
        <v>0.41495726495726498</v>
      </c>
      <c r="M102" s="2345">
        <f>1.942/M101</f>
        <v>0.41495726495726498</v>
      </c>
      <c r="N102" s="2345">
        <f>1.942/N101</f>
        <v>0.41495726495726498</v>
      </c>
    </row>
    <row r="103" spans="1:14">
      <c r="A103" s="3392"/>
      <c r="B103" s="2344">
        <v>2</v>
      </c>
      <c r="C103" s="2345">
        <f>1.4198/C101</f>
        <v>0.3033760683760684</v>
      </c>
      <c r="D103" s="2345">
        <f>1.4198/D101</f>
        <v>0.3033760683760684</v>
      </c>
      <c r="E103" s="2345">
        <f>1.3372/E101</f>
        <v>0.28572649572649572</v>
      </c>
      <c r="F103" s="2345">
        <f>1.3372/F101</f>
        <v>0.28572649572649572</v>
      </c>
      <c r="G103" s="2345">
        <f>1.3372/G101</f>
        <v>0.28572649572649572</v>
      </c>
      <c r="H103" s="2345">
        <f>1.3372/H101</f>
        <v>0.28572649572649572</v>
      </c>
      <c r="I103" s="2345">
        <f>1.3372/I101</f>
        <v>0.28572649572649572</v>
      </c>
      <c r="J103" s="2345">
        <f>1.2799/J101</f>
        <v>0.27348290598290603</v>
      </c>
      <c r="K103" s="2345">
        <f>1.2799/K101</f>
        <v>0.27348290598290603</v>
      </c>
      <c r="L103" s="2345">
        <f>1.2799/L101</f>
        <v>0.27348290598290603</v>
      </c>
      <c r="M103" s="2345">
        <f>1.2799/M101</f>
        <v>0.27348290598290603</v>
      </c>
      <c r="N103" s="2345">
        <f>1.2799/N101</f>
        <v>0.27348290598290603</v>
      </c>
    </row>
    <row r="104" spans="1:14">
      <c r="A104" s="3392"/>
      <c r="B104" s="2344">
        <v>3</v>
      </c>
      <c r="C104" s="2345">
        <f>1.1594/C101</f>
        <v>0.24773504273504274</v>
      </c>
      <c r="D104" s="2345">
        <f>1.1594/D101</f>
        <v>0.24773504273504274</v>
      </c>
      <c r="E104" s="2345">
        <f>1.0788/E101</f>
        <v>0.23051282051282052</v>
      </c>
      <c r="F104" s="2345">
        <f>1.0788/F101</f>
        <v>0.23051282051282052</v>
      </c>
      <c r="G104" s="2345">
        <f>1.0788/G101</f>
        <v>0.23051282051282052</v>
      </c>
      <c r="H104" s="2345">
        <f>1.0788/H101</f>
        <v>0.23051282051282052</v>
      </c>
      <c r="I104" s="2345">
        <f>1.0788/I101</f>
        <v>0.23051282051282052</v>
      </c>
      <c r="J104" s="2345">
        <f>1.0072/J101</f>
        <v>0.21521367521367524</v>
      </c>
      <c r="K104" s="2345">
        <f>1.0072/K101</f>
        <v>0.21521367521367524</v>
      </c>
      <c r="L104" s="2345">
        <f>1.0072/L101</f>
        <v>0.21521367521367524</v>
      </c>
      <c r="M104" s="2345">
        <f>1.0072/M101</f>
        <v>0.21521367521367524</v>
      </c>
      <c r="N104" s="2345">
        <f>1.0072/N101</f>
        <v>0.21521367521367524</v>
      </c>
    </row>
    <row r="105" spans="1:14">
      <c r="A105" s="3392"/>
      <c r="B105" s="2344">
        <v>4</v>
      </c>
      <c r="C105" s="2345">
        <f>0.9622/C101</f>
        <v>0.20559829059829063</v>
      </c>
      <c r="D105" s="2345">
        <f>0.9622/D101</f>
        <v>0.20559829059829063</v>
      </c>
      <c r="E105" s="2345">
        <f>0.8656/E101</f>
        <v>0.18495726495726497</v>
      </c>
      <c r="F105" s="2345">
        <f>0.8656/F101</f>
        <v>0.18495726495726497</v>
      </c>
      <c r="G105" s="2345">
        <f>0.8656/G101</f>
        <v>0.18495726495726497</v>
      </c>
      <c r="H105" s="2345">
        <f>0.8656/H101</f>
        <v>0.18495726495726497</v>
      </c>
      <c r="I105" s="2345">
        <f>0.8656/I101</f>
        <v>0.18495726495726497</v>
      </c>
      <c r="J105" s="2345">
        <f>0.7525/J101</f>
        <v>0.1607905982905983</v>
      </c>
      <c r="K105" s="2345">
        <f>0.7525/K101</f>
        <v>0.1607905982905983</v>
      </c>
      <c r="L105" s="2345">
        <f>0.7525/L101</f>
        <v>0.1607905982905983</v>
      </c>
      <c r="M105" s="2345">
        <f>0.7525/M101</f>
        <v>0.1607905982905983</v>
      </c>
      <c r="N105" s="2345">
        <f>0.7525/N101</f>
        <v>0.1607905982905983</v>
      </c>
    </row>
    <row r="106" spans="1:14">
      <c r="A106" s="3392"/>
      <c r="B106" s="2344">
        <v>5</v>
      </c>
      <c r="C106" s="2345">
        <f>0.8417/C101</f>
        <v>0.17985042735042736</v>
      </c>
      <c r="D106" s="2345">
        <f>0.8417/D101</f>
        <v>0.17985042735042736</v>
      </c>
      <c r="E106" s="2345">
        <f>0.7371/E101</f>
        <v>0.1575</v>
      </c>
      <c r="F106" s="2345">
        <f>0.7371/F101</f>
        <v>0.1575</v>
      </c>
      <c r="G106" s="2345">
        <f>0.7371/G101</f>
        <v>0.1575</v>
      </c>
      <c r="H106" s="2345">
        <f>0.7371/H101</f>
        <v>0.1575</v>
      </c>
      <c r="I106" s="2345">
        <f>0.7371/I101</f>
        <v>0.1575</v>
      </c>
      <c r="J106" s="2345">
        <f>0.5659/J101</f>
        <v>0.12091880341880341</v>
      </c>
      <c r="K106" s="2345">
        <f>0.5659/K101</f>
        <v>0.12091880341880341</v>
      </c>
      <c r="L106" s="2345">
        <f>0.5659/L101</f>
        <v>0.12091880341880341</v>
      </c>
      <c r="M106" s="2345">
        <f>0.5659/M101</f>
        <v>0.12091880341880341</v>
      </c>
      <c r="N106" s="2345">
        <f>0.5659/N101</f>
        <v>0.12091880341880341</v>
      </c>
    </row>
    <row r="107" spans="1:14">
      <c r="A107" s="3392"/>
      <c r="B107" s="2344">
        <v>6</v>
      </c>
      <c r="C107" s="2345">
        <f>0.7608/C101</f>
        <v>0.16256410256410259</v>
      </c>
      <c r="D107" s="2345">
        <f>0.7608/D101</f>
        <v>0.16256410256410259</v>
      </c>
      <c r="E107" s="2345">
        <f>0.6482/E101</f>
        <v>0.13850427350427352</v>
      </c>
      <c r="F107" s="2345">
        <f>0.6482/F101</f>
        <v>0.13850427350427352</v>
      </c>
      <c r="G107" s="2345">
        <f>0.6482/G101</f>
        <v>0.13850427350427352</v>
      </c>
      <c r="H107" s="2345">
        <f>0.6482/H101</f>
        <v>0.13850427350427352</v>
      </c>
      <c r="I107" s="2345">
        <f>0.6482/I101</f>
        <v>0.13850427350427352</v>
      </c>
      <c r="J107" s="2345">
        <f>0.4525/J101</f>
        <v>9.6688034188034191E-2</v>
      </c>
      <c r="K107" s="2345">
        <f>0.4525/K101</f>
        <v>9.6688034188034191E-2</v>
      </c>
      <c r="L107" s="2345">
        <f>0.4525/L101</f>
        <v>9.6688034188034191E-2</v>
      </c>
      <c r="M107" s="2345">
        <f>0.4525/M101</f>
        <v>9.6688034188034191E-2</v>
      </c>
      <c r="N107" s="2345">
        <f>0.4525/N101</f>
        <v>9.6688034188034191E-2</v>
      </c>
    </row>
    <row r="108" spans="1:14">
      <c r="A108" s="3392"/>
      <c r="B108" s="3394"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3"/>
      <c r="B109" s="3395"/>
      <c r="C109" s="2347">
        <f>(-0.163*(C108^2)-0.59*C108+7617)*(10^(-4))/C101</f>
        <v>0.16275641025641027</v>
      </c>
      <c r="D109" s="2347">
        <f>(-0.163*(D108^2)-0.59*D108+7617)*(10^(-4))/D101</f>
        <v>0.16275641025641027</v>
      </c>
      <c r="E109" s="2347">
        <f>(-0.161*(E108^2)-7.509*E108+6533)*(10^(-4))/E101</f>
        <v>0.13959401709401711</v>
      </c>
      <c r="F109" s="2347">
        <f>(-0.161*(F108^2)-7.509*F108+6533)*(10^(-4))/F101</f>
        <v>0.13959401709401711</v>
      </c>
      <c r="G109" s="2347">
        <f>(-0.161*(G108^2)-7.509*G108+6533)*(10^(-4))/G101</f>
        <v>0.13959401709401711</v>
      </c>
      <c r="H109" s="2347">
        <f>(-0.161*(H108^2)-7.509*H108+6533)*(10^(-4))/H101</f>
        <v>0.13959401709401711</v>
      </c>
      <c r="I109" s="2347">
        <f>(-0.161*(I108^2)-7.509*I108+6533)*(10^(-4))/I101</f>
        <v>0.13959401709401711</v>
      </c>
      <c r="J109" s="2347">
        <f>(-0.214*(J108^2)-21.991*J108+4665)*(10^(-4))/J101</f>
        <v>9.9679487179487186E-2</v>
      </c>
      <c r="K109" s="2347">
        <f>(-0.214*(K108^2)-21.991*K108+4665)*(10^(-4))/K101</f>
        <v>9.9679487179487186E-2</v>
      </c>
      <c r="L109" s="2347">
        <f>(-0.214*(L108^2)-21.991*L108+4665)*(10^(-4))/L101</f>
        <v>9.9679487179487186E-2</v>
      </c>
      <c r="M109" s="2347">
        <f>(-0.214*(M108^2)-21.991*M108+4665)*(10^(-4))/M101</f>
        <v>9.9679487179487186E-2</v>
      </c>
      <c r="N109" s="2347">
        <f>(-0.214*(N108^2)-21.991*N108+4665)*(10^(-4))/N101</f>
        <v>9.9679487179487186E-2</v>
      </c>
    </row>
    <row r="110" spans="1:14">
      <c r="A110" s="3389" t="s">
        <v>2799</v>
      </c>
      <c r="B110" s="3389"/>
      <c r="C110" s="3389"/>
      <c r="D110" s="3389"/>
      <c r="E110" s="3389"/>
      <c r="F110" s="3389"/>
      <c r="G110" s="3389"/>
      <c r="H110" s="3389"/>
      <c r="I110" s="3389"/>
      <c r="J110" s="3389"/>
      <c r="K110" s="2350"/>
      <c r="L110" s="2350"/>
      <c r="M110" s="2350"/>
      <c r="N110" s="2350"/>
    </row>
    <row r="112" spans="1:14" ht="13.5" thickBot="1"/>
    <row r="113" spans="1:13" ht="25.5" thickBot="1">
      <c r="A113" s="841" t="s">
        <v>2800</v>
      </c>
      <c r="B113" s="1196">
        <f>G3</f>
        <v>4.68</v>
      </c>
      <c r="C113" s="842" t="s">
        <v>2801</v>
      </c>
      <c r="D113" s="843">
        <f>SUMPRODUCT((A115:A118=F113)*(B114:M114=H113)*B115:M118)</f>
        <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f>ROUND(0.9335-0.0094*B113,4)</f>
        <v>0.88949999999999996</v>
      </c>
      <c r="C115" s="848">
        <f>B115</f>
        <v>0.88949999999999996</v>
      </c>
      <c r="D115" s="848">
        <f>ROUND(0.8331-0.0109*B113,4)</f>
        <v>0.78210000000000002</v>
      </c>
      <c r="E115" s="848">
        <f>D115</f>
        <v>0.78210000000000002</v>
      </c>
      <c r="F115" s="848">
        <f>E115</f>
        <v>0.78210000000000002</v>
      </c>
      <c r="G115" s="848">
        <f>F115</f>
        <v>0.78210000000000002</v>
      </c>
      <c r="H115" s="848">
        <f>G115</f>
        <v>0.78210000000000002</v>
      </c>
      <c r="I115" s="848">
        <f>ROUND(0.689-0.0155*B113,4)</f>
        <v>0.61650000000000005</v>
      </c>
      <c r="J115" s="848">
        <f t="shared" ref="J115:M118" si="33">I115</f>
        <v>0.61650000000000005</v>
      </c>
      <c r="K115" s="848">
        <f t="shared" si="33"/>
        <v>0.61650000000000005</v>
      </c>
      <c r="L115" s="848">
        <f t="shared" si="33"/>
        <v>0.61650000000000005</v>
      </c>
      <c r="M115" s="849">
        <f t="shared" si="33"/>
        <v>0.61650000000000005</v>
      </c>
    </row>
    <row r="116" spans="1:13">
      <c r="A116" s="847" t="s">
        <v>2700</v>
      </c>
      <c r="B116" s="848">
        <f>ROUND(0.949-0.012*B113,4)</f>
        <v>0.89280000000000004</v>
      </c>
      <c r="C116" s="848">
        <f>B116</f>
        <v>0.89280000000000004</v>
      </c>
      <c r="D116" s="848">
        <f>ROUND(0.8567-0.013*B113,4)</f>
        <v>0.79590000000000005</v>
      </c>
      <c r="E116" s="848">
        <f t="shared" ref="E116:H117" si="34">D116</f>
        <v>0.79590000000000005</v>
      </c>
      <c r="F116" s="848">
        <f t="shared" si="34"/>
        <v>0.79590000000000005</v>
      </c>
      <c r="G116" s="848">
        <f t="shared" si="34"/>
        <v>0.79590000000000005</v>
      </c>
      <c r="H116" s="848">
        <f t="shared" si="34"/>
        <v>0.79590000000000005</v>
      </c>
      <c r="I116" s="848">
        <f>ROUND(0.7694-0.014*B113,4)</f>
        <v>0.70389999999999997</v>
      </c>
      <c r="J116" s="848">
        <f t="shared" si="33"/>
        <v>0.70389999999999997</v>
      </c>
      <c r="K116" s="848">
        <f t="shared" si="33"/>
        <v>0.70389999999999997</v>
      </c>
      <c r="L116" s="848">
        <f t="shared" si="33"/>
        <v>0.70389999999999997</v>
      </c>
      <c r="M116" s="849">
        <f t="shared" si="33"/>
        <v>0.70389999999999997</v>
      </c>
    </row>
    <row r="117" spans="1:13">
      <c r="A117" s="847" t="s">
        <v>2701</v>
      </c>
      <c r="B117" s="848">
        <f>ROUND(0.8808-0.006*B113,4)</f>
        <v>0.85270000000000001</v>
      </c>
      <c r="C117" s="848">
        <f>B117</f>
        <v>0.85270000000000001</v>
      </c>
      <c r="D117" s="848">
        <f>ROUND(0.8748-0.008*B113,4)</f>
        <v>0.83740000000000003</v>
      </c>
      <c r="E117" s="848">
        <f t="shared" si="34"/>
        <v>0.83740000000000003</v>
      </c>
      <c r="F117" s="848">
        <f t="shared" si="34"/>
        <v>0.83740000000000003</v>
      </c>
      <c r="G117" s="848">
        <f t="shared" si="34"/>
        <v>0.83740000000000003</v>
      </c>
      <c r="H117" s="848">
        <f t="shared" si="34"/>
        <v>0.83740000000000003</v>
      </c>
      <c r="I117" s="848">
        <f>ROUND(0.7412-0.0095*B113,4)</f>
        <v>0.69669999999999999</v>
      </c>
      <c r="J117" s="848">
        <f t="shared" si="33"/>
        <v>0.69669999999999999</v>
      </c>
      <c r="K117" s="848">
        <f t="shared" si="33"/>
        <v>0.69669999999999999</v>
      </c>
      <c r="L117" s="848">
        <f t="shared" si="33"/>
        <v>0.69669999999999999</v>
      </c>
      <c r="M117" s="849">
        <f t="shared" si="33"/>
        <v>0.69669999999999999</v>
      </c>
    </row>
    <row r="118" spans="1:13" ht="13.5" thickBot="1">
      <c r="A118" s="670" t="s">
        <v>2702</v>
      </c>
      <c r="B118" s="850">
        <f>ROUND(0.7275-0.01*B113,4)</f>
        <v>0.68069999999999997</v>
      </c>
      <c r="C118" s="850">
        <f>B118</f>
        <v>0.68069999999999997</v>
      </c>
      <c r="D118" s="850">
        <f>ROUND(0.7043-0.012*B113,4)</f>
        <v>0.64810000000000001</v>
      </c>
      <c r="E118" s="850">
        <f>D118</f>
        <v>0.64810000000000001</v>
      </c>
      <c r="F118" s="850">
        <f>E118</f>
        <v>0.64810000000000001</v>
      </c>
      <c r="G118" s="850">
        <f>ROUND(0.6299-0.0122*B113,4)</f>
        <v>0.57279999999999998</v>
      </c>
      <c r="H118" s="850">
        <f>G118</f>
        <v>0.57279999999999998</v>
      </c>
      <c r="I118" s="850">
        <f>ROUND(0.5667-0.0136*B113,4)</f>
        <v>0.50309999999999999</v>
      </c>
      <c r="J118" s="850">
        <f t="shared" si="33"/>
        <v>0.50309999999999999</v>
      </c>
      <c r="K118" s="850">
        <f t="shared" si="33"/>
        <v>0.50309999999999999</v>
      </c>
      <c r="L118" s="850">
        <f t="shared" si="33"/>
        <v>0.50309999999999999</v>
      </c>
      <c r="M118" s="851">
        <f t="shared" si="33"/>
        <v>0.50309999999999999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2" t="s">
        <v>183</v>
      </c>
      <c r="B18" s="820" t="s">
        <v>560</v>
      </c>
      <c r="C18" s="821" t="s">
        <v>561</v>
      </c>
      <c r="D18" s="822"/>
      <c r="E18" s="820">
        <v>1</v>
      </c>
      <c r="F18" s="823" t="s">
        <v>562</v>
      </c>
      <c r="G18" s="824"/>
      <c r="H18" s="816"/>
      <c r="I18" s="816"/>
    </row>
    <row r="19" spans="1:9" s="825" customFormat="1" ht="19.5" customHeight="1">
      <c r="A19" s="3412"/>
      <c r="B19" s="3412" t="s">
        <v>563</v>
      </c>
      <c r="C19" s="821" t="s">
        <v>564</v>
      </c>
      <c r="D19" s="822"/>
      <c r="E19" s="820">
        <v>0.9</v>
      </c>
      <c r="F19" s="823" t="s">
        <v>565</v>
      </c>
      <c r="G19" s="824"/>
      <c r="H19" s="816"/>
      <c r="I19" s="816"/>
    </row>
    <row r="20" spans="1:9" s="825" customFormat="1" ht="19.5" customHeight="1">
      <c r="A20" s="3412"/>
      <c r="B20" s="3412"/>
      <c r="C20" s="821" t="s">
        <v>566</v>
      </c>
      <c r="D20" s="822"/>
      <c r="E20" s="820">
        <v>1.1000000000000001</v>
      </c>
      <c r="F20" s="823" t="s">
        <v>567</v>
      </c>
      <c r="G20" s="824"/>
      <c r="H20" s="816"/>
      <c r="I20" s="816"/>
    </row>
    <row r="21" spans="1:9" s="825" customFormat="1" ht="19.5" customHeight="1">
      <c r="A21" s="3412"/>
      <c r="B21" s="3412"/>
      <c r="C21" s="821" t="s">
        <v>568</v>
      </c>
      <c r="D21" s="822"/>
      <c r="E21" s="820">
        <v>0.8</v>
      </c>
      <c r="F21" s="823" t="s">
        <v>569</v>
      </c>
      <c r="G21" s="824"/>
      <c r="H21" s="816"/>
      <c r="I21" s="816"/>
    </row>
    <row r="22" spans="1:9" s="825" customFormat="1" ht="19.5" customHeight="1">
      <c r="A22" s="3412"/>
      <c r="B22" s="3412"/>
      <c r="C22" s="821" t="s">
        <v>570</v>
      </c>
      <c r="D22" s="822"/>
      <c r="E22" s="820">
        <v>0.5</v>
      </c>
      <c r="F22" s="823"/>
      <c r="G22" s="824"/>
      <c r="H22" s="816"/>
      <c r="I22" s="816"/>
    </row>
    <row r="23" spans="1:9" s="825" customFormat="1" ht="19.5" customHeight="1">
      <c r="A23" s="3412" t="s">
        <v>184</v>
      </c>
      <c r="B23" s="820" t="s">
        <v>560</v>
      </c>
      <c r="C23" s="821" t="s">
        <v>571</v>
      </c>
      <c r="D23" s="822"/>
      <c r="E23" s="820">
        <v>1</v>
      </c>
      <c r="F23" s="823" t="s">
        <v>572</v>
      </c>
      <c r="G23" s="824"/>
      <c r="H23" s="816"/>
      <c r="I23" s="816"/>
    </row>
    <row r="24" spans="1:9" s="825" customFormat="1" ht="19.5" customHeight="1">
      <c r="A24" s="3412"/>
      <c r="B24" s="3412" t="s">
        <v>563</v>
      </c>
      <c r="C24" s="821" t="s">
        <v>573</v>
      </c>
      <c r="D24" s="822"/>
      <c r="E24" s="820">
        <v>0.5</v>
      </c>
      <c r="F24" s="823"/>
      <c r="G24" s="824"/>
      <c r="H24" s="816"/>
      <c r="I24" s="816"/>
    </row>
    <row r="25" spans="1:9" s="825" customFormat="1" ht="19.5" customHeight="1">
      <c r="A25" s="3412"/>
      <c r="B25" s="3412"/>
      <c r="C25" s="821" t="s">
        <v>574</v>
      </c>
      <c r="D25" s="822"/>
      <c r="E25" s="820">
        <v>1.1000000000000001</v>
      </c>
      <c r="F25" s="823"/>
      <c r="G25" s="824"/>
      <c r="H25" s="816"/>
      <c r="I25" s="816"/>
    </row>
    <row r="26" spans="1:9" s="825" customFormat="1" ht="19.5" customHeight="1">
      <c r="A26" s="3412"/>
      <c r="B26" s="3412"/>
      <c r="C26" s="821" t="s">
        <v>575</v>
      </c>
      <c r="D26" s="822"/>
      <c r="E26" s="820">
        <v>1.1000000000000001</v>
      </c>
      <c r="F26" s="823"/>
      <c r="G26" s="824"/>
      <c r="H26" s="816"/>
      <c r="I26" s="816"/>
    </row>
    <row r="27" spans="1:9" s="825" customFormat="1" ht="19.5" customHeight="1">
      <c r="A27" s="3412"/>
      <c r="B27" s="3412"/>
      <c r="C27" s="821" t="s">
        <v>576</v>
      </c>
      <c r="D27" s="822"/>
      <c r="E27" s="820">
        <v>0.9</v>
      </c>
      <c r="F27" s="823" t="s">
        <v>577</v>
      </c>
      <c r="G27" s="824"/>
      <c r="H27" s="816"/>
      <c r="I27" s="816"/>
    </row>
    <row r="28" spans="1:9" s="825" customFormat="1" ht="19.5" customHeight="1">
      <c r="A28" s="3412"/>
      <c r="B28" s="3412"/>
      <c r="C28" s="821" t="s">
        <v>578</v>
      </c>
      <c r="D28" s="822"/>
      <c r="E28" s="820">
        <v>0.9</v>
      </c>
      <c r="F28" s="823" t="s">
        <v>579</v>
      </c>
      <c r="G28" s="824"/>
      <c r="H28" s="816"/>
      <c r="I28" s="816"/>
    </row>
    <row r="29" spans="1:9" s="825" customFormat="1" ht="19.5" customHeight="1">
      <c r="A29" s="3412"/>
      <c r="B29" s="3412"/>
      <c r="C29" s="821" t="s">
        <v>580</v>
      </c>
      <c r="D29" s="822"/>
      <c r="E29" s="820">
        <v>0.9</v>
      </c>
      <c r="F29" s="823" t="s">
        <v>581</v>
      </c>
      <c r="G29" s="824"/>
      <c r="H29" s="816"/>
      <c r="I29" s="816"/>
    </row>
    <row r="30" spans="1:9" s="825" customFormat="1" ht="19.5" customHeight="1">
      <c r="A30" s="3412"/>
      <c r="B30" s="3412"/>
      <c r="C30" s="821" t="s">
        <v>582</v>
      </c>
      <c r="D30" s="822"/>
      <c r="E30" s="820">
        <v>0.9</v>
      </c>
      <c r="F30" s="823" t="s">
        <v>583</v>
      </c>
      <c r="G30" s="824"/>
      <c r="H30" s="816"/>
      <c r="I30" s="816"/>
    </row>
    <row r="31" spans="1:9" s="825" customFormat="1" ht="19.5" customHeight="1">
      <c r="A31" s="3412"/>
      <c r="B31" s="3412"/>
      <c r="C31" s="821" t="s">
        <v>584</v>
      </c>
      <c r="D31" s="822"/>
      <c r="E31" s="820">
        <v>0.8</v>
      </c>
      <c r="F31" s="823" t="s">
        <v>585</v>
      </c>
      <c r="G31" s="824"/>
      <c r="H31" s="816"/>
      <c r="I31" s="816"/>
    </row>
    <row r="32" spans="1:9" s="825" customFormat="1" ht="19.5" customHeight="1">
      <c r="A32" s="3412"/>
      <c r="B32" s="3412"/>
      <c r="C32" s="821" t="s">
        <v>586</v>
      </c>
      <c r="D32" s="822"/>
      <c r="E32" s="820">
        <v>0.8</v>
      </c>
      <c r="F32" s="823" t="s">
        <v>587</v>
      </c>
      <c r="G32" s="824"/>
      <c r="H32" s="816"/>
      <c r="I32" s="816"/>
    </row>
    <row r="33" spans="1:9" s="825" customFormat="1" ht="19.5" customHeight="1">
      <c r="A33" s="3412" t="s">
        <v>185</v>
      </c>
      <c r="B33" s="820" t="s">
        <v>560</v>
      </c>
      <c r="C33" s="821" t="s">
        <v>588</v>
      </c>
      <c r="D33" s="822"/>
      <c r="E33" s="820">
        <v>1</v>
      </c>
      <c r="F33" s="823" t="s">
        <v>589</v>
      </c>
      <c r="G33" s="824"/>
      <c r="H33" s="816"/>
      <c r="I33" s="816"/>
    </row>
    <row r="34" spans="1:9" s="825" customFormat="1" ht="19.5" customHeight="1">
      <c r="A34" s="3412"/>
      <c r="B34" s="820" t="s">
        <v>563</v>
      </c>
      <c r="C34" s="821" t="s">
        <v>590</v>
      </c>
      <c r="D34" s="822"/>
      <c r="E34" s="820">
        <v>1.5</v>
      </c>
      <c r="F34" s="823" t="s">
        <v>591</v>
      </c>
      <c r="G34" s="824"/>
      <c r="H34" s="816"/>
      <c r="I34" s="816"/>
    </row>
    <row r="35" spans="1:9" s="825" customFormat="1" ht="19.5" customHeight="1">
      <c r="A35" s="3412" t="s">
        <v>186</v>
      </c>
      <c r="B35" s="820" t="s">
        <v>560</v>
      </c>
      <c r="C35" s="821" t="s">
        <v>592</v>
      </c>
      <c r="D35" s="822"/>
      <c r="E35" s="820">
        <v>1</v>
      </c>
      <c r="F35" s="823" t="s">
        <v>593</v>
      </c>
      <c r="G35" s="824"/>
      <c r="H35" s="816"/>
      <c r="I35" s="816"/>
    </row>
    <row r="36" spans="1:9" s="825" customFormat="1" ht="19.5" customHeight="1">
      <c r="A36" s="3412"/>
      <c r="B36" s="3412" t="s">
        <v>563</v>
      </c>
      <c r="C36" s="821" t="s">
        <v>594</v>
      </c>
      <c r="D36" s="822"/>
      <c r="E36" s="820">
        <v>1</v>
      </c>
      <c r="F36" s="823" t="s">
        <v>595</v>
      </c>
      <c r="G36" s="824"/>
      <c r="H36" s="816"/>
      <c r="I36" s="816"/>
    </row>
    <row r="37" spans="1:9" s="825" customFormat="1" ht="19.5" customHeight="1">
      <c r="A37" s="3412"/>
      <c r="B37" s="3412"/>
      <c r="C37" s="821" t="s">
        <v>596</v>
      </c>
      <c r="D37" s="822"/>
      <c r="E37" s="820">
        <v>1.5</v>
      </c>
      <c r="F37" s="823" t="s">
        <v>597</v>
      </c>
      <c r="G37" s="824"/>
      <c r="H37" s="816"/>
      <c r="I37" s="816"/>
    </row>
    <row r="38" spans="1:9" s="825" customFormat="1" ht="19.5" customHeight="1">
      <c r="A38" s="3412"/>
      <c r="B38" s="3412"/>
      <c r="C38" s="821" t="s">
        <v>598</v>
      </c>
      <c r="D38" s="822"/>
      <c r="E38" s="820">
        <v>1</v>
      </c>
      <c r="F38" s="823" t="s">
        <v>599</v>
      </c>
      <c r="G38" s="824"/>
      <c r="H38" s="816"/>
      <c r="I38" s="816"/>
    </row>
    <row r="39" spans="1:9" s="825" customFormat="1" ht="19.5" customHeight="1">
      <c r="A39" s="3412"/>
      <c r="B39" s="341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2" t="s">
        <v>614</v>
      </c>
      <c r="C61" s="756" t="s">
        <v>615</v>
      </c>
      <c r="D61" s="756" t="s">
        <v>616</v>
      </c>
      <c r="E61" s="833">
        <v>0.5</v>
      </c>
      <c r="F61" s="820">
        <v>80</v>
      </c>
    </row>
    <row r="62" spans="1:8" s="816" customFormat="1" ht="24">
      <c r="A62" s="820">
        <v>2</v>
      </c>
      <c r="B62" s="3412"/>
      <c r="C62" s="756" t="s">
        <v>617</v>
      </c>
      <c r="D62" s="756" t="s">
        <v>618</v>
      </c>
      <c r="E62" s="833">
        <v>0.5</v>
      </c>
      <c r="F62" s="820">
        <v>80</v>
      </c>
    </row>
    <row r="63" spans="1:8" s="816" customFormat="1" ht="36">
      <c r="A63" s="820">
        <v>3</v>
      </c>
      <c r="B63" s="3412"/>
      <c r="C63" s="756" t="s">
        <v>619</v>
      </c>
      <c r="D63" s="756" t="s">
        <v>620</v>
      </c>
      <c r="E63" s="833">
        <v>0.5</v>
      </c>
      <c r="F63" s="820">
        <v>80</v>
      </c>
    </row>
    <row r="64" spans="1:8" s="816" customFormat="1" ht="36">
      <c r="A64" s="820">
        <v>4</v>
      </c>
      <c r="B64" s="3412"/>
      <c r="C64" s="756" t="s">
        <v>621</v>
      </c>
      <c r="D64" s="756" t="s">
        <v>622</v>
      </c>
      <c r="E64" s="833">
        <v>0.4</v>
      </c>
      <c r="F64" s="820">
        <v>60</v>
      </c>
    </row>
    <row r="65" spans="1:6" s="816" customFormat="1" ht="36">
      <c r="A65" s="820">
        <v>5</v>
      </c>
      <c r="B65" s="3412"/>
      <c r="C65" s="756" t="s">
        <v>623</v>
      </c>
      <c r="D65" s="756" t="s">
        <v>624</v>
      </c>
      <c r="E65" s="833">
        <v>0.2</v>
      </c>
      <c r="F65" s="820">
        <v>30</v>
      </c>
    </row>
    <row r="66" spans="1:6" s="816" customFormat="1" ht="36">
      <c r="A66" s="820">
        <v>6</v>
      </c>
      <c r="B66" s="3412"/>
      <c r="C66" s="756" t="s">
        <v>625</v>
      </c>
      <c r="D66" s="756" t="s">
        <v>626</v>
      </c>
      <c r="E66" s="833">
        <v>0.3</v>
      </c>
      <c r="F66" s="820">
        <v>50</v>
      </c>
    </row>
    <row r="67" spans="1:6" s="816" customFormat="1" ht="36">
      <c r="A67" s="820">
        <v>7</v>
      </c>
      <c r="B67" s="3412"/>
      <c r="C67" s="756" t="s">
        <v>627</v>
      </c>
      <c r="D67" s="756" t="s">
        <v>628</v>
      </c>
      <c r="E67" s="833">
        <v>0.2</v>
      </c>
      <c r="F67" s="820">
        <v>30</v>
      </c>
    </row>
    <row r="68" spans="1:6" s="816" customFormat="1" ht="36">
      <c r="A68" s="820">
        <v>8</v>
      </c>
      <c r="B68" s="3412"/>
      <c r="C68" s="756" t="s">
        <v>629</v>
      </c>
      <c r="D68" s="756" t="s">
        <v>630</v>
      </c>
      <c r="E68" s="833">
        <v>0.2</v>
      </c>
      <c r="F68" s="820">
        <v>30</v>
      </c>
    </row>
    <row r="69" spans="1:6" s="816" customFormat="1" ht="36">
      <c r="A69" s="820">
        <v>9</v>
      </c>
      <c r="B69" s="3412"/>
      <c r="C69" s="756" t="s">
        <v>631</v>
      </c>
      <c r="D69" s="756" t="s">
        <v>632</v>
      </c>
      <c r="E69" s="833">
        <v>0.2</v>
      </c>
      <c r="F69" s="820">
        <v>30</v>
      </c>
    </row>
    <row r="70" spans="1:6" s="816" customFormat="1" ht="48">
      <c r="A70" s="820">
        <v>10</v>
      </c>
      <c r="B70" s="3412"/>
      <c r="C70" s="756" t="s">
        <v>633</v>
      </c>
      <c r="D70" s="756" t="s">
        <v>634</v>
      </c>
      <c r="E70" s="833">
        <v>0.2</v>
      </c>
      <c r="F70" s="820">
        <v>30</v>
      </c>
    </row>
    <row r="71" spans="1:6" s="816" customFormat="1" ht="48">
      <c r="A71" s="820">
        <v>11</v>
      </c>
      <c r="B71" s="3412"/>
      <c r="C71" s="756" t="s">
        <v>635</v>
      </c>
      <c r="D71" s="756" t="s">
        <v>636</v>
      </c>
      <c r="E71" s="833">
        <v>0.2</v>
      </c>
      <c r="F71" s="820">
        <v>30</v>
      </c>
    </row>
    <row r="72" spans="1:6" s="816" customFormat="1" ht="36">
      <c r="A72" s="820">
        <v>12</v>
      </c>
      <c r="B72" s="3412"/>
      <c r="C72" s="756" t="s">
        <v>637</v>
      </c>
      <c r="D72" s="756" t="s">
        <v>638</v>
      </c>
      <c r="E72" s="833">
        <v>0.5</v>
      </c>
      <c r="F72" s="820">
        <v>80</v>
      </c>
    </row>
    <row r="73" spans="1:6" s="816" customFormat="1" ht="24">
      <c r="A73" s="820">
        <v>13</v>
      </c>
      <c r="B73" s="3412"/>
      <c r="C73" s="756" t="s">
        <v>639</v>
      </c>
      <c r="D73" s="756" t="s">
        <v>640</v>
      </c>
      <c r="E73" s="833">
        <v>0.4</v>
      </c>
      <c r="F73" s="820">
        <v>60</v>
      </c>
    </row>
    <row r="74" spans="1:6" s="816" customFormat="1" ht="24">
      <c r="A74" s="820">
        <v>14</v>
      </c>
      <c r="B74" s="3412"/>
      <c r="C74" s="756" t="s">
        <v>641</v>
      </c>
      <c r="D74" s="756" t="s">
        <v>642</v>
      </c>
      <c r="E74" s="833">
        <v>0.2</v>
      </c>
      <c r="F74" s="820">
        <v>30</v>
      </c>
    </row>
    <row r="75" spans="1:6" s="816" customFormat="1" ht="24">
      <c r="A75" s="820">
        <v>15</v>
      </c>
      <c r="B75" s="3412"/>
      <c r="C75" s="756" t="s">
        <v>643</v>
      </c>
      <c r="D75" s="756" t="s">
        <v>644</v>
      </c>
      <c r="E75" s="833">
        <v>0.2</v>
      </c>
      <c r="F75" s="820">
        <v>30</v>
      </c>
    </row>
    <row r="76" spans="1:6" s="816" customFormat="1" ht="24">
      <c r="A76" s="820">
        <v>16</v>
      </c>
      <c r="B76" s="3412" t="s">
        <v>645</v>
      </c>
      <c r="C76" s="756" t="s">
        <v>646</v>
      </c>
      <c r="D76" s="756" t="s">
        <v>647</v>
      </c>
      <c r="E76" s="833">
        <v>0.5</v>
      </c>
      <c r="F76" s="820">
        <v>80</v>
      </c>
    </row>
    <row r="77" spans="1:6" s="816" customFormat="1" ht="24">
      <c r="A77" s="820">
        <v>17</v>
      </c>
      <c r="B77" s="3412"/>
      <c r="C77" s="756" t="s">
        <v>648</v>
      </c>
      <c r="D77" s="756" t="s">
        <v>649</v>
      </c>
      <c r="E77" s="833">
        <v>0.5</v>
      </c>
      <c r="F77" s="820">
        <v>80</v>
      </c>
    </row>
    <row r="78" spans="1:6" s="816" customFormat="1" ht="24">
      <c r="A78" s="820">
        <v>18</v>
      </c>
      <c r="B78" s="3412"/>
      <c r="C78" s="756" t="s">
        <v>650</v>
      </c>
      <c r="D78" s="756" t="s">
        <v>651</v>
      </c>
      <c r="E78" s="833">
        <v>0.2</v>
      </c>
      <c r="F78" s="820">
        <v>30</v>
      </c>
    </row>
    <row r="79" spans="1:6" s="816" customFormat="1" ht="24">
      <c r="A79" s="820">
        <v>19</v>
      </c>
      <c r="B79" s="3412"/>
      <c r="C79" s="756" t="s">
        <v>652</v>
      </c>
      <c r="D79" s="756" t="s">
        <v>653</v>
      </c>
      <c r="E79" s="833">
        <v>0.5</v>
      </c>
      <c r="F79" s="820">
        <v>80</v>
      </c>
    </row>
    <row r="80" spans="1:6" s="816" customFormat="1" ht="36">
      <c r="A80" s="820">
        <v>20</v>
      </c>
      <c r="B80" s="3412"/>
      <c r="C80" s="756" t="s">
        <v>654</v>
      </c>
      <c r="D80" s="756" t="s">
        <v>655</v>
      </c>
      <c r="E80" s="833">
        <v>0.2</v>
      </c>
      <c r="F80" s="820">
        <v>30</v>
      </c>
    </row>
    <row r="81" spans="1:6" s="816" customFormat="1" ht="36">
      <c r="A81" s="820">
        <v>21</v>
      </c>
      <c r="B81" s="3412"/>
      <c r="C81" s="756" t="s">
        <v>656</v>
      </c>
      <c r="D81" s="756" t="s">
        <v>657</v>
      </c>
      <c r="E81" s="833">
        <v>0.2</v>
      </c>
      <c r="F81" s="820">
        <v>30</v>
      </c>
    </row>
    <row r="82" spans="1:6" s="816" customFormat="1" ht="48">
      <c r="A82" s="820">
        <v>22</v>
      </c>
      <c r="B82" s="3412"/>
      <c r="C82" s="756" t="s">
        <v>658</v>
      </c>
      <c r="D82" s="756" t="s">
        <v>659</v>
      </c>
      <c r="E82" s="833">
        <v>0.2</v>
      </c>
      <c r="F82" s="820">
        <v>30</v>
      </c>
    </row>
    <row r="83" spans="1:6" s="816" customFormat="1" ht="48">
      <c r="A83" s="820">
        <v>23</v>
      </c>
      <c r="B83" s="3412"/>
      <c r="C83" s="756" t="s">
        <v>660</v>
      </c>
      <c r="D83" s="756" t="s">
        <v>661</v>
      </c>
      <c r="E83" s="833">
        <v>0.2</v>
      </c>
      <c r="F83" s="820">
        <v>30</v>
      </c>
    </row>
    <row r="84" spans="1:6" s="816" customFormat="1" ht="36">
      <c r="A84" s="820">
        <v>24</v>
      </c>
      <c r="B84" s="3412"/>
      <c r="C84" s="756" t="s">
        <v>662</v>
      </c>
      <c r="D84" s="756" t="s">
        <v>663</v>
      </c>
      <c r="E84" s="833">
        <v>0.2</v>
      </c>
      <c r="F84" s="820">
        <v>30</v>
      </c>
    </row>
    <row r="85" spans="1:6" s="816" customFormat="1" ht="36">
      <c r="A85" s="820">
        <v>25</v>
      </c>
      <c r="B85" s="3412"/>
      <c r="C85" s="756" t="s">
        <v>664</v>
      </c>
      <c r="D85" s="756" t="s">
        <v>665</v>
      </c>
      <c r="E85" s="833">
        <v>0.5</v>
      </c>
      <c r="F85" s="820">
        <v>80</v>
      </c>
    </row>
    <row r="86" spans="1:6" s="816" customFormat="1" ht="36">
      <c r="A86" s="820">
        <v>26</v>
      </c>
      <c r="B86" s="3412"/>
      <c r="C86" s="756" t="s">
        <v>666</v>
      </c>
      <c r="D86" s="756" t="s">
        <v>667</v>
      </c>
      <c r="E86" s="833">
        <v>0.2</v>
      </c>
      <c r="F86" s="820">
        <v>30</v>
      </c>
    </row>
    <row r="87" spans="1:6" s="816" customFormat="1" ht="36">
      <c r="A87" s="820">
        <v>27</v>
      </c>
      <c r="B87" s="3412"/>
      <c r="C87" s="756" t="s">
        <v>668</v>
      </c>
      <c r="D87" s="756" t="s">
        <v>669</v>
      </c>
      <c r="E87" s="833">
        <v>0.2</v>
      </c>
      <c r="F87" s="820">
        <v>30</v>
      </c>
    </row>
    <row r="88" spans="1:6" s="816" customFormat="1" ht="36">
      <c r="A88" s="820">
        <v>28</v>
      </c>
      <c r="B88" s="3412"/>
      <c r="C88" s="756" t="s">
        <v>670</v>
      </c>
      <c r="D88" s="756" t="s">
        <v>671</v>
      </c>
      <c r="E88" s="833">
        <v>0.2</v>
      </c>
      <c r="F88" s="820">
        <v>30</v>
      </c>
    </row>
    <row r="89" spans="1:6" s="816" customFormat="1" ht="24">
      <c r="A89" s="820">
        <v>29</v>
      </c>
      <c r="B89" s="3412"/>
      <c r="C89" s="756" t="s">
        <v>672</v>
      </c>
      <c r="D89" s="756" t="s">
        <v>673</v>
      </c>
      <c r="E89" s="833">
        <v>0.2</v>
      </c>
      <c r="F89" s="820">
        <v>30</v>
      </c>
    </row>
    <row r="90" spans="1:6" s="816" customFormat="1" ht="24">
      <c r="A90" s="820">
        <v>30</v>
      </c>
      <c r="B90" s="3412"/>
      <c r="C90" s="756" t="s">
        <v>674</v>
      </c>
      <c r="D90" s="756" t="s">
        <v>675</v>
      </c>
      <c r="E90" s="833">
        <v>0.2</v>
      </c>
      <c r="F90" s="820">
        <v>30</v>
      </c>
    </row>
    <row r="91" spans="1:6" s="816" customFormat="1" ht="36">
      <c r="A91" s="820">
        <v>31</v>
      </c>
      <c r="B91" s="3412"/>
      <c r="C91" s="756" t="s">
        <v>676</v>
      </c>
      <c r="D91" s="756" t="s">
        <v>677</v>
      </c>
      <c r="E91" s="833">
        <v>0.2</v>
      </c>
      <c r="F91" s="820">
        <v>30</v>
      </c>
    </row>
    <row r="92" spans="1:6" s="816" customFormat="1" ht="24">
      <c r="A92" s="820">
        <v>32</v>
      </c>
      <c r="B92" s="3412" t="s">
        <v>678</v>
      </c>
      <c r="C92" s="820" t="s">
        <v>679</v>
      </c>
      <c r="D92" s="756" t="s">
        <v>680</v>
      </c>
      <c r="E92" s="833">
        <v>0.2</v>
      </c>
      <c r="F92" s="820">
        <v>30</v>
      </c>
    </row>
    <row r="93" spans="1:6" s="816" customFormat="1" ht="36">
      <c r="A93" s="820">
        <v>33</v>
      </c>
      <c r="B93" s="3412"/>
      <c r="C93" s="820" t="s">
        <v>681</v>
      </c>
      <c r="D93" s="756" t="s">
        <v>682</v>
      </c>
      <c r="E93" s="833">
        <v>0.2</v>
      </c>
      <c r="F93" s="820">
        <v>30</v>
      </c>
    </row>
    <row r="94" spans="1:6" s="816" customFormat="1" ht="48">
      <c r="A94" s="820">
        <v>34</v>
      </c>
      <c r="B94" s="3412"/>
      <c r="C94" s="820" t="s">
        <v>683</v>
      </c>
      <c r="D94" s="756" t="s">
        <v>684</v>
      </c>
      <c r="E94" s="833">
        <v>0.2</v>
      </c>
      <c r="F94" s="820">
        <v>30</v>
      </c>
    </row>
    <row r="95" spans="1:6" s="816" customFormat="1" ht="36">
      <c r="A95" s="820">
        <v>35</v>
      </c>
      <c r="B95" s="3412"/>
      <c r="C95" s="820" t="s">
        <v>685</v>
      </c>
      <c r="D95" s="756" t="s">
        <v>686</v>
      </c>
      <c r="E95" s="833">
        <v>0.2</v>
      </c>
      <c r="F95" s="820">
        <v>30</v>
      </c>
    </row>
    <row r="96" spans="1:6" s="816" customFormat="1" ht="48">
      <c r="A96" s="820">
        <v>36</v>
      </c>
      <c r="B96" s="3412"/>
      <c r="C96" s="756" t="s">
        <v>687</v>
      </c>
      <c r="D96" s="756" t="s">
        <v>688</v>
      </c>
      <c r="E96" s="833">
        <v>0.2</v>
      </c>
      <c r="F96" s="820">
        <v>30</v>
      </c>
    </row>
    <row r="97" spans="1:6" s="816" customFormat="1" ht="36">
      <c r="A97" s="820">
        <v>37</v>
      </c>
      <c r="B97" s="3412"/>
      <c r="C97" s="820" t="s">
        <v>689</v>
      </c>
      <c r="D97" s="756" t="s">
        <v>690</v>
      </c>
      <c r="E97" s="833">
        <v>0.2</v>
      </c>
      <c r="F97" s="820">
        <v>30</v>
      </c>
    </row>
    <row r="98" spans="1:6" s="816" customFormat="1" ht="36">
      <c r="A98" s="820">
        <v>38</v>
      </c>
      <c r="B98" s="3412"/>
      <c r="C98" s="820" t="s">
        <v>691</v>
      </c>
      <c r="D98" s="756" t="s">
        <v>692</v>
      </c>
      <c r="E98" s="833">
        <v>0.2</v>
      </c>
      <c r="F98" s="820">
        <v>30</v>
      </c>
    </row>
    <row r="99" spans="1:6" s="816" customFormat="1" ht="36">
      <c r="A99" s="820">
        <v>39</v>
      </c>
      <c r="B99" s="3412" t="s">
        <v>693</v>
      </c>
      <c r="C99" s="820" t="s">
        <v>694</v>
      </c>
      <c r="D99" s="756" t="s">
        <v>695</v>
      </c>
      <c r="E99" s="833">
        <v>0.3</v>
      </c>
      <c r="F99" s="820">
        <v>50</v>
      </c>
    </row>
    <row r="100" spans="1:6" s="816" customFormat="1" ht="24">
      <c r="A100" s="820">
        <v>40</v>
      </c>
      <c r="B100" s="3412"/>
      <c r="C100" s="820" t="s">
        <v>696</v>
      </c>
      <c r="D100" s="756" t="s">
        <v>697</v>
      </c>
      <c r="E100" s="833">
        <v>0.2</v>
      </c>
      <c r="F100" s="820">
        <v>30</v>
      </c>
    </row>
    <row r="101" spans="1:6" s="816" customFormat="1" ht="36">
      <c r="A101" s="820">
        <v>41</v>
      </c>
      <c r="B101" s="341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2" t="s">
        <v>708</v>
      </c>
      <c r="C105" s="820" t="s">
        <v>709</v>
      </c>
      <c r="D105" s="756" t="s">
        <v>710</v>
      </c>
      <c r="E105" s="833">
        <v>0.2</v>
      </c>
      <c r="F105" s="820">
        <v>30</v>
      </c>
    </row>
    <row r="106" spans="1:6" s="816" customFormat="1" ht="36">
      <c r="A106" s="820">
        <v>46</v>
      </c>
      <c r="B106" s="3412"/>
      <c r="C106" s="820" t="s">
        <v>711</v>
      </c>
      <c r="D106" s="756" t="s">
        <v>712</v>
      </c>
      <c r="E106" s="833">
        <v>0.2</v>
      </c>
      <c r="F106" s="820">
        <v>30</v>
      </c>
    </row>
    <row r="107" spans="1:6" s="816" customFormat="1" ht="36">
      <c r="A107" s="820">
        <v>47</v>
      </c>
      <c r="B107" s="3412" t="s">
        <v>713</v>
      </c>
      <c r="C107" s="820" t="s">
        <v>714</v>
      </c>
      <c r="D107" s="756" t="s">
        <v>715</v>
      </c>
      <c r="E107" s="833">
        <v>0.3</v>
      </c>
      <c r="F107" s="820">
        <v>50</v>
      </c>
    </row>
    <row r="108" spans="1:6" s="816" customFormat="1" ht="36">
      <c r="A108" s="820">
        <v>48</v>
      </c>
      <c r="B108" s="341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2" t="s">
        <v>724</v>
      </c>
      <c r="C111" s="820" t="s">
        <v>725</v>
      </c>
      <c r="D111" s="756" t="s">
        <v>726</v>
      </c>
      <c r="E111" s="833">
        <v>0.2</v>
      </c>
      <c r="F111" s="820">
        <v>30</v>
      </c>
    </row>
    <row r="112" spans="1:6" s="816" customFormat="1" ht="24">
      <c r="A112" s="820">
        <v>52</v>
      </c>
      <c r="B112" s="3412"/>
      <c r="C112" s="820" t="s">
        <v>727</v>
      </c>
      <c r="D112" s="756" t="s">
        <v>728</v>
      </c>
      <c r="E112" s="833">
        <v>0.2</v>
      </c>
      <c r="F112" s="820">
        <v>30</v>
      </c>
    </row>
    <row r="113" spans="1:6" s="816" customFormat="1" ht="24">
      <c r="A113" s="820">
        <v>53</v>
      </c>
      <c r="B113" s="341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2" t="s">
        <v>737</v>
      </c>
      <c r="C116" s="820" t="s">
        <v>738</v>
      </c>
      <c r="D116" s="756" t="s">
        <v>739</v>
      </c>
      <c r="E116" s="833">
        <v>0.2</v>
      </c>
      <c r="F116" s="820">
        <v>30</v>
      </c>
    </row>
    <row r="117" spans="1:6" ht="36">
      <c r="A117" s="820">
        <v>57</v>
      </c>
      <c r="B117" s="341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ROUND(AVERAGE($I4:$I33),2)</f>
        <v>1.68</v>
      </c>
      <c r="J3" s="2397">
        <f>ROUND(AVERAGE($J4:$J33),2)</f>
        <v>1.1000000000000001</v>
      </c>
      <c r="K3" s="2397">
        <f>ROUND(AVERAGE($K4:$K33),2)</f>
        <v>1.85</v>
      </c>
      <c r="L3" s="2397">
        <f>ROUND(AVERAGE($L4:$L33),2)</f>
        <v>1.19</v>
      </c>
      <c r="N3" s="2395"/>
      <c r="S3" s="2395"/>
      <c r="W3" s="2399"/>
      <c r="X3" s="2400">
        <f>ROUND(SUMPRODUCT(PRODUCT(1+N3:N$32)),4)</f>
        <v>1.571</v>
      </c>
      <c r="Y3" s="2400">
        <f>ROUND(SUMPRODUCT(PRODUCT(1+O3:O$32)),4)</f>
        <v>1.3420000000000001</v>
      </c>
      <c r="Z3" s="2400">
        <f t="shared" ref="Z3:Z30" si="0">Y3</f>
        <v>1.3420000000000001</v>
      </c>
      <c r="AA3" s="2400">
        <f>ROUND(SUMPRODUCT(PRODUCT(1+P3:P$32)),4)</f>
        <v>1.6415999999999999</v>
      </c>
      <c r="AB3" s="2400">
        <f>ROUND(SUMPRODUCT(PRODUCT(1+Q3:Q$32)),4)</f>
        <v>1.389</v>
      </c>
      <c r="AD3" s="2401">
        <f>ROUND(AVERAGE(I3:I$33)/100,4)</f>
        <v>1.6799999999999999E-2</v>
      </c>
      <c r="AE3" s="2401">
        <f>ROUND(AVERAGE(J3:J$33)/100,4)</f>
        <v>1.0999999999999999E-2</v>
      </c>
      <c r="AF3" s="2401">
        <f t="shared" ref="AF3:AF31" si="1">AE3</f>
        <v>1.0999999999999999E-2</v>
      </c>
      <c r="AG3" s="2401">
        <f>ROUND(AVERAGE(K3:K$33)/100,4)</f>
        <v>1.8499999999999999E-2</v>
      </c>
      <c r="AH3" s="2401">
        <f>ROUND(AVERAGE(L3:L$33)/100,4)</f>
        <v>1.1900000000000001E-2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3059</v>
      </c>
      <c r="B5" s="2411">
        <f t="shared" ref="B5" si="2">B6*(1+N5)</f>
        <v>483.1434279321756</v>
      </c>
      <c r="C5" s="2411">
        <f t="shared" ref="C5" si="3">C6*(1+O5)</f>
        <v>345.93622669144776</v>
      </c>
      <c r="D5" s="2411">
        <f t="shared" ref="D5" si="4">C5</f>
        <v>345.93622669144776</v>
      </c>
      <c r="E5" s="2411">
        <f t="shared" ref="E5" si="5">E6*(1+P5)</f>
        <v>694.24498562544113</v>
      </c>
      <c r="F5" s="2411">
        <f t="shared" ref="F5" si="6">F6*(1+Q5)</f>
        <v>319.35475932716082</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ROUND(IF(项目基本情况!B5="出让",SUMPRODUCT(PRODUCT(1+N5:N$33)),SUMPRODUCT(PRODUCT(1+N5:N$32))),4)</f>
        <v>1.571</v>
      </c>
      <c r="Y5" s="2419">
        <f>ROUND(IF(项目基本情况!B5="出让",SUMPRODUCT(PRODUCT(1+O5:O$33)),SUMPRODUCT(PRODUCT(1+O5:O$32))),4)</f>
        <v>1.3420000000000001</v>
      </c>
      <c r="Z5" s="2419">
        <f t="shared" ref="Z5" si="11">Y5</f>
        <v>1.3420000000000001</v>
      </c>
      <c r="AA5" s="2419">
        <f>ROUND(IF(项目基本情况!B5="出让",SUMPRODUCT(PRODUCT(1+P5:P$33)),SUMPRODUCT(PRODUCT(1+P5:P$32))),4)</f>
        <v>1.6415999999999999</v>
      </c>
      <c r="AB5" s="2419">
        <f>ROUND(IF(项目基本情况!B5="出让",SUMPRODUCT(PRODUCT(1+Q5:Q$33)),SUMPRODUCT(PRODUCT(1+Q5:Q$32))),4)</f>
        <v>1.389</v>
      </c>
      <c r="AD5" s="2420">
        <f>ROUND(AVERAGE(I5:I$33)/100,4)</f>
        <v>1.6799999999999999E-2</v>
      </c>
      <c r="AE5" s="2420">
        <f>ROUND(AVERAGE(J5:J$33)/100,4)</f>
        <v>1.0999999999999999E-2</v>
      </c>
      <c r="AF5" s="2420">
        <f t="shared" ref="AF5" si="12">AE5</f>
        <v>1.0999999999999999E-2</v>
      </c>
      <c r="AG5" s="2420">
        <f>ROUND(AVERAGE(K5:K$33)/100,4)</f>
        <v>1.8499999999999999E-2</v>
      </c>
      <c r="AH5" s="2420">
        <f>ROUND(AVERAGE(L5:L$33)/100,4)</f>
        <v>1.1900000000000001E-2</v>
      </c>
    </row>
    <row r="6" spans="1:34" s="2428" customFormat="1">
      <c r="A6" s="2421" t="s">
        <v>3060</v>
      </c>
      <c r="B6" s="2422">
        <f t="shared" ref="B6" si="13">B7*(1+N6)</f>
        <v>483.1434279321756</v>
      </c>
      <c r="C6" s="2422">
        <f t="shared" ref="C6" si="14">C7*(1+O6)</f>
        <v>345.93622669144776</v>
      </c>
      <c r="D6" s="2422">
        <f t="shared" ref="D6" si="15">C6</f>
        <v>345.93622669144776</v>
      </c>
      <c r="E6" s="2422">
        <f t="shared" ref="E6" si="16">E7*(1+P6)</f>
        <v>694.24498562544113</v>
      </c>
      <c r="F6" s="2422">
        <f t="shared" ref="F6" si="17">F7*(1+Q6)</f>
        <v>319.35475932716082</v>
      </c>
      <c r="G6" s="3041">
        <v>2020</v>
      </c>
      <c r="H6" s="2423">
        <v>4</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c r="X6" s="2426">
        <f>ROUND(IF(项目基本情况!B6="出让",SUMPRODUCT(PRODUCT(1+N6:N$33)),SUMPRODUCT(PRODUCT(1+N6:N$32))),4)</f>
        <v>1.571</v>
      </c>
      <c r="Y6" s="2426">
        <f>ROUND(IF(项目基本情况!B6="出让",SUMPRODUCT(PRODUCT(1+O6:O$33)),SUMPRODUCT(PRODUCT(1+O6:O$32))),4)</f>
        <v>1.3420000000000001</v>
      </c>
      <c r="Z6" s="2426">
        <f t="shared" ref="Z6" si="22">Y6</f>
        <v>1.3420000000000001</v>
      </c>
      <c r="AA6" s="2426">
        <f>ROUND(IF(项目基本情况!B6="出让",SUMPRODUCT(PRODUCT(1+P6:P$33)),SUMPRODUCT(PRODUCT(1+P6:P$32))),4)</f>
        <v>1.6415999999999999</v>
      </c>
      <c r="AB6" s="2426">
        <f>ROUND(IF(项目基本情况!B6="出让",SUMPRODUCT(PRODUCT(1+Q6:Q$33)),SUMPRODUCT(PRODUCT(1+Q6:Q$32))),4)</f>
        <v>1.389</v>
      </c>
      <c r="AC6" s="2426"/>
      <c r="AD6" s="2427">
        <f>ROUND(AVERAGE(I6:I$33)/100,4)</f>
        <v>1.7399999999999999E-2</v>
      </c>
      <c r="AE6" s="2427">
        <f>ROUND(AVERAGE(J6:J$33)/100,4)</f>
        <v>1.14E-2</v>
      </c>
      <c r="AF6" s="2427">
        <f t="shared" ref="AF6" si="23">AE6</f>
        <v>1.14E-2</v>
      </c>
      <c r="AG6" s="2427">
        <f>ROUND(AVERAGE(K6:K$33)/100,4)</f>
        <v>1.9199999999999998E-2</v>
      </c>
      <c r="AH6" s="2427">
        <f>ROUND(AVERAGE(L6:L$33)/100,4)</f>
        <v>1.23E-2</v>
      </c>
    </row>
    <row r="7" spans="1:34" s="2428" customFormat="1">
      <c r="A7" s="2421" t="s">
        <v>3058</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2872</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2870</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2869</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2868</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2866</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2864</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2867</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6">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2862</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6"/>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2861</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6"/>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2854</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3"/>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2852</v>
      </c>
      <c r="B18" s="2436">
        <v>439</v>
      </c>
      <c r="C18" s="2436">
        <v>327</v>
      </c>
      <c r="D18" s="2436">
        <f>C18</f>
        <v>327</v>
      </c>
      <c r="E18" s="2436">
        <v>627</v>
      </c>
      <c r="F18" s="2437">
        <v>283</v>
      </c>
      <c r="G18" s="3419">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2853</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6"/>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1351</v>
      </c>
      <c r="B20" s="2422">
        <f t="shared" si="152"/>
        <v>419.31181600000002</v>
      </c>
      <c r="C20" s="2422">
        <f t="shared" si="153"/>
        <v>313.95436800000004</v>
      </c>
      <c r="D20" s="2422">
        <f t="shared" si="154"/>
        <v>313.95436800000004</v>
      </c>
      <c r="E20" s="2422">
        <f t="shared" si="155"/>
        <v>596.63028431999999</v>
      </c>
      <c r="F20" s="2422">
        <f t="shared" si="156"/>
        <v>274.74220703999998</v>
      </c>
      <c r="G20" s="3416"/>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3"/>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19">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6"/>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6"/>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7"/>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15">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6"/>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6"/>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7"/>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15">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6"/>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6"/>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7"/>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20">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1"/>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1"/>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2"/>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15">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6"/>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6"/>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17"/>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15">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6">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6">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7">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15">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6">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6">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7">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15">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6">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6">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7">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15">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6">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6">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7">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15">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6">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6">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7">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15">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6">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6">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7">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15">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6">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6">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7">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15">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6">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6">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7">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15">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6">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6">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17">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15">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6">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6">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17">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7"/>
      <c r="B4" s="3096" t="s">
        <v>1595</v>
      </c>
      <c r="C4" s="3096"/>
      <c r="D4" s="3096"/>
      <c r="E4" s="1677"/>
    </row>
    <row r="5" spans="1:5" ht="16.5" thickTop="1">
      <c r="A5" s="1675"/>
      <c r="B5" s="3094" t="s">
        <v>1587</v>
      </c>
      <c r="C5" s="1678" t="s">
        <v>1588</v>
      </c>
      <c r="D5" s="958">
        <f ca="1">结果表!H101</f>
        <v>366886</v>
      </c>
      <c r="E5" s="1675"/>
    </row>
    <row r="6" spans="1:5" ht="15.75">
      <c r="A6" s="1675"/>
      <c r="B6" s="3094"/>
      <c r="C6" s="1678" t="s">
        <v>1589</v>
      </c>
      <c r="D6" s="958" t="str">
        <f ca="1">NUMBERSTRING(INT(D5*10000),2)&amp;"元整"</f>
        <v>叁拾陆亿陆仟捌佰捌拾陆万元整</v>
      </c>
      <c r="E6" s="1675"/>
    </row>
    <row r="7" spans="1:5" ht="15.75">
      <c r="A7" s="1675"/>
      <c r="B7" s="3099"/>
      <c r="C7" s="1679" t="s">
        <v>1590</v>
      </c>
      <c r="D7" s="959">
        <f ca="1">结果表!H102</f>
        <v>50897</v>
      </c>
      <c r="E7" s="1675"/>
    </row>
    <row r="8" spans="1:5" ht="15.75">
      <c r="A8" s="1675"/>
      <c r="B8" s="3100" t="str">
        <f>结果表!E103</f>
        <v>2.估价师知悉的法定优先受偿款</v>
      </c>
      <c r="C8" s="1680" t="s">
        <v>1591</v>
      </c>
      <c r="D8" s="959">
        <f>结果表!H103</f>
        <v>0</v>
      </c>
      <c r="E8" s="1675"/>
    </row>
    <row r="9" spans="1:5" ht="15.75">
      <c r="A9" s="1675"/>
      <c r="B9" s="3102"/>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93" t="str">
        <f>结果表!E107</f>
        <v>3.房地产抵押价值</v>
      </c>
      <c r="C13" s="1683" t="s">
        <v>1588</v>
      </c>
      <c r="D13" s="961">
        <f ca="1">结果表!H107</f>
        <v>366886</v>
      </c>
      <c r="E13" s="1675"/>
    </row>
    <row r="14" spans="1:5" ht="15.75">
      <c r="A14" s="1675"/>
      <c r="B14" s="3094"/>
      <c r="C14" s="1678" t="s">
        <v>1589</v>
      </c>
      <c r="D14" s="958" t="str">
        <f ca="1">NUMBERSTRING(INT(D13*10000),2)&amp;"元整"</f>
        <v>叁拾陆亿陆仟捌佰捌拾陆万元整</v>
      </c>
      <c r="E14" s="1675"/>
    </row>
    <row r="15" spans="1:5" ht="15">
      <c r="A15" s="1675"/>
      <c r="B15" s="3099"/>
      <c r="C15" s="1679" t="s">
        <v>1599</v>
      </c>
      <c r="D15" s="967">
        <f ca="1">结果表!H108</f>
        <v>50897</v>
      </c>
      <c r="E15" s="1675"/>
    </row>
    <row r="16" spans="1:5" ht="15">
      <c r="A16" s="1675"/>
      <c r="B16" s="3100" t="str">
        <f>结果表!E109</f>
        <v>——</v>
      </c>
      <c r="C16" s="1683" t="s">
        <v>1600</v>
      </c>
      <c r="D16" s="1684" t="str">
        <f>结果表!H109</f>
        <v>——</v>
      </c>
      <c r="E16" s="1675"/>
    </row>
    <row r="17" spans="1:5" ht="15.75">
      <c r="A17" s="1675"/>
      <c r="B17" s="3101"/>
      <c r="C17" s="1678" t="s">
        <v>1601</v>
      </c>
      <c r="D17" s="958" t="e">
        <f>NUMBERSTRING(INT(D16*10000),2)&amp;"元整"</f>
        <v>#VALUE!</v>
      </c>
      <c r="E17" s="1675"/>
    </row>
    <row r="18" spans="1:5" ht="15">
      <c r="A18" s="1675"/>
      <c r="B18" s="3102"/>
      <c r="C18" s="1679" t="s">
        <v>1590</v>
      </c>
      <c r="D18" s="967" t="str">
        <f>结果表!H110</f>
        <v>——</v>
      </c>
      <c r="E18" s="1675"/>
    </row>
    <row r="19" spans="1:5" ht="15.75">
      <c r="A19" s="1675"/>
      <c r="B19" s="3093" t="str">
        <f>结果表!E111</f>
        <v>4.抵押净值</v>
      </c>
      <c r="C19" s="1683" t="s">
        <v>1588</v>
      </c>
      <c r="D19" s="959">
        <f ca="1">结果表!H111</f>
        <v>337622</v>
      </c>
      <c r="E19" s="1675"/>
    </row>
    <row r="20" spans="1:5" ht="15.75">
      <c r="A20" s="1675"/>
      <c r="B20" s="3094"/>
      <c r="C20" s="1678" t="s">
        <v>1601</v>
      </c>
      <c r="D20" s="958" t="str">
        <f ca="1">NUMBERSTRING(INT(D19*10000),2)&amp;"元整"</f>
        <v>叁拾叁亿柒仟陆佰贰拾贰万元整</v>
      </c>
      <c r="E20" s="1675"/>
    </row>
    <row r="21" spans="1:5" ht="15.75" thickBot="1">
      <c r="A21" s="1675"/>
      <c r="B21" s="3095"/>
      <c r="C21" s="1685" t="s">
        <v>1599</v>
      </c>
      <c r="D21" s="968">
        <f ca="1">结果表!H112</f>
        <v>46838</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2824</v>
      </c>
      <c r="C1" s="3427" t="s">
        <v>2825</v>
      </c>
      <c r="D1" s="3428"/>
      <c r="E1" s="3428"/>
      <c r="F1" s="3428"/>
      <c r="G1" s="3428"/>
      <c r="H1" s="3428"/>
      <c r="I1" s="3428"/>
      <c r="J1" s="3428"/>
      <c r="K1" s="3428"/>
      <c r="L1" s="3428"/>
      <c r="M1" s="3428"/>
      <c r="N1" s="3428"/>
      <c r="O1" s="3428"/>
      <c r="P1" s="3428"/>
      <c r="Q1" s="3428"/>
      <c r="R1" s="3428"/>
      <c r="S1" s="3429"/>
      <c r="T1" s="1113" t="s">
        <v>2826</v>
      </c>
    </row>
    <row r="2" spans="1:45" s="663" customFormat="1">
      <c r="A2" s="1114"/>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505" t="s">
        <v>2828</v>
      </c>
      <c r="C5" s="1125"/>
      <c r="D5" s="1126"/>
      <c r="E5" s="1126"/>
      <c r="F5" s="1479"/>
      <c r="G5" s="1479"/>
      <c r="H5" s="1479"/>
      <c r="I5" s="1479"/>
      <c r="J5" s="1479"/>
      <c r="K5" s="1479"/>
      <c r="L5" s="1480"/>
      <c r="M5" s="1481"/>
      <c r="N5" s="1481"/>
      <c r="O5" s="1479"/>
      <c r="P5" s="1479"/>
      <c r="Q5" s="1479"/>
      <c r="R5" s="1479"/>
      <c r="S5" s="1482"/>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506" t="s">
        <v>2829</v>
      </c>
      <c r="C7" s="1034"/>
      <c r="D7" s="1028"/>
      <c r="E7" s="1028"/>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506" t="s">
        <v>2830</v>
      </c>
      <c r="C9" s="1034"/>
      <c r="D9" s="1028"/>
      <c r="E9" s="1028"/>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505" t="s">
        <v>2831</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505" t="s">
        <v>2832</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505" t="s">
        <v>2833</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2834</v>
      </c>
      <c r="B17" s="2363"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4"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5"/>
      <c r="E20" s="1524"/>
      <c r="F20" s="1113" t="e">
        <f ca="1">SUMIF(INDIRECT("'"&amp;H20&amp;"'"&amp;"!A:A"),"承租人权益价值",INDIRECT("'"&amp;H20&amp;"'"&amp;"!c:c"))</f>
        <v>#REF!</v>
      </c>
      <c r="G20" s="1113" t="s">
        <v>2838</v>
      </c>
      <c r="H20" s="2366"/>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24" t="s">
        <v>33</v>
      </c>
      <c r="D22" s="3425"/>
      <c r="E22" s="3425"/>
      <c r="F22" s="3425"/>
      <c r="G22" s="3425"/>
      <c r="H22" s="3425"/>
      <c r="I22" s="3425"/>
      <c r="J22" s="3425"/>
      <c r="K22" s="3425"/>
      <c r="L22" s="3425"/>
      <c r="M22" s="3425"/>
      <c r="N22" s="3425"/>
      <c r="O22" s="3425"/>
      <c r="P22" s="3425"/>
      <c r="Q22" s="342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82470</v>
      </c>
      <c r="C2" s="2" t="s">
        <v>133</v>
      </c>
      <c r="D2" s="205"/>
      <c r="E2" s="205"/>
      <c r="F2" s="205"/>
      <c r="G2" s="205"/>
    </row>
    <row r="3" spans="1:7" s="206" customFormat="1" ht="18" customHeight="1" thickBot="1">
      <c r="A3" s="209" t="s">
        <v>85</v>
      </c>
      <c r="B3" s="210">
        <f ca="1">ROUND(B2*10000/'数据-汇总表'!E3,0)</f>
        <v>11441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430</v>
      </c>
      <c r="F9" s="227"/>
      <c r="G9" s="232"/>
    </row>
    <row r="10" spans="1:7" s="220" customFormat="1" ht="13.5" customHeight="1">
      <c r="A10" s="886" t="s">
        <v>801</v>
      </c>
      <c r="B10" s="230" t="s">
        <v>94</v>
      </c>
      <c r="C10" s="231">
        <f>ROUND(D10*E10/10000,0)</f>
        <v>3100</v>
      </c>
      <c r="D10" s="953">
        <f>'数据-汇总表'!E6</f>
        <v>72083.499999999942</v>
      </c>
      <c r="E10" s="231">
        <f>'数据-取费表'!B28</f>
        <v>430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1442</v>
      </c>
      <c r="D19" s="957">
        <f>'数据-汇总表'!E3</f>
        <v>72083.499999999942</v>
      </c>
      <c r="E19" s="217">
        <f>'数据-取费表'!B31</f>
        <v>200</v>
      </c>
      <c r="F19" s="237"/>
      <c r="G19" s="1" t="s">
        <v>1042</v>
      </c>
    </row>
    <row r="20" spans="1:7" s="220" customFormat="1" ht="13.5" customHeight="1">
      <c r="A20" s="884" t="s">
        <v>1025</v>
      </c>
      <c r="B20" s="216" t="s">
        <v>104</v>
      </c>
      <c r="C20" s="238">
        <f>ROUND((C5+C19)*F20,0)</f>
        <v>662</v>
      </c>
      <c r="D20" s="238"/>
      <c r="E20" s="238"/>
      <c r="F20" s="239">
        <f>'数据-取费表'!B37</f>
        <v>0.03</v>
      </c>
      <c r="G20" s="1198"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63">
        <f ca="1">ROUND(SUM(C23:C25),0)</f>
        <v>1756</v>
      </c>
      <c r="D22" s="241">
        <f ca="1">C26</f>
        <v>1.1999999999999999E-3</v>
      </c>
      <c r="E22" s="242" t="s">
        <v>126</v>
      </c>
      <c r="F22" s="243">
        <f ca="1">'数据-取费表'!B40</f>
        <v>3.85E-2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1618</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113</v>
      </c>
      <c r="D24" s="244"/>
      <c r="E24" s="244"/>
      <c r="F24" s="245"/>
      <c r="G24" s="246" t="s">
        <v>109</v>
      </c>
    </row>
    <row r="25" spans="1:7" s="220" customFormat="1" ht="24">
      <c r="A25" s="887" t="s">
        <v>793</v>
      </c>
      <c r="B25" s="221" t="s">
        <v>1026</v>
      </c>
      <c r="C25" s="1264">
        <f ca="1">ROUND(IF('数据-取费表'!B22&lt;=1,C20*F22*'数据-取费表'!B23/2,C20*(POWER((1+F22),'数据-取费表'!B23/2)-1)),0)</f>
        <v>25</v>
      </c>
      <c r="D25" s="244"/>
      <c r="E25" s="247"/>
      <c r="F25" s="245"/>
      <c r="G25" s="248" t="s">
        <v>110</v>
      </c>
    </row>
    <row r="26" spans="1:7" s="220" customFormat="1">
      <c r="A26" s="887" t="s">
        <v>795</v>
      </c>
      <c r="B26" s="221" t="s">
        <v>1028</v>
      </c>
      <c r="C26" s="244">
        <f ca="1">ROUND(IF('数据-取费表'!B22&lt;=1,F21*F22*'数据-取费表'!B23/2,F21*(POWER((1+F22),'数据-取费表'!B23/2)-1)),4)</f>
        <v>1.1999999999999999E-3</v>
      </c>
      <c r="D26" s="244"/>
      <c r="E26" s="247"/>
      <c r="F26" s="245"/>
      <c r="G26" s="249"/>
    </row>
    <row r="27" spans="1:7" s="220" customFormat="1" ht="24.75">
      <c r="A27" s="884" t="s">
        <v>787</v>
      </c>
      <c r="B27" s="250" t="s">
        <v>112</v>
      </c>
      <c r="C27" s="251">
        <f>C28</f>
        <v>3861</v>
      </c>
      <c r="D27" s="241">
        <f>C29</f>
        <v>5.1000000000000004E-3</v>
      </c>
      <c r="E27" s="242" t="s">
        <v>126</v>
      </c>
      <c r="F27" s="252">
        <f>'数据-取费表'!Q16</f>
        <v>0.17</v>
      </c>
      <c r="G27" s="253" t="s">
        <v>1037</v>
      </c>
    </row>
    <row r="28" spans="1:7" s="220" customFormat="1" ht="13.5" customHeight="1">
      <c r="A28" s="887" t="s">
        <v>794</v>
      </c>
      <c r="B28" s="254" t="s">
        <v>1030</v>
      </c>
      <c r="C28" s="255">
        <f>ROUND((C5+C19+C20)*F27*'数据-取费表'!B21/'数据-取费表'!B20,0)</f>
        <v>3861</v>
      </c>
      <c r="D28" s="241"/>
      <c r="E28" s="242"/>
      <c r="F28" s="252"/>
      <c r="G28" s="253"/>
    </row>
    <row r="29" spans="1:7" s="220" customFormat="1" ht="13.5" customHeight="1">
      <c r="A29" s="887" t="s">
        <v>792</v>
      </c>
      <c r="B29" s="254" t="s">
        <v>1031</v>
      </c>
      <c r="C29" s="244">
        <f>ROUND(C21*F27*'数据-取费表'!B21/'数据-取费表'!B20,4)</f>
        <v>5.1000000000000004E-3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38322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35292</v>
      </c>
      <c r="D34" s="223"/>
      <c r="E34" s="226"/>
      <c r="F34" s="263">
        <f>IF('数据-取费表'!B24=0,1,'数据-取费表'!N16)</f>
        <v>1</v>
      </c>
      <c r="G34" s="225" t="s">
        <v>116</v>
      </c>
    </row>
    <row r="35" spans="1:7" ht="13.5" customHeight="1">
      <c r="A35" s="887" t="s">
        <v>796</v>
      </c>
      <c r="B35" s="221" t="s">
        <v>60</v>
      </c>
      <c r="C35" s="226">
        <f>ROUND(C34*F35,0)</f>
        <v>1059</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1442</v>
      </c>
      <c r="D37" s="223">
        <f>'数据-汇总表'!E3</f>
        <v>72083.499999999942</v>
      </c>
      <c r="E37" s="255">
        <f>'数据-取费表'!B35</f>
        <v>200</v>
      </c>
      <c r="F37" s="265"/>
      <c r="G37" s="267" t="s">
        <v>119</v>
      </c>
    </row>
    <row r="38" spans="1:7" ht="13.5" customHeight="1">
      <c r="A38" s="887" t="s">
        <v>799</v>
      </c>
      <c r="B38" s="221" t="s">
        <v>63</v>
      </c>
      <c r="C38" s="226">
        <f>ROUND(C34*F38,0)</f>
        <v>529</v>
      </c>
      <c r="D38" s="226"/>
      <c r="E38" s="226"/>
      <c r="F38" s="265">
        <f>'数据-取费表'!B36</f>
        <v>1.4999999999999999E-2</v>
      </c>
      <c r="G38" s="225" t="s">
        <v>117</v>
      </c>
    </row>
    <row r="39" spans="1:7" s="220" customFormat="1" ht="13.5" customHeight="1">
      <c r="A39" s="884" t="s">
        <v>783</v>
      </c>
      <c r="B39" s="216" t="s">
        <v>104</v>
      </c>
      <c r="C39" s="238">
        <f>ROUND(C33*F20,0)</f>
        <v>1150</v>
      </c>
      <c r="D39" s="238"/>
      <c r="E39" s="238"/>
      <c r="F39" s="239"/>
      <c r="G39" s="1198"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1519</v>
      </c>
      <c r="D41" s="241">
        <f ca="1">C44</f>
        <v>1.1999999999999999E-3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1475</v>
      </c>
      <c r="D42" s="244"/>
      <c r="E42" s="244"/>
      <c r="F42" s="245"/>
      <c r="G42" s="3284" t="s">
        <v>121</v>
      </c>
    </row>
    <row r="43" spans="1:7" ht="13.5" customHeight="1">
      <c r="A43" s="887" t="s">
        <v>792</v>
      </c>
      <c r="B43" s="221" t="s">
        <v>1032</v>
      </c>
      <c r="C43" s="244">
        <f ca="1">ROUND(IF('数据-取费表'!B22&lt;=1,C39*F22*'数据-取费表'!B21/2,C39*(POWER((1+F22),'数据-取费表'!B21/2)-1)),0)</f>
        <v>44</v>
      </c>
      <c r="D43" s="244"/>
      <c r="E43" s="244"/>
      <c r="F43" s="245"/>
      <c r="G43" s="3285"/>
    </row>
    <row r="44" spans="1:7" ht="13.5" customHeight="1">
      <c r="A44" s="887" t="s">
        <v>793</v>
      </c>
      <c r="B44" s="221" t="s">
        <v>1034</v>
      </c>
      <c r="C44" s="244">
        <f ca="1">ROUND(IF('数据-取费表'!B22&lt;=1,C40*F22*'数据-取费表'!B21/2,C40*(POWER((1+F22),'数据-取费表'!B21/2)-1)),4)</f>
        <v>1.1999999999999999E-3</v>
      </c>
      <c r="D44" s="244"/>
      <c r="E44" s="244"/>
      <c r="F44" s="245"/>
      <c r="G44" s="3286"/>
    </row>
    <row r="45" spans="1:7" s="220" customFormat="1" ht="13.5" customHeight="1">
      <c r="A45" s="884" t="s">
        <v>786</v>
      </c>
      <c r="B45" s="250" t="s">
        <v>112</v>
      </c>
      <c r="C45" s="251">
        <f>C46</f>
        <v>6710</v>
      </c>
      <c r="D45" s="241">
        <f>C47</f>
        <v>5.1000000000000004E-3</v>
      </c>
      <c r="E45" s="242" t="s">
        <v>129</v>
      </c>
      <c r="F45" s="252"/>
      <c r="G45" s="253" t="s">
        <v>1040</v>
      </c>
    </row>
    <row r="46" spans="1:7" s="220" customFormat="1" ht="13.5" customHeight="1">
      <c r="A46" s="887" t="s">
        <v>794</v>
      </c>
      <c r="B46" s="254" t="s">
        <v>1033</v>
      </c>
      <c r="C46" s="255">
        <f>ROUND((C33+C39)*F27,0)</f>
        <v>6710</v>
      </c>
      <c r="D46" s="269"/>
      <c r="E46" s="242"/>
      <c r="F46" s="252"/>
      <c r="G46" s="253"/>
    </row>
    <row r="47" spans="1:7" s="220" customFormat="1" ht="13.5" customHeight="1">
      <c r="A47" s="887" t="s">
        <v>792</v>
      </c>
      <c r="B47" s="254" t="s">
        <v>1035</v>
      </c>
      <c r="C47" s="244">
        <f>ROUND(C40*F27,4)</f>
        <v>5.1000000000000004E-3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52398</v>
      </c>
      <c r="D49" s="238"/>
      <c r="E49" s="238"/>
      <c r="F49" s="270"/>
      <c r="G49" s="240" t="s">
        <v>1041</v>
      </c>
    </row>
    <row r="50" spans="1:7" s="264" customFormat="1" ht="24">
      <c r="A50" s="884" t="s">
        <v>789</v>
      </c>
      <c r="B50" s="216" t="s">
        <v>124</v>
      </c>
      <c r="C50" s="238"/>
      <c r="D50" s="238"/>
      <c r="E50" s="238"/>
      <c r="F50" s="270">
        <f>IF('数据-取费表'!B24=0,'数据-取费表'!N16,1)</f>
        <v>0.98</v>
      </c>
      <c r="G50" s="253" t="s">
        <v>125</v>
      </c>
    </row>
    <row r="51" spans="1:7" ht="16.5" customHeight="1">
      <c r="A51" s="884" t="s">
        <v>790</v>
      </c>
      <c r="B51" s="216" t="s">
        <v>132</v>
      </c>
      <c r="C51" s="238">
        <f ca="1">ROUND(C49*F50,0)</f>
        <v>51350</v>
      </c>
      <c r="D51" s="238"/>
      <c r="E51" s="238"/>
      <c r="F51" s="270"/>
      <c r="G51" s="240" t="s">
        <v>64</v>
      </c>
    </row>
    <row r="52" spans="1:7" s="214" customFormat="1" ht="16.5" thickBot="1">
      <c r="A52" s="271" t="s">
        <v>65</v>
      </c>
      <c r="B52" s="272"/>
      <c r="C52" s="273">
        <f ca="1">C31+C51</f>
        <v>82470</v>
      </c>
      <c r="D52" s="272"/>
      <c r="E52" s="272"/>
      <c r="F52" s="272"/>
      <c r="G52" s="274"/>
    </row>
    <row r="55" spans="1:7" ht="15">
      <c r="B55" s="276" t="s">
        <v>66</v>
      </c>
      <c r="C55" s="277"/>
    </row>
    <row r="56" spans="1:7">
      <c r="B56" s="279" t="s">
        <v>67</v>
      </c>
      <c r="C56" s="280">
        <f ca="1">ROUND(C51/C52,3)</f>
        <v>0.623</v>
      </c>
    </row>
    <row r="57" spans="1:7">
      <c r="B57" s="279" t="s">
        <v>68</v>
      </c>
      <c r="C57" s="281">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0" t="s">
        <v>156</v>
      </c>
      <c r="B1" s="3430"/>
      <c r="C1" s="3430"/>
      <c r="D1" s="3430"/>
      <c r="E1" s="3430"/>
      <c r="F1" s="343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1" t="s">
        <v>169</v>
      </c>
      <c r="B2" s="3431"/>
      <c r="C2" s="3431"/>
      <c r="D2" s="3431"/>
      <c r="E2" s="3431"/>
      <c r="F2" s="343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0" t="s">
        <v>839</v>
      </c>
      <c r="B1" s="343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44299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9">
        <v>43941</v>
      </c>
      <c r="D13" s="3060">
        <v>3.85</v>
      </c>
      <c r="E13" s="3060">
        <v>3.85</v>
      </c>
      <c r="F13" s="3060">
        <v>3.85</v>
      </c>
      <c r="G13" s="3060">
        <v>3.85</v>
      </c>
      <c r="H13" s="3060">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55"/>
      <c r="C14" s="3056">
        <v>43881</v>
      </c>
      <c r="D14" s="3055">
        <v>4.05</v>
      </c>
      <c r="E14" s="3055">
        <v>4.05</v>
      </c>
      <c r="F14" s="3055">
        <v>4.05</v>
      </c>
      <c r="G14" s="3055">
        <v>4.05</v>
      </c>
      <c r="H14" s="3055">
        <v>4.75</v>
      </c>
      <c r="I14" s="3055"/>
      <c r="J14" s="3055"/>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55"/>
      <c r="C15" s="3056">
        <v>43789</v>
      </c>
      <c r="D15" s="3055">
        <v>4.1500000000000004</v>
      </c>
      <c r="E15" s="3055">
        <v>4.1500000000000004</v>
      </c>
      <c r="F15" s="3055">
        <v>4.1500000000000004</v>
      </c>
      <c r="G15" s="3055">
        <v>4.1500000000000004</v>
      </c>
      <c r="H15" s="3055">
        <v>4.8</v>
      </c>
      <c r="I15" s="3055"/>
      <c r="J15" s="3055"/>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55"/>
      <c r="C16" s="3056">
        <v>43728</v>
      </c>
      <c r="D16" s="3055">
        <v>4.2</v>
      </c>
      <c r="E16" s="3055">
        <v>4.2</v>
      </c>
      <c r="F16" s="3055">
        <v>4.2</v>
      </c>
      <c r="G16" s="3055">
        <v>4.2</v>
      </c>
      <c r="H16" s="3055">
        <v>4.8499999999999996</v>
      </c>
      <c r="I16" s="3055"/>
      <c r="J16" s="3055"/>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54" t="s">
        <v>3061</v>
      </c>
      <c r="C17" s="3057">
        <v>43697</v>
      </c>
      <c r="D17" s="3058">
        <v>4.25</v>
      </c>
      <c r="E17" s="3058">
        <v>4.25</v>
      </c>
      <c r="F17" s="3058">
        <v>4.25</v>
      </c>
      <c r="G17" s="3058">
        <v>4.25</v>
      </c>
      <c r="H17" s="3058">
        <v>4.8499999999999996</v>
      </c>
      <c r="I17" s="3058"/>
      <c r="J17" s="3058"/>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6" sqref="O46:R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70</v>
      </c>
      <c r="E1" s="1546" t="s">
        <v>1352</v>
      </c>
      <c r="F1" s="1192">
        <f ca="1">J53</f>
        <v>32.14</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47463</v>
      </c>
      <c r="C2" s="1570" t="s">
        <v>1481</v>
      </c>
      <c r="D2" s="1570"/>
      <c r="E2" s="1571"/>
      <c r="F2" s="1572"/>
      <c r="G2" s="2933"/>
      <c r="H2" s="2922"/>
      <c r="I2" s="2922"/>
      <c r="J2" s="2922"/>
      <c r="K2" s="2923"/>
      <c r="L2" s="2922"/>
      <c r="M2" s="2922"/>
    </row>
    <row r="3" spans="1:37" ht="18" customHeight="1" thickBot="1">
      <c r="A3" s="1573" t="s">
        <v>1482</v>
      </c>
      <c r="B3" s="1574">
        <f ca="1">IF(ISERROR(B2*10000/F43),0,ROUND(B2*10000/F43,0))</f>
        <v>45942</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3058</v>
      </c>
      <c r="D5" s="1547" t="s">
        <v>1367</v>
      </c>
      <c r="E5" s="1202"/>
      <c r="F5" s="1203"/>
      <c r="G5" s="1567"/>
      <c r="H5" s="305">
        <v>1</v>
      </c>
      <c r="I5" s="306" t="s">
        <v>1366</v>
      </c>
      <c r="J5" s="1201">
        <f ca="1">J6+J10+J12</f>
        <v>0</v>
      </c>
      <c r="K5" s="1547" t="s">
        <v>1367</v>
      </c>
      <c r="L5" s="1202"/>
      <c r="M5" s="1203"/>
    </row>
    <row r="6" spans="1:37" ht="18" customHeight="1">
      <c r="A6" s="1200" t="s">
        <v>1003</v>
      </c>
      <c r="B6" s="3334" t="s">
        <v>1368</v>
      </c>
      <c r="C6" s="1205">
        <f ca="1">ROUND(F6*F8*F7*(1-F9)/10000,0)</f>
        <v>3054</v>
      </c>
      <c r="D6" s="160" t="s">
        <v>2850</v>
      </c>
      <c r="E6" s="308" t="s">
        <v>1370</v>
      </c>
      <c r="F6" s="309">
        <f ca="1">INDIRECT("'数据-取费表'!u"&amp;$G$1)</f>
        <v>9</v>
      </c>
      <c r="G6" s="1567"/>
      <c r="H6" s="1200" t="s">
        <v>1003</v>
      </c>
      <c r="I6" s="3334" t="s">
        <v>1368</v>
      </c>
      <c r="J6" s="307">
        <f ca="1">ROUND(M6*M8*M7*(1-M9)/10000,0)</f>
        <v>0</v>
      </c>
      <c r="K6" s="160" t="s">
        <v>2849</v>
      </c>
      <c r="L6" s="308" t="s">
        <v>1370</v>
      </c>
      <c r="M6" s="309">
        <f ca="1">INDIRECT("'数据-取费表'!z"&amp;$G$1)</f>
        <v>0</v>
      </c>
    </row>
    <row r="7" spans="1:37" ht="18" customHeight="1">
      <c r="A7" s="1204"/>
      <c r="B7" s="3335"/>
      <c r="C7" s="1206"/>
      <c r="D7" s="313"/>
      <c r="E7" s="3045" t="s">
        <v>1371</v>
      </c>
      <c r="F7" s="309">
        <f ca="1">IF(INDIRECT("'数据-取费表'!ah"&amp;$G$1)="",INDIRECT("'数据-取费表'!k"&amp;$G$1),INDIRECT("'数据-取费表'!ah"&amp;$G$1))</f>
        <v>10331.11</v>
      </c>
      <c r="G7" s="1567"/>
      <c r="H7" s="310"/>
      <c r="I7" s="3335"/>
      <c r="J7" s="312"/>
      <c r="K7" s="313"/>
      <c r="L7" s="308" t="s">
        <v>1371</v>
      </c>
      <c r="M7" s="309">
        <f ca="1">F7</f>
        <v>10331.11</v>
      </c>
    </row>
    <row r="8" spans="1:37" ht="18" customHeight="1">
      <c r="A8" s="310"/>
      <c r="B8" s="3335"/>
      <c r="C8" s="312"/>
      <c r="D8" s="313"/>
      <c r="E8" s="308" t="s">
        <v>1372</v>
      </c>
      <c r="F8" s="309">
        <f ca="1">INDIRECT("'数据-取费表'!ai"&amp;$G$1)</f>
        <v>365</v>
      </c>
      <c r="G8" s="1567"/>
      <c r="H8" s="310"/>
      <c r="I8" s="3335"/>
      <c r="J8" s="312"/>
      <c r="K8" s="313"/>
      <c r="L8" s="308" t="s">
        <v>1372</v>
      </c>
      <c r="M8" s="309">
        <f ca="1">INDIRECT("'数据-取费表'!ai"&amp;$G$1)</f>
        <v>365</v>
      </c>
    </row>
    <row r="9" spans="1:37" ht="18" customHeight="1">
      <c r="A9" s="310"/>
      <c r="B9" s="3336"/>
      <c r="C9" s="312"/>
      <c r="D9" s="313"/>
      <c r="E9" s="308" t="s">
        <v>1373</v>
      </c>
      <c r="F9" s="318">
        <f ca="1">INDIRECT("'数据-取费表'!w"&amp;$G$1)</f>
        <v>0.1</v>
      </c>
      <c r="G9" s="1567"/>
      <c r="H9" s="310"/>
      <c r="I9" s="3336"/>
      <c r="J9" s="312"/>
      <c r="K9" s="313"/>
      <c r="L9" s="319" t="s">
        <v>1373</v>
      </c>
      <c r="M9" s="320">
        <f ca="1">INDIRECT("'数据-取费表'!ab"&amp;$G$1)</f>
        <v>0</v>
      </c>
    </row>
    <row r="10" spans="1:37" ht="18" customHeight="1">
      <c r="A10" s="1200" t="s">
        <v>1007</v>
      </c>
      <c r="B10" s="1548" t="s">
        <v>1374</v>
      </c>
      <c r="C10" s="322">
        <f ca="1">ROUND(IF(F10="押一",C6/12*F11,IF(F10="押二",C6/12*2*F11,IF(F10="押三",C6/12*3*F11,C11*F11))),0)</f>
        <v>4</v>
      </c>
      <c r="D10" s="1549" t="s">
        <v>2857</v>
      </c>
      <c r="E10" s="319" t="s">
        <v>1375</v>
      </c>
      <c r="F10" s="1275" t="s">
        <v>3668</v>
      </c>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7704</v>
      </c>
      <c r="D13" s="3042" t="s">
        <v>1380</v>
      </c>
      <c r="E13" s="3042" t="s">
        <v>1381</v>
      </c>
      <c r="F13" s="1241">
        <f ca="1">INDIRECT("'数据-取费表'!y"&amp;$G$1)</f>
        <v>0.98</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5166</v>
      </c>
      <c r="D14" s="3048" t="s">
        <v>1383</v>
      </c>
      <c r="E14" s="3047"/>
      <c r="F14" s="325"/>
      <c r="G14" s="1567"/>
      <c r="H14" s="1112" t="s">
        <v>1003</v>
      </c>
      <c r="I14" s="308" t="s">
        <v>1384</v>
      </c>
      <c r="J14" s="24">
        <f ca="1">C29</f>
        <v>7861</v>
      </c>
      <c r="K14" s="3044"/>
      <c r="L14" s="915"/>
      <c r="M14" s="916"/>
    </row>
    <row r="15" spans="1:37" s="1580" customFormat="1" ht="18" customHeight="1" thickBot="1">
      <c r="A15" s="1112" t="s">
        <v>1004</v>
      </c>
      <c r="B15" s="308" t="s">
        <v>1385</v>
      </c>
      <c r="C15" s="24">
        <f ca="1">ROUND(C14*F15,0)</f>
        <v>155</v>
      </c>
      <c r="D15" s="3043" t="s">
        <v>1386</v>
      </c>
      <c r="E15" s="3043"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187</v>
      </c>
      <c r="K16" s="1246" t="s">
        <v>1390</v>
      </c>
      <c r="L16" s="3050"/>
      <c r="M16" s="1203"/>
    </row>
    <row r="17" spans="1:37" s="1580" customFormat="1" ht="18" customHeight="1">
      <c r="A17" s="1112" t="s">
        <v>1355</v>
      </c>
      <c r="B17" s="308" t="s">
        <v>1391</v>
      </c>
      <c r="C17" s="24">
        <f ca="1">ROUND(F17*(F43+INDIRECT("'数据-取费表'!S"&amp;$G$1))/10000,0)</f>
        <v>207</v>
      </c>
      <c r="D17" s="308" t="s">
        <v>1392</v>
      </c>
      <c r="E17" s="308" t="s">
        <v>1393</v>
      </c>
      <c r="F17" s="26">
        <f>'数据-取费表'!B35</f>
        <v>200</v>
      </c>
      <c r="G17" s="1579"/>
      <c r="H17" s="1112" t="s">
        <v>1003</v>
      </c>
      <c r="I17" s="308" t="s">
        <v>1394</v>
      </c>
      <c r="J17" s="2532">
        <f ca="1">ROUND(IF(AND(项目基本情况!B11="自然人",项目基本情况!B10="北京市"),J6*M17/(1+'数据-取费表'!C42),J18+J19+J20),0)</f>
        <v>69</v>
      </c>
      <c r="K17" s="3048" t="s">
        <v>1395</v>
      </c>
      <c r="L17" s="3049"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77</v>
      </c>
      <c r="D18" s="308" t="s">
        <v>1386</v>
      </c>
      <c r="E18" s="308" t="s">
        <v>1387</v>
      </c>
      <c r="F18" s="328">
        <f>'数据-取费表'!B36</f>
        <v>1.4999999999999999E-2</v>
      </c>
      <c r="G18" s="1579"/>
      <c r="H18" s="1112" t="s">
        <v>1002</v>
      </c>
      <c r="I18" s="308" t="s">
        <v>1398</v>
      </c>
      <c r="J18" s="24">
        <f ca="1">ROUND(J6*M18/(1+'数据-取费表'!C42),2)</f>
        <v>0</v>
      </c>
      <c r="K18" s="3049"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5605</v>
      </c>
      <c r="D19" s="136" t="s">
        <v>1401</v>
      </c>
      <c r="E19" s="3052"/>
      <c r="F19" s="26"/>
      <c r="G19" s="1567"/>
      <c r="H19" s="1112" t="s">
        <v>1004</v>
      </c>
      <c r="I19" s="308" t="s">
        <v>1402</v>
      </c>
      <c r="J19" s="24">
        <f ca="1">IF(K19="按租金收入计税",ROUND(J6*M19/(1+'数据-取费表'!C42),2),ROUND(C29*M19*0.7,2))</f>
        <v>66.03</v>
      </c>
      <c r="K19" s="1553" t="s">
        <v>1403</v>
      </c>
      <c r="L19" s="308" t="s">
        <v>1387</v>
      </c>
      <c r="M19" s="328">
        <f>IF(K19="按租金收入计税",'数据-取费表'!B51,'数据-取费表'!B50)</f>
        <v>1.2E-2</v>
      </c>
    </row>
    <row r="20" spans="1:37" s="1580" customFormat="1" ht="18" customHeight="1">
      <c r="A20" s="1112" t="s">
        <v>1007</v>
      </c>
      <c r="B20" s="308" t="s">
        <v>1404</v>
      </c>
      <c r="C20" s="24">
        <f ca="1">ROUND(C19*F20,0)</f>
        <v>168</v>
      </c>
      <c r="D20" s="329" t="s">
        <v>1405</v>
      </c>
      <c r="E20" s="308" t="s">
        <v>1387</v>
      </c>
      <c r="F20" s="328">
        <f>'数据-取费表'!B37</f>
        <v>0.03</v>
      </c>
      <c r="G20" s="1579"/>
      <c r="H20" s="1112" t="s">
        <v>1354</v>
      </c>
      <c r="I20" s="160" t="s">
        <v>1406</v>
      </c>
      <c r="J20" s="25">
        <f ca="1">ROUND(M20*M21/10000,2)</f>
        <v>3.18</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1589.15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3052"/>
      <c r="F22" s="26"/>
      <c r="G22" s="1567"/>
      <c r="H22" s="1112" t="s">
        <v>1007</v>
      </c>
      <c r="I22" s="308" t="s">
        <v>1414</v>
      </c>
      <c r="J22" s="24">
        <f ca="1">ROUND(J14*M22,1)</f>
        <v>117.9</v>
      </c>
      <c r="K22" s="3049" t="s">
        <v>1415</v>
      </c>
      <c r="L22" s="308" t="s">
        <v>1387</v>
      </c>
      <c r="M22" s="334">
        <f ca="1">INDIRECT("'数据-取费表'!Ak"&amp;$G$1)</f>
        <v>1.4999999999999999E-2</v>
      </c>
    </row>
    <row r="23" spans="1:37" s="1580" customFormat="1" ht="18" customHeight="1">
      <c r="A23" s="1112" t="s">
        <v>1002</v>
      </c>
      <c r="B23" s="308" t="s">
        <v>1416</v>
      </c>
      <c r="C23" s="24">
        <f ca="1">IF('数据-取费表'!B22&lt;=1,ROUND(C19*F24*F23/2,0)+ROUND(C20*F24*F23/2,0),ROUND(C19*(POWER((1+F24),F23/2)-1),0)+ROUND(C20*(POWER((1+F24),F23/2)-1),0))</f>
        <v>222</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3049"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1357</v>
      </c>
      <c r="I24" s="1249" t="s">
        <v>1404</v>
      </c>
      <c r="J24" s="1250">
        <f ca="1">ROUND(J5*M24,1)</f>
        <v>0</v>
      </c>
      <c r="K24" s="1251" t="s">
        <v>1424</v>
      </c>
      <c r="L24" s="1249" t="s">
        <v>1387</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3052"/>
      <c r="F25" s="26"/>
      <c r="G25" s="1567"/>
      <c r="H25" s="1238" t="s">
        <v>999</v>
      </c>
      <c r="I25" s="1253" t="s">
        <v>1428</v>
      </c>
      <c r="J25" s="316">
        <f ca="1">J5-J16</f>
        <v>-187</v>
      </c>
      <c r="K25" s="1254" t="s">
        <v>1429</v>
      </c>
      <c r="L25" s="1255"/>
      <c r="M25" s="1256"/>
    </row>
    <row r="26" spans="1:37">
      <c r="A26" s="1112" t="s">
        <v>1002</v>
      </c>
      <c r="B26" s="308" t="s">
        <v>1430</v>
      </c>
      <c r="C26" s="24">
        <f ca="1">ROUND((C19+C20)*F26,0)</f>
        <v>1155</v>
      </c>
      <c r="D26" s="329" t="s">
        <v>1431</v>
      </c>
      <c r="E26" s="319" t="s">
        <v>1432</v>
      </c>
      <c r="F26" s="318">
        <f ca="1">INDIRECT("'数据-取费表'!q"&amp;$G$1)</f>
        <v>0.2</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2" t="s">
        <v>1004</v>
      </c>
      <c r="B27" s="308" t="s">
        <v>1436</v>
      </c>
      <c r="C27" s="24">
        <f ca="1">ROUND(F21*F26,4)</f>
        <v>6.0000000000000001E-3</v>
      </c>
      <c r="D27" s="329" t="s">
        <v>1437</v>
      </c>
      <c r="E27" s="3043"/>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7861</v>
      </c>
      <c r="D29" s="1251"/>
      <c r="E29" s="1249"/>
      <c r="F29" s="1252"/>
      <c r="G29" s="1579"/>
      <c r="H29" s="340" t="s">
        <v>1001</v>
      </c>
      <c r="I29" s="341" t="s">
        <v>1444</v>
      </c>
      <c r="J29" s="342">
        <f ca="1">ROUND(J26/(1+F40)^F41,0)</f>
        <v>0</v>
      </c>
      <c r="K29" s="343" t="s">
        <v>1445</v>
      </c>
      <c r="L29" s="344"/>
      <c r="M29" s="345">
        <f ca="1">INDIRECT("'数据-取费表'!k"&amp;$G$1)</f>
        <v>10331.11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706</v>
      </c>
      <c r="D30" s="1246" t="s">
        <v>1390</v>
      </c>
      <c r="E30" s="3050"/>
      <c r="F30" s="1203"/>
      <c r="G30" s="1567"/>
      <c r="H30" s="2924"/>
      <c r="I30" s="1581"/>
      <c r="J30" s="1582"/>
      <c r="K30" s="2699"/>
      <c r="L30" s="2925"/>
      <c r="M30" s="2926"/>
    </row>
    <row r="31" spans="1:37" ht="18" customHeight="1">
      <c r="A31" s="1112" t="s">
        <v>1003</v>
      </c>
      <c r="B31" s="308" t="s">
        <v>1394</v>
      </c>
      <c r="C31" s="2532">
        <f ca="1">ROUND(IF(AND(项目基本情况!B11="自然人",项目基本情况!B10="北京市"),C6*F31/(1+'数据-取费表'!C42),C32+C33+C34),0)</f>
        <v>515</v>
      </c>
      <c r="D31" s="3048" t="s">
        <v>1395</v>
      </c>
      <c r="E31" s="3049" t="s">
        <v>1446</v>
      </c>
      <c r="F31" s="2531" t="str">
        <f>IF(项目基本情况!B11="企业","——",IF('数据-取费表'!B10="住宅",IF(F6*F7*F8/12/(1+'数据-取费表'!F30)&gt;100000,4%,2.5%),IF(F6*F7*F8/12/(1+'数据-取费表'!F30)&gt;100000,12%,7%)))</f>
        <v>——</v>
      </c>
      <c r="G31" s="1567"/>
      <c r="H31" s="3037" t="s">
        <v>3057</v>
      </c>
      <c r="I31" s="1581"/>
      <c r="J31" s="1582"/>
      <c r="K31" s="2699"/>
      <c r="L31" s="2925"/>
      <c r="M31" s="2926"/>
    </row>
    <row r="32" spans="1:37" ht="18" customHeight="1">
      <c r="A32" s="1112" t="s">
        <v>1002</v>
      </c>
      <c r="B32" s="308" t="s">
        <v>1398</v>
      </c>
      <c r="C32" s="24">
        <f ca="1">IF(项目基本情况!B11="自然人","——",ROUND(C6*F32/(1+'数据-取费表'!C42),2))</f>
        <v>162.88</v>
      </c>
      <c r="D32" s="3049" t="s">
        <v>1399</v>
      </c>
      <c r="E32" s="308" t="s">
        <v>1387</v>
      </c>
      <c r="F32" s="337">
        <f>'数据-取费表'!B41</f>
        <v>5.6000000000000001E-2</v>
      </c>
      <c r="G32" s="1567"/>
      <c r="H32" s="2924"/>
      <c r="I32" s="1581"/>
      <c r="J32" s="1582"/>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349.03</v>
      </c>
      <c r="D33" s="1553" t="s">
        <v>3669</v>
      </c>
      <c r="E33" s="308" t="s">
        <v>1387</v>
      </c>
      <c r="F33" s="328">
        <f>IF(D33="按票据","——",IF(D33="按租金收入计税",'数据-取费表'!B51,'数据-取费表'!B50))</f>
        <v>0.12</v>
      </c>
      <c r="G33" s="1567"/>
      <c r="H33" s="2927"/>
      <c r="I33" s="1581"/>
      <c r="J33" s="1582"/>
      <c r="K33" s="2928"/>
      <c r="L33" s="2927"/>
      <c r="M33" s="2927"/>
    </row>
    <row r="34" spans="1:18" ht="18" customHeight="1">
      <c r="A34" s="1200" t="s">
        <v>1354</v>
      </c>
      <c r="B34" s="160" t="s">
        <v>1406</v>
      </c>
      <c r="C34" s="25">
        <f ca="1">IF(项目基本情况!B11="自然人","——",ROUND(F34*F35/10000,2))</f>
        <v>3.18</v>
      </c>
      <c r="D34" s="330" t="s">
        <v>1407</v>
      </c>
      <c r="E34" s="308" t="s">
        <v>1408</v>
      </c>
      <c r="F34" s="331">
        <f>'数据-取费表'!B52</f>
        <v>20</v>
      </c>
      <c r="G34" s="1567"/>
      <c r="H34" s="2924"/>
      <c r="I34" s="1581"/>
      <c r="J34" s="1582"/>
      <c r="K34" s="2929"/>
      <c r="L34" s="2930"/>
      <c r="M34" s="2930"/>
    </row>
    <row r="35" spans="1:18" ht="18" customHeight="1">
      <c r="A35" s="1262"/>
      <c r="B35" s="1260"/>
      <c r="C35" s="29"/>
      <c r="D35" s="333"/>
      <c r="E35" s="308" t="s">
        <v>1412</v>
      </c>
      <c r="F35" s="309">
        <f ca="1">INDIRECT("'数据-取费表'!r"&amp;$G$1)</f>
        <v>1589.15</v>
      </c>
      <c r="G35" s="1567"/>
      <c r="H35" s="2924"/>
      <c r="I35" s="1581"/>
      <c r="J35" s="1582"/>
      <c r="K35" s="2928"/>
      <c r="L35" s="2927"/>
      <c r="M35" s="2927"/>
    </row>
    <row r="36" spans="1:18" ht="18" customHeight="1">
      <c r="A36" s="1261" t="s">
        <v>1007</v>
      </c>
      <c r="B36" s="308" t="s">
        <v>1414</v>
      </c>
      <c r="C36" s="24">
        <f ca="1">ROUND(C29*F36,1)</f>
        <v>117.9</v>
      </c>
      <c r="D36" s="3049" t="s">
        <v>1447</v>
      </c>
      <c r="E36" s="308" t="s">
        <v>1387</v>
      </c>
      <c r="F36" s="334">
        <f ca="1">INDIRECT("'数据-取费表'!Ak"&amp;$G$1)</f>
        <v>1.4999999999999999E-2</v>
      </c>
      <c r="G36" s="1567"/>
      <c r="H36" s="2927"/>
      <c r="I36" s="1581"/>
      <c r="J36" s="1582"/>
      <c r="K36" s="2768"/>
      <c r="L36" s="2927"/>
      <c r="M36" s="2927"/>
    </row>
    <row r="37" spans="1:18" ht="18" customHeight="1">
      <c r="A37" s="1112" t="s">
        <v>1043</v>
      </c>
      <c r="B37" s="308" t="s">
        <v>1418</v>
      </c>
      <c r="C37" s="24">
        <f ca="1">ROUND(C13*F37,1)</f>
        <v>11.6</v>
      </c>
      <c r="D37" s="3049" t="s">
        <v>1419</v>
      </c>
      <c r="E37" s="308" t="s">
        <v>1387</v>
      </c>
      <c r="F37" s="336">
        <f ca="1">INDIRECT("'数据-取费表'!Al"&amp;$G$1)</f>
        <v>1.5E-3</v>
      </c>
      <c r="G37" s="1567"/>
      <c r="H37" s="2927"/>
      <c r="I37" s="1581"/>
      <c r="J37" s="1582"/>
      <c r="K37" s="2768"/>
      <c r="L37" s="2927"/>
      <c r="M37" s="2927"/>
    </row>
    <row r="38" spans="1:18" ht="18" customHeight="1" thickBot="1">
      <c r="A38" s="1248" t="s">
        <v>1357</v>
      </c>
      <c r="B38" s="1249" t="s">
        <v>1404</v>
      </c>
      <c r="C38" s="1250">
        <f ca="1">ROUND(C5*F38,1)</f>
        <v>61.2</v>
      </c>
      <c r="D38" s="1251" t="s">
        <v>1424</v>
      </c>
      <c r="E38" s="1249" t="s">
        <v>1387</v>
      </c>
      <c r="F38" s="1245">
        <f ca="1">INDIRECT("'数据-取费表'!Am"&amp;$G$1)</f>
        <v>0.02</v>
      </c>
      <c r="G38" s="1567"/>
      <c r="H38" s="2927"/>
      <c r="I38" s="1581"/>
      <c r="J38" s="1582"/>
      <c r="K38" s="2931"/>
      <c r="L38" s="2927"/>
      <c r="M38" s="2927"/>
    </row>
    <row r="39" spans="1:18" ht="24.6" customHeight="1" thickTop="1">
      <c r="A39" s="1238" t="s">
        <v>999</v>
      </c>
      <c r="B39" s="1253" t="s">
        <v>1428</v>
      </c>
      <c r="C39" s="316">
        <f ca="1">C5-C30</f>
        <v>2352</v>
      </c>
      <c r="D39" s="1254" t="s">
        <v>1429</v>
      </c>
      <c r="E39" s="1255"/>
      <c r="F39" s="1256"/>
      <c r="G39" s="1567"/>
      <c r="H39" s="2927"/>
      <c r="I39" s="1581"/>
      <c r="J39" s="1582"/>
      <c r="K39" s="2931"/>
      <c r="L39" s="2927"/>
      <c r="M39" s="2927"/>
    </row>
    <row r="40" spans="1:18" ht="18" customHeight="1">
      <c r="A40" s="305" t="s">
        <v>1000</v>
      </c>
      <c r="B40" s="306" t="s">
        <v>1450</v>
      </c>
      <c r="C40" s="307">
        <f ca="1">ROUND(C39*(1-((1+F42)/(1+F40))^F41)/(F40-F42),0)</f>
        <v>47242</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32.14</v>
      </c>
      <c r="G41" s="1567"/>
      <c r="H41" s="1351"/>
      <c r="I41" s="1581"/>
      <c r="J41" s="1582"/>
      <c r="K41" s="2768"/>
      <c r="L41" s="1351"/>
      <c r="M41" s="1351"/>
    </row>
    <row r="42" spans="1:18" ht="18" customHeight="1">
      <c r="A42" s="314"/>
      <c r="B42" s="315"/>
      <c r="C42" s="316"/>
      <c r="D42" s="333"/>
      <c r="E42" s="308" t="s">
        <v>1442</v>
      </c>
      <c r="F42" s="318">
        <f ca="1">INDIRECT("'数据-取费表'!v"&amp;$G$1)</f>
        <v>0.03</v>
      </c>
      <c r="G42" s="1567"/>
      <c r="H42" s="1351"/>
      <c r="I42" s="1581"/>
      <c r="J42" s="1582"/>
      <c r="K42" s="2768"/>
      <c r="L42" s="1351"/>
      <c r="M42" s="1351"/>
    </row>
    <row r="43" spans="1:18" ht="18" customHeight="1" thickBot="1">
      <c r="A43" s="340" t="s">
        <v>1001</v>
      </c>
      <c r="B43" s="341" t="s">
        <v>1452</v>
      </c>
      <c r="C43" s="342">
        <f ca="1">ROUND(C40*10000/F43,0)</f>
        <v>45728</v>
      </c>
      <c r="D43" s="343" t="s">
        <v>1453</v>
      </c>
      <c r="E43" s="344" t="s">
        <v>1454</v>
      </c>
      <c r="F43" s="345">
        <f ca="1">INDIRECT("'数据-取费表'!k"&amp;$G$1)</f>
        <v>10331.11</v>
      </c>
      <c r="G43" s="1567"/>
      <c r="H43" s="1351"/>
      <c r="I43" s="1351"/>
      <c r="J43" s="1351"/>
      <c r="K43" s="2768"/>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-58441</v>
      </c>
      <c r="D46" s="1589" t="str">
        <f>C2</f>
        <v>万元</v>
      </c>
      <c r="E46" s="1583"/>
      <c r="F46" s="1583"/>
      <c r="I46" s="1590" t="s">
        <v>1486</v>
      </c>
      <c r="J46" s="1591"/>
      <c r="K46" s="1592"/>
      <c r="L46" s="1593">
        <f ca="1">IF(M47="住宅",0,IF(L48&gt;J51,L60,J60))</f>
        <v>221</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1"/>
      <c r="I47" s="1597" t="s">
        <v>1491</v>
      </c>
      <c r="J47" s="1598" t="s">
        <v>3670</v>
      </c>
      <c r="K47" s="1599" t="s">
        <v>1492</v>
      </c>
      <c r="L47" s="1600">
        <f ca="1">INDIRECT("'数据-取费表'!d"&amp;$G$1)</f>
        <v>40</v>
      </c>
      <c r="M47" s="1563" t="str">
        <f>IF(ISNUMBER(FIND("住宅",C1)),"住宅","非住宅")</f>
        <v>非住宅</v>
      </c>
      <c r="O47" s="1601" t="s">
        <v>1008</v>
      </c>
      <c r="P47" s="1602" t="s">
        <v>1493</v>
      </c>
      <c r="Q47" s="1603">
        <f ca="1">C40+J29</f>
        <v>47242</v>
      </c>
      <c r="R47" s="1603" t="s">
        <v>1494</v>
      </c>
    </row>
    <row r="48" spans="1:18" s="1567" customFormat="1" ht="28.5" thickBot="1">
      <c r="A48" s="1269" t="s">
        <v>1103</v>
      </c>
      <c r="B48" s="306" t="s">
        <v>1366</v>
      </c>
      <c r="C48" s="3051">
        <f ca="1">C49+C53+C55</f>
        <v>0</v>
      </c>
      <c r="D48" s="1271"/>
      <c r="E48" s="1272"/>
      <c r="F48" s="1092"/>
      <c r="G48" s="731"/>
      <c r="H48" s="732"/>
      <c r="I48" s="1604" t="s">
        <v>1495</v>
      </c>
      <c r="J48" s="1605" t="s">
        <v>3671</v>
      </c>
      <c r="K48" s="1606" t="s">
        <v>1496</v>
      </c>
      <c r="L48" s="1607">
        <f ca="1">INDIRECT("'数据-取费表'!f"&amp;$G$1)</f>
        <v>32.14</v>
      </c>
      <c r="O48" s="1601" t="s">
        <v>1009</v>
      </c>
      <c r="P48" s="1602" t="s">
        <v>1497</v>
      </c>
      <c r="Q48" s="1603">
        <f ca="1">J60</f>
        <v>221</v>
      </c>
      <c r="R48" s="1603" t="s">
        <v>1498</v>
      </c>
    </row>
    <row r="49" spans="1:18" s="1567" customFormat="1" ht="13.5" thickBot="1">
      <c r="A49" s="1105" t="s">
        <v>1104</v>
      </c>
      <c r="B49" s="1554" t="s">
        <v>1455</v>
      </c>
      <c r="C49" s="1273">
        <f ca="1">ROUND(F49*F51*F50*(1-F52)/10000,0)</f>
        <v>0</v>
      </c>
      <c r="D49" s="1185" t="s">
        <v>2849</v>
      </c>
      <c r="E49" s="1555" t="s">
        <v>1456</v>
      </c>
      <c r="F49" s="1190"/>
      <c r="G49" s="1608"/>
      <c r="H49" s="732"/>
      <c r="I49" s="1604" t="s">
        <v>1499</v>
      </c>
      <c r="J49" s="1609">
        <v>2020</v>
      </c>
      <c r="K49" s="1606" t="s">
        <v>1500</v>
      </c>
      <c r="L49" s="1610"/>
      <c r="O49" s="1611" t="s">
        <v>1010</v>
      </c>
      <c r="P49" s="1602" t="s">
        <v>1501</v>
      </c>
      <c r="Q49" s="1603">
        <f ca="1">C29</f>
        <v>7861</v>
      </c>
      <c r="R49" s="1603" t="s">
        <v>1494</v>
      </c>
    </row>
    <row r="50" spans="1:18" s="1567" customFormat="1" ht="13.5" thickBot="1">
      <c r="A50" s="1106"/>
      <c r="B50" s="1109"/>
      <c r="C50" s="1277"/>
      <c r="D50" s="1083"/>
      <c r="E50" s="1186" t="s">
        <v>1371</v>
      </c>
      <c r="F50" s="1187">
        <f ca="1">F7</f>
        <v>10331.11</v>
      </c>
      <c r="H50" s="732"/>
      <c r="I50" s="1604" t="s">
        <v>1502</v>
      </c>
      <c r="J50" s="1612">
        <f>SUMPRODUCT((I63:I65=J47)*(J62:L62=J48)*(J63:L65))</f>
        <v>60</v>
      </c>
      <c r="K50" s="1606" t="s">
        <v>1503</v>
      </c>
      <c r="L50" s="1610"/>
      <c r="M50" s="1613"/>
      <c r="O50" s="1611" t="s">
        <v>1011</v>
      </c>
      <c r="P50" s="1602" t="s">
        <v>1504</v>
      </c>
      <c r="Q50" s="1614">
        <f ca="1">J58</f>
        <v>0.44800000000000001</v>
      </c>
      <c r="R50" s="1603"/>
    </row>
    <row r="51" spans="1:18" s="1567" customFormat="1" ht="13.5" thickBot="1">
      <c r="A51" s="1107"/>
      <c r="B51" s="1109"/>
      <c r="C51" s="1110"/>
      <c r="D51" s="1083"/>
      <c r="E51" s="1111" t="s">
        <v>1372</v>
      </c>
      <c r="F51" s="309">
        <f ca="1">F8</f>
        <v>365</v>
      </c>
      <c r="I51" s="1615" t="s">
        <v>1505</v>
      </c>
      <c r="J51" s="1616">
        <f>IF(J49="",J50,J49+J50-YEAR('数据-取费表'!B2))</f>
        <v>59</v>
      </c>
      <c r="K51" s="1617" t="s">
        <v>1506</v>
      </c>
      <c r="L51" s="1618">
        <f ca="1">ROUND(-PV(INDIRECT("'数据-取费表'!h"&amp;$G$1),J51,(C39-C13*C76),0),0)</f>
        <v>29547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32.14</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4">
        <f ca="1">IF(M47="住宅",IF(D1="——",MAX(J51,L48),MAX(J51,L48-'数据-取费表'!B24)),IF(D1="——",MIN(J51,L48),MIN(J51,L48-'数据-取费表'!B24)))</f>
        <v>32.14</v>
      </c>
      <c r="K53" s="3332" t="s">
        <v>1513</v>
      </c>
      <c r="L53" s="3333"/>
      <c r="O53" s="1601" t="s">
        <v>1014</v>
      </c>
      <c r="P53" s="1602" t="s">
        <v>1514</v>
      </c>
      <c r="Q53" s="1603">
        <f ca="1">Q47+Q48</f>
        <v>47463</v>
      </c>
      <c r="R53" s="1603" t="s">
        <v>1015</v>
      </c>
    </row>
    <row r="54" spans="1:18" s="1567" customFormat="1" ht="13.5" thickBot="1">
      <c r="A54" s="1314"/>
      <c r="B54" s="1550" t="s">
        <v>1353</v>
      </c>
      <c r="C54" s="1089"/>
      <c r="D54" s="1549"/>
      <c r="E54" s="3046"/>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46"/>
      <c r="F55" s="1623"/>
      <c r="I55" s="1626" t="s">
        <v>1516</v>
      </c>
      <c r="J55" s="1627">
        <f ca="1">ROUND(IF(J47="钢混",J57/J50,1-(1-2%)*(J50-J57)/J50),3)</f>
        <v>0.44800000000000001</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7704</v>
      </c>
      <c r="D56" s="1630"/>
      <c r="E56" s="1631"/>
      <c r="F56" s="1623"/>
      <c r="I56" s="1632" t="s">
        <v>1519</v>
      </c>
      <c r="J56" s="1633" t="s">
        <v>3672</v>
      </c>
      <c r="K56" s="1604" t="s">
        <v>1520</v>
      </c>
      <c r="L56" s="1607" t="str">
        <f ca="1">IF(L48&lt;J51,"——",L48-J53)</f>
        <v>——</v>
      </c>
      <c r="O56" s="1601" t="s">
        <v>1008</v>
      </c>
      <c r="P56" s="1602" t="s">
        <v>1493</v>
      </c>
      <c r="Q56" s="1603">
        <f ca="1">C40+J29</f>
        <v>47242</v>
      </c>
      <c r="R56" s="1603" t="s">
        <v>1494</v>
      </c>
    </row>
    <row r="57" spans="1:18" s="1567" customFormat="1" ht="24.75" thickBot="1">
      <c r="A57" s="1634"/>
      <c r="B57" s="1080" t="s">
        <v>1443</v>
      </c>
      <c r="C57" s="244">
        <f ca="1">C29</f>
        <v>7861</v>
      </c>
      <c r="D57" s="1635"/>
      <c r="E57" s="1636"/>
      <c r="F57" s="1637"/>
      <c r="I57" s="1638" t="s">
        <v>1521</v>
      </c>
      <c r="J57" s="1639">
        <f ca="1">IF(OR(M47="住宅",J51&lt;L48,J56="是"),"——",J51-L48)</f>
        <v>26.86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8" t="s">
        <v>1389</v>
      </c>
      <c r="C58" s="322">
        <f ca="1">ROUND(C59+C64+C65+C66,0)</f>
        <v>794</v>
      </c>
      <c r="D58" s="1090" t="s">
        <v>1390</v>
      </c>
      <c r="E58" s="1091"/>
      <c r="F58" s="1092"/>
      <c r="I58" s="1638" t="s">
        <v>1525</v>
      </c>
      <c r="J58" s="1640">
        <f ca="1">IF(J55&lt;0.4,0.4,J55)</f>
        <v>0.44800000000000001</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2">
        <f ca="1">ROUND(IF(AND(项目基本情况!B11="自然人",项目基本情况!B10="北京市"),C49*F59/(1+'数据-取费表'!C42),C60+C61+C62),0)</f>
        <v>664</v>
      </c>
      <c r="D59" s="1093" t="s">
        <v>1395</v>
      </c>
      <c r="E59" s="1094" t="s">
        <v>1396</v>
      </c>
      <c r="F59" s="2531" t="str">
        <f>IF(项目基本情况!B11="企业","——",IF('数据-取费表'!B10="住宅",IF(F49*F50*F51/12/(1+'数据-取费表'!F30)&gt;100000,4%,2.5%),IF(F49*F50*F51/12/(1+'数据-取费表'!F30)&gt;100000,12%,7%)))</f>
        <v>——</v>
      </c>
      <c r="I59" s="1638" t="s">
        <v>1528</v>
      </c>
      <c r="J59" s="1639">
        <f ca="1">IF(OR(M47="住宅",J51&lt;L48,J56="是"),"——",ROUND(C29*J58,0))</f>
        <v>3522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1" t="s">
        <v>1530</v>
      </c>
      <c r="J60" s="1642">
        <f ca="1">IF(OR(M47="住宅",J51&lt;L48,J56="是"),"0",ROUND(J59/(1+J52)^J53,0))</f>
        <v>221</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1402</v>
      </c>
      <c r="C61" s="24">
        <f ca="1">IF(项目基本情况!B11="自然人","——",IF(D61="按租金收入计税",ROUND(C48*F61,2),IF(D61="按房产原值计税",ROUND(C57*F61*0.7,2),INDIRECT("'数据-取费表'!Aj"&amp;$G$1))))</f>
        <v>660.32</v>
      </c>
      <c r="D61" s="1553" t="s">
        <v>1403</v>
      </c>
      <c r="E61" s="1080"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1406</v>
      </c>
      <c r="C62" s="25">
        <f ca="1">IF(项目基本情况!B11="自然人","——",ROUND(F62*F63/10000,2))</f>
        <v>3.18</v>
      </c>
      <c r="D62" s="1095" t="s">
        <v>1407</v>
      </c>
      <c r="E62" s="1080" t="s">
        <v>1408</v>
      </c>
      <c r="F62" s="331">
        <f t="shared" si="0"/>
        <v>20</v>
      </c>
      <c r="I62" s="1645" t="s">
        <v>1535</v>
      </c>
      <c r="J62" s="1646" t="s">
        <v>1536</v>
      </c>
      <c r="K62" s="1646" t="s">
        <v>1537</v>
      </c>
      <c r="L62" s="1646" t="s">
        <v>1538</v>
      </c>
      <c r="M62" s="1647" t="s">
        <v>1539</v>
      </c>
      <c r="O62" s="1601" t="s">
        <v>1014</v>
      </c>
      <c r="P62" s="1602" t="s">
        <v>1514</v>
      </c>
      <c r="Q62" s="1603">
        <f ca="1">Q56+Q57</f>
        <v>47242</v>
      </c>
      <c r="R62" s="1603" t="s">
        <v>1015</v>
      </c>
    </row>
    <row r="63" spans="1:18" s="1567" customFormat="1" ht="13.5" thickBot="1">
      <c r="A63" s="332"/>
      <c r="B63" s="1086"/>
      <c r="C63" s="29"/>
      <c r="D63" s="1096"/>
      <c r="E63" s="1080" t="s">
        <v>1412</v>
      </c>
      <c r="F63" s="309">
        <f t="shared" ca="1" si="0"/>
        <v>1589.15</v>
      </c>
      <c r="I63" s="1645" t="s">
        <v>1541</v>
      </c>
      <c r="J63" s="1646">
        <v>70</v>
      </c>
      <c r="K63" s="1646">
        <v>50</v>
      </c>
      <c r="L63" s="1646">
        <v>80</v>
      </c>
      <c r="M63" s="1648">
        <v>0.02</v>
      </c>
      <c r="O63" s="1586" t="s">
        <v>1542</v>
      </c>
      <c r="P63" s="1564"/>
      <c r="Q63" s="1564"/>
      <c r="R63" s="1564"/>
    </row>
    <row r="64" spans="1:18" s="1567" customFormat="1" ht="13.5" thickBot="1">
      <c r="A64" s="1112" t="s">
        <v>1007</v>
      </c>
      <c r="B64" s="1080" t="s">
        <v>1414</v>
      </c>
      <c r="C64" s="24">
        <f ca="1">ROUND(C57*F64,1)</f>
        <v>117.9</v>
      </c>
      <c r="D64" s="1094" t="s">
        <v>1447</v>
      </c>
      <c r="E64" s="1080"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11.6</v>
      </c>
      <c r="D65" s="1094" t="s">
        <v>1419</v>
      </c>
      <c r="E65" s="1080" t="s">
        <v>1387</v>
      </c>
      <c r="F65" s="336">
        <f t="shared" ca="1" si="0"/>
        <v>1.5E-3</v>
      </c>
      <c r="I65" s="1645" t="s">
        <v>1544</v>
      </c>
      <c r="J65" s="1646">
        <v>40</v>
      </c>
      <c r="K65" s="1646">
        <v>30</v>
      </c>
      <c r="L65" s="1646">
        <v>50</v>
      </c>
      <c r="M65" s="1648">
        <v>0.02</v>
      </c>
      <c r="O65" s="1601" t="s">
        <v>1008</v>
      </c>
      <c r="P65" s="1602" t="s">
        <v>1493</v>
      </c>
      <c r="Q65" s="1603">
        <f ca="1">C40+J29</f>
        <v>47242</v>
      </c>
      <c r="R65" s="1603" t="s">
        <v>1494</v>
      </c>
    </row>
    <row r="66" spans="1:18" s="1567" customFormat="1" ht="16.5" thickBot="1">
      <c r="A66" s="1112" t="s">
        <v>1469</v>
      </c>
      <c r="B66" s="1080" t="s">
        <v>1404</v>
      </c>
      <c r="C66" s="24">
        <f ca="1">ROUND(C48*F66,1)</f>
        <v>0</v>
      </c>
      <c r="D66" s="1094" t="s">
        <v>1424</v>
      </c>
      <c r="E66" s="1080" t="s">
        <v>1387</v>
      </c>
      <c r="F66" s="318">
        <f t="shared" ca="1" si="0"/>
        <v>0.02</v>
      </c>
      <c r="O66" s="1601" t="s">
        <v>1009</v>
      </c>
      <c r="P66" s="1602" t="s">
        <v>1523</v>
      </c>
      <c r="Q66" s="1603">
        <f ca="1">L60</f>
        <v>0</v>
      </c>
      <c r="R66" s="1603" t="s">
        <v>1546</v>
      </c>
    </row>
    <row r="67" spans="1:18" s="1567" customFormat="1" ht="16.5" thickBot="1">
      <c r="A67" s="1087" t="s">
        <v>999</v>
      </c>
      <c r="B67" s="1097" t="s">
        <v>1428</v>
      </c>
      <c r="C67" s="322">
        <f ca="1">C48-C58</f>
        <v>-794</v>
      </c>
      <c r="D67" s="1093" t="s">
        <v>1429</v>
      </c>
      <c r="E67" s="1098"/>
      <c r="F67" s="1099"/>
      <c r="O67" s="1611" t="s">
        <v>1010</v>
      </c>
      <c r="P67" s="1602" t="s">
        <v>1527</v>
      </c>
      <c r="Q67" s="1649">
        <f ca="1">L51</f>
        <v>29547</v>
      </c>
      <c r="R67" s="1603" t="s">
        <v>1547</v>
      </c>
    </row>
    <row r="68" spans="1:18" s="1567" customFormat="1" ht="16.5" thickBot="1">
      <c r="A68" s="1077" t="s">
        <v>1000</v>
      </c>
      <c r="B68" s="1078" t="s">
        <v>1450</v>
      </c>
      <c r="C68" s="307">
        <f ca="1">ROUND(C67*(1-((1+F70)/(1+F68))^F69)/(F68-F70),0)</f>
        <v>-11199</v>
      </c>
      <c r="D68" s="1095" t="s">
        <v>1434</v>
      </c>
      <c r="E68" s="1080" t="s">
        <v>1435</v>
      </c>
      <c r="F68" s="318">
        <f ca="1">F40</f>
        <v>0.06</v>
      </c>
      <c r="O68" s="1611" t="s">
        <v>1011</v>
      </c>
      <c r="P68" s="1650" t="s">
        <v>1548</v>
      </c>
      <c r="Q68" s="1603">
        <f ca="1">ROUND(Q69-Q70*Q71,0)</f>
        <v>1697</v>
      </c>
      <c r="R68" s="1603" t="s">
        <v>1019</v>
      </c>
    </row>
    <row r="69" spans="1:18" s="1567" customFormat="1" ht="13.5" thickBot="1">
      <c r="A69" s="1081"/>
      <c r="B69" s="1082"/>
      <c r="C69" s="312"/>
      <c r="D69" s="1100" t="s">
        <v>1438</v>
      </c>
      <c r="E69" s="1080" t="s">
        <v>1439</v>
      </c>
      <c r="F69" s="339">
        <f ca="1">F41</f>
        <v>32.14</v>
      </c>
      <c r="O69" s="1611" t="s">
        <v>1016</v>
      </c>
      <c r="P69" s="1650" t="s">
        <v>1549</v>
      </c>
      <c r="Q69" s="1603">
        <f ca="1">C39</f>
        <v>2352</v>
      </c>
      <c r="R69" s="1603" t="s">
        <v>1494</v>
      </c>
    </row>
    <row r="70" spans="1:18" s="1567" customFormat="1" ht="13.5" thickBot="1">
      <c r="A70" s="1084"/>
      <c r="B70" s="1085"/>
      <c r="C70" s="316"/>
      <c r="D70" s="1096"/>
      <c r="E70" s="1080" t="s">
        <v>1442</v>
      </c>
      <c r="F70" s="1184"/>
      <c r="O70" s="1611" t="s">
        <v>1017</v>
      </c>
      <c r="P70" s="1650" t="s">
        <v>1550</v>
      </c>
      <c r="Q70" s="1603">
        <f ca="1">C13</f>
        <v>7704</v>
      </c>
      <c r="R70" s="1603" t="s">
        <v>1494</v>
      </c>
    </row>
    <row r="71" spans="1:18" s="1567" customFormat="1" ht="13.5" thickBot="1">
      <c r="A71" s="1101" t="s">
        <v>1001</v>
      </c>
      <c r="B71" s="1102" t="s">
        <v>1452</v>
      </c>
      <c r="C71" s="342">
        <f ca="1">ROUND(C68*10000/F71,0)</f>
        <v>-10840</v>
      </c>
      <c r="D71" s="1103" t="s">
        <v>1453</v>
      </c>
      <c r="E71" s="1104" t="s">
        <v>1454</v>
      </c>
      <c r="F71" s="345">
        <f ca="1">F43</f>
        <v>10331.11</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655</v>
      </c>
      <c r="D75" s="1567"/>
      <c r="E75" s="1567"/>
      <c r="F75" s="1567"/>
      <c r="K75" s="1585"/>
      <c r="L75" s="1567"/>
      <c r="O75" s="1601" t="s">
        <v>1014</v>
      </c>
      <c r="P75" s="1602" t="s">
        <v>1514</v>
      </c>
      <c r="Q75" s="1603">
        <f ca="1">Q65+Q66</f>
        <v>47242</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0.72199999999999998</v>
      </c>
    </row>
    <row r="80" spans="1:18">
      <c r="B80" s="346" t="s">
        <v>1476</v>
      </c>
      <c r="C80" s="280">
        <f ca="1">ROUND(C75/C39,3)</f>
        <v>0.27800000000000002</v>
      </c>
    </row>
    <row r="81" spans="2:3">
      <c r="B81" s="276" t="s">
        <v>1477</v>
      </c>
      <c r="C81" s="244"/>
    </row>
    <row r="82" spans="2:3">
      <c r="B82" s="279" t="s">
        <v>1478</v>
      </c>
      <c r="C82" s="281">
        <f ca="1">1-C83</f>
        <v>0.83699999999999997</v>
      </c>
    </row>
    <row r="83" spans="2:3">
      <c r="B83" s="279" t="s">
        <v>1479</v>
      </c>
      <c r="C83" s="280">
        <f ca="1">ROUND(C13/C40,3)</f>
        <v>0.16300000000000001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14" sqref="H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3587</v>
      </c>
      <c r="D1" s="1545" t="s">
        <v>70</v>
      </c>
      <c r="E1" s="1546" t="s">
        <v>1352</v>
      </c>
      <c r="F1" s="1192">
        <f ca="1">J53</f>
        <v>42.15</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11197</v>
      </c>
      <c r="C2" s="1570" t="s">
        <v>1481</v>
      </c>
      <c r="D2" s="1570"/>
      <c r="E2" s="1571"/>
      <c r="F2" s="1572"/>
      <c r="G2" s="2933"/>
      <c r="H2" s="2922"/>
      <c r="I2" s="2922"/>
      <c r="J2" s="2922"/>
      <c r="K2" s="2923"/>
      <c r="L2" s="2922"/>
      <c r="M2" s="2922"/>
    </row>
    <row r="3" spans="1:37" ht="18" customHeight="1" thickBot="1">
      <c r="A3" s="1573" t="s">
        <v>1482</v>
      </c>
      <c r="B3" s="1574">
        <f ca="1">IF(ISERROR(B2*10000/F43),0,ROUND(B2*10000/F43,0))</f>
        <v>7627</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634</v>
      </c>
      <c r="D5" s="1547" t="s">
        <v>1367</v>
      </c>
      <c r="E5" s="1202"/>
      <c r="F5" s="1203"/>
      <c r="G5" s="1567"/>
      <c r="H5" s="305">
        <v>1</v>
      </c>
      <c r="I5" s="306" t="s">
        <v>1366</v>
      </c>
      <c r="J5" s="1201">
        <f ca="1">J6+J10+J12</f>
        <v>0</v>
      </c>
      <c r="K5" s="1547" t="s">
        <v>1367</v>
      </c>
      <c r="L5" s="1202"/>
      <c r="M5" s="1203"/>
    </row>
    <row r="6" spans="1:37" ht="18" customHeight="1">
      <c r="A6" s="1200" t="s">
        <v>1003</v>
      </c>
      <c r="B6" s="3334" t="s">
        <v>1368</v>
      </c>
      <c r="C6" s="1205">
        <f ca="1">ROUND(F6*F8*F7*(1-F9)/10000,0)</f>
        <v>634</v>
      </c>
      <c r="D6" s="160" t="s">
        <v>2850</v>
      </c>
      <c r="E6" s="308" t="s">
        <v>1370</v>
      </c>
      <c r="F6" s="309">
        <f ca="1">INDIRECT("'数据-取费表'!u"&amp;$G$1)</f>
        <v>1800</v>
      </c>
      <c r="G6" s="1567"/>
      <c r="H6" s="1200" t="s">
        <v>1003</v>
      </c>
      <c r="I6" s="3334" t="s">
        <v>1368</v>
      </c>
      <c r="J6" s="307">
        <f ca="1">ROUND(M6*M8*M7*(1-M9)/10000,0)</f>
        <v>0</v>
      </c>
      <c r="K6" s="160" t="s">
        <v>2849</v>
      </c>
      <c r="L6" s="308" t="s">
        <v>1370</v>
      </c>
      <c r="M6" s="309">
        <f ca="1">INDIRECT("'数据-取费表'!z"&amp;$G$1)</f>
        <v>0</v>
      </c>
    </row>
    <row r="7" spans="1:37" ht="18" customHeight="1">
      <c r="A7" s="1204"/>
      <c r="B7" s="3335"/>
      <c r="C7" s="1206"/>
      <c r="D7" s="313"/>
      <c r="E7" s="3045" t="s">
        <v>1371</v>
      </c>
      <c r="F7" s="309">
        <f ca="1">IF(INDIRECT("'数据-取费表'!ah"&amp;$G$1)="",INDIRECT("'数据-取费表'!k"&amp;$G$1),INDIRECT("'数据-取费表'!ah"&amp;$G$1))</f>
        <v>326</v>
      </c>
      <c r="G7" s="1567"/>
      <c r="H7" s="310"/>
      <c r="I7" s="3335"/>
      <c r="J7" s="312"/>
      <c r="K7" s="313"/>
      <c r="L7" s="308" t="s">
        <v>1371</v>
      </c>
      <c r="M7" s="309">
        <f ca="1">F7</f>
        <v>326</v>
      </c>
    </row>
    <row r="8" spans="1:37" ht="18" customHeight="1">
      <c r="A8" s="310"/>
      <c r="B8" s="3335"/>
      <c r="C8" s="312"/>
      <c r="D8" s="313"/>
      <c r="E8" s="308" t="s">
        <v>1372</v>
      </c>
      <c r="F8" s="309">
        <f ca="1">INDIRECT("'数据-取费表'!ai"&amp;$G$1)</f>
        <v>12</v>
      </c>
      <c r="G8" s="1567"/>
      <c r="H8" s="310"/>
      <c r="I8" s="3335"/>
      <c r="J8" s="312"/>
      <c r="K8" s="313"/>
      <c r="L8" s="308" t="s">
        <v>1372</v>
      </c>
      <c r="M8" s="309">
        <f ca="1">INDIRECT("'数据-取费表'!ai"&amp;$G$1)</f>
        <v>12</v>
      </c>
    </row>
    <row r="9" spans="1:37" ht="18" customHeight="1">
      <c r="A9" s="310"/>
      <c r="B9" s="3336"/>
      <c r="C9" s="312"/>
      <c r="D9" s="313"/>
      <c r="E9" s="308" t="s">
        <v>1373</v>
      </c>
      <c r="F9" s="318">
        <f ca="1">INDIRECT("'数据-取费表'!w"&amp;$G$1)</f>
        <v>0.1</v>
      </c>
      <c r="G9" s="1567"/>
      <c r="H9" s="310"/>
      <c r="I9" s="3336"/>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t="s">
        <v>3725</v>
      </c>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3"/>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8651</v>
      </c>
      <c r="D13" s="3042" t="s">
        <v>1380</v>
      </c>
      <c r="E13" s="3042" t="s">
        <v>1381</v>
      </c>
      <c r="F13" s="1241">
        <f ca="1">INDIRECT("'数据-取费表'!y"&amp;$G$1)</f>
        <v>0.98</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6606</v>
      </c>
      <c r="D14" s="3048" t="s">
        <v>1383</v>
      </c>
      <c r="E14" s="3047"/>
      <c r="F14" s="325"/>
      <c r="G14" s="1567"/>
      <c r="H14" s="1112" t="s">
        <v>1003</v>
      </c>
      <c r="I14" s="308" t="s">
        <v>1384</v>
      </c>
      <c r="J14" s="24">
        <f ca="1">C29</f>
        <v>8828</v>
      </c>
      <c r="K14" s="3044"/>
      <c r="L14" s="915"/>
      <c r="M14" s="916"/>
    </row>
    <row r="15" spans="1:37" s="1580" customFormat="1" ht="18" customHeight="1" thickBot="1">
      <c r="A15" s="1112" t="s">
        <v>1004</v>
      </c>
      <c r="B15" s="308" t="s">
        <v>1385</v>
      </c>
      <c r="C15" s="24">
        <f ca="1">ROUND(C14*F15,0)</f>
        <v>198</v>
      </c>
      <c r="D15" s="3043" t="s">
        <v>1386</v>
      </c>
      <c r="E15" s="3043"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211</v>
      </c>
      <c r="K16" s="1246" t="s">
        <v>1390</v>
      </c>
      <c r="L16" s="3050"/>
      <c r="M16" s="1203"/>
    </row>
    <row r="17" spans="1:37" s="1580" customFormat="1" ht="18" customHeight="1">
      <c r="A17" s="1112" t="s">
        <v>1355</v>
      </c>
      <c r="B17" s="308" t="s">
        <v>1391</v>
      </c>
      <c r="C17" s="24">
        <f ca="1">ROUND(F17*(F43+INDIRECT("'数据-取费表'!S"&amp;$G$1))/10000,0)</f>
        <v>294</v>
      </c>
      <c r="D17" s="308" t="s">
        <v>1392</v>
      </c>
      <c r="E17" s="308" t="s">
        <v>1393</v>
      </c>
      <c r="F17" s="26">
        <f>'数据-取费表'!B35</f>
        <v>200</v>
      </c>
      <c r="G17" s="1579"/>
      <c r="H17" s="1112" t="s">
        <v>1003</v>
      </c>
      <c r="I17" s="308" t="s">
        <v>1394</v>
      </c>
      <c r="J17" s="2532">
        <f ca="1">ROUND(IF(AND(项目基本情况!B11="自然人",项目基本情况!B10="北京市"),J6*M17/(1+'数据-取费表'!C42),J18+J19+J20),0)</f>
        <v>79</v>
      </c>
      <c r="K17" s="3048" t="s">
        <v>1395</v>
      </c>
      <c r="L17" s="3049"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99</v>
      </c>
      <c r="D18" s="308" t="s">
        <v>1386</v>
      </c>
      <c r="E18" s="308" t="s">
        <v>1387</v>
      </c>
      <c r="F18" s="328">
        <f>'数据-取费表'!B36</f>
        <v>1.4999999999999999E-2</v>
      </c>
      <c r="G18" s="1579"/>
      <c r="H18" s="1112" t="s">
        <v>1002</v>
      </c>
      <c r="I18" s="308" t="s">
        <v>1398</v>
      </c>
      <c r="J18" s="24">
        <f ca="1">ROUND(J6*M18/(1+'数据-取费表'!C42),2)</f>
        <v>0</v>
      </c>
      <c r="K18" s="3049"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7197</v>
      </c>
      <c r="D19" s="136" t="s">
        <v>1401</v>
      </c>
      <c r="E19" s="3052"/>
      <c r="F19" s="26"/>
      <c r="G19" s="1567"/>
      <c r="H19" s="1112" t="s">
        <v>1004</v>
      </c>
      <c r="I19" s="308" t="s">
        <v>1402</v>
      </c>
      <c r="J19" s="24">
        <f ca="1">IF(K19="按租金收入计税",ROUND(J6*M19/(1+'数据-取费表'!C42),2),ROUND(C29*M19*0.7,2))</f>
        <v>74.16</v>
      </c>
      <c r="K19" s="1553" t="s">
        <v>1403</v>
      </c>
      <c r="L19" s="308" t="s">
        <v>1387</v>
      </c>
      <c r="M19" s="328">
        <f>IF(K19="按租金收入计税",'数据-取费表'!B51,'数据-取费表'!B50)</f>
        <v>1.2E-2</v>
      </c>
    </row>
    <row r="20" spans="1:37" s="1580" customFormat="1" ht="18" customHeight="1">
      <c r="A20" s="1112" t="s">
        <v>1007</v>
      </c>
      <c r="B20" s="308" t="s">
        <v>1404</v>
      </c>
      <c r="C20" s="24">
        <f ca="1">ROUND(C19*F20,0)</f>
        <v>216</v>
      </c>
      <c r="D20" s="329" t="s">
        <v>1405</v>
      </c>
      <c r="E20" s="308" t="s">
        <v>1387</v>
      </c>
      <c r="F20" s="328">
        <f>'数据-取费表'!B37</f>
        <v>0.03</v>
      </c>
      <c r="G20" s="1579"/>
      <c r="H20" s="1112" t="s">
        <v>1354</v>
      </c>
      <c r="I20" s="160" t="s">
        <v>1406</v>
      </c>
      <c r="J20" s="25">
        <f ca="1">ROUND(M20*M21/10000,2)</f>
        <v>4.5199999999999996</v>
      </c>
      <c r="K20" s="330" t="s">
        <v>1407</v>
      </c>
      <c r="L20" s="308" t="s">
        <v>1408</v>
      </c>
      <c r="M20" s="331">
        <f>'数据-取费表'!B52</f>
        <v>20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2258.1799999999998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3052"/>
      <c r="F22" s="26"/>
      <c r="G22" s="1567"/>
      <c r="H22" s="1112" t="s">
        <v>1007</v>
      </c>
      <c r="I22" s="308" t="s">
        <v>1414</v>
      </c>
      <c r="J22" s="24">
        <f ca="1">ROUND(J14*M22,1)</f>
        <v>132.4</v>
      </c>
      <c r="K22" s="3049" t="s">
        <v>1415</v>
      </c>
      <c r="L22" s="308" t="s">
        <v>1387</v>
      </c>
      <c r="M22" s="334">
        <f ca="1">INDIRECT("'数据-取费表'!Ak"&amp;$G$1)</f>
        <v>1.4999999999999999E-2</v>
      </c>
    </row>
    <row r="23" spans="1:37" s="1580" customFormat="1" ht="18" customHeight="1">
      <c r="A23" s="1112" t="s">
        <v>1002</v>
      </c>
      <c r="B23" s="308" t="s">
        <v>1416</v>
      </c>
      <c r="C23" s="24">
        <f ca="1">IF('数据-取费表'!B22&lt;=1,ROUND(C19*F24*F23/2,0)+ROUND(C20*F24*F23/2,0),ROUND(C19*(POWER((1+F24),F23/2)-1),0)+ROUND(C20*(POWER((1+F24),F23/2)-1),0))</f>
        <v>285</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3049"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8" t="s">
        <v>1357</v>
      </c>
      <c r="I24" s="1249" t="s">
        <v>1404</v>
      </c>
      <c r="J24" s="1250">
        <f ca="1">ROUND(J5*M24,1)</f>
        <v>0</v>
      </c>
      <c r="K24" s="1251" t="s">
        <v>1424</v>
      </c>
      <c r="L24" s="1249" t="s">
        <v>1387</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3052"/>
      <c r="F25" s="26"/>
      <c r="G25" s="1567"/>
      <c r="H25" s="1238" t="s">
        <v>999</v>
      </c>
      <c r="I25" s="1253" t="s">
        <v>1428</v>
      </c>
      <c r="J25" s="316">
        <f ca="1">J5-J16</f>
        <v>-211</v>
      </c>
      <c r="K25" s="1254" t="s">
        <v>1429</v>
      </c>
      <c r="L25" s="1255"/>
      <c r="M25" s="1256"/>
    </row>
    <row r="26" spans="1:37">
      <c r="A26" s="1112" t="s">
        <v>1002</v>
      </c>
      <c r="B26" s="308" t="s">
        <v>1430</v>
      </c>
      <c r="C26" s="24">
        <f ca="1">ROUND((C19+C20)*F26,0)</f>
        <v>371</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2" t="s">
        <v>1004</v>
      </c>
      <c r="B27" s="308" t="s">
        <v>1436</v>
      </c>
      <c r="C27" s="24">
        <f ca="1">ROUND(F21*F26,4)</f>
        <v>1.5E-3</v>
      </c>
      <c r="D27" s="329" t="s">
        <v>1437</v>
      </c>
      <c r="E27" s="3043"/>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8828</v>
      </c>
      <c r="D29" s="1251"/>
      <c r="E29" s="1249"/>
      <c r="F29" s="1252"/>
      <c r="G29" s="1579"/>
      <c r="H29" s="340" t="s">
        <v>1001</v>
      </c>
      <c r="I29" s="341" t="s">
        <v>1444</v>
      </c>
      <c r="J29" s="342">
        <f ca="1">ROUND(J26/(1+F40)^F41,0)</f>
        <v>0</v>
      </c>
      <c r="K29" s="343" t="s">
        <v>1445</v>
      </c>
      <c r="L29" s="344"/>
      <c r="M29" s="345">
        <f ca="1">INDIRECT("'数据-取费表'!k"&amp;$G$1)</f>
        <v>14680.529999999908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269</v>
      </c>
      <c r="D30" s="1246" t="s">
        <v>1390</v>
      </c>
      <c r="E30" s="3050"/>
      <c r="F30" s="1203"/>
      <c r="G30" s="1567"/>
      <c r="H30" s="2924"/>
      <c r="I30" s="1581"/>
      <c r="J30" s="1582"/>
      <c r="K30" s="2699"/>
      <c r="L30" s="2925"/>
      <c r="M30" s="2926"/>
    </row>
    <row r="31" spans="1:37" ht="18" customHeight="1">
      <c r="A31" s="1112" t="s">
        <v>1003</v>
      </c>
      <c r="B31" s="308" t="s">
        <v>1394</v>
      </c>
      <c r="C31" s="2532">
        <f ca="1">ROUND(IF(AND(项目基本情况!B11="自然人",项目基本情况!B10="北京市"),C6*F31/(1+'数据-取费表'!C42),C32+C33+C34),0)</f>
        <v>111</v>
      </c>
      <c r="D31" s="3048" t="s">
        <v>1395</v>
      </c>
      <c r="E31" s="3049" t="s">
        <v>1446</v>
      </c>
      <c r="F31" s="2531" t="str">
        <f>IF(项目基本情况!B11="企业","——",IF('数据-取费表'!B10="住宅",IF(F6*F7*F8/12/(1+'数据-取费表'!F30)&gt;100000,4%,2.5%),IF(F6*F7*F8/12/(1+'数据-取费表'!F30)&gt;100000,12%,7%)))</f>
        <v>——</v>
      </c>
      <c r="G31" s="1567"/>
      <c r="H31" s="3037" t="s">
        <v>3057</v>
      </c>
      <c r="I31" s="1581"/>
      <c r="J31" s="1582"/>
      <c r="K31" s="2699"/>
      <c r="L31" s="2925"/>
      <c r="M31" s="2926"/>
    </row>
    <row r="32" spans="1:37" ht="18" customHeight="1">
      <c r="A32" s="1112" t="s">
        <v>1002</v>
      </c>
      <c r="B32" s="308" t="s">
        <v>1398</v>
      </c>
      <c r="C32" s="24">
        <f ca="1">IF(项目基本情况!B11="自然人","——",ROUND(C6*F32/(1+'数据-取费表'!C42),2))</f>
        <v>33.81</v>
      </c>
      <c r="D32" s="3049" t="s">
        <v>1399</v>
      </c>
      <c r="E32" s="308" t="s">
        <v>1387</v>
      </c>
      <c r="F32" s="337">
        <f>'数据-取费表'!B41</f>
        <v>5.6000000000000001E-2</v>
      </c>
      <c r="G32" s="1567"/>
      <c r="H32" s="2924"/>
      <c r="I32" s="1581"/>
      <c r="J32" s="1582"/>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72.459999999999994</v>
      </c>
      <c r="D33" s="1553" t="s">
        <v>3669</v>
      </c>
      <c r="E33" s="308" t="s">
        <v>1387</v>
      </c>
      <c r="F33" s="328">
        <f>IF(D33="按票据","——",IF(D33="按租金收入计税",'数据-取费表'!B51,'数据-取费表'!B50))</f>
        <v>0.12</v>
      </c>
      <c r="G33" s="1567"/>
      <c r="H33" s="2927"/>
      <c r="I33" s="1581"/>
      <c r="J33" s="1582"/>
      <c r="K33" s="2928"/>
      <c r="L33" s="2927"/>
      <c r="M33" s="2927"/>
    </row>
    <row r="34" spans="1:18" ht="18" customHeight="1">
      <c r="A34" s="1200" t="s">
        <v>1354</v>
      </c>
      <c r="B34" s="160" t="s">
        <v>1406</v>
      </c>
      <c r="C34" s="25">
        <f ca="1">IF(项目基本情况!B11="自然人","——",ROUND(F34*F35/10000,2))</f>
        <v>4.5199999999999996</v>
      </c>
      <c r="D34" s="330" t="s">
        <v>1407</v>
      </c>
      <c r="E34" s="308" t="s">
        <v>1408</v>
      </c>
      <c r="F34" s="331">
        <f>'数据-取费表'!B52</f>
        <v>20</v>
      </c>
      <c r="G34" s="1567"/>
      <c r="H34" s="2924"/>
      <c r="I34" s="1581"/>
      <c r="J34" s="1582"/>
      <c r="K34" s="2929"/>
      <c r="L34" s="2930"/>
      <c r="M34" s="2930"/>
    </row>
    <row r="35" spans="1:18" ht="18" customHeight="1">
      <c r="A35" s="1262"/>
      <c r="B35" s="1260"/>
      <c r="C35" s="29"/>
      <c r="D35" s="333"/>
      <c r="E35" s="308" t="s">
        <v>1412</v>
      </c>
      <c r="F35" s="309">
        <f ca="1">INDIRECT("'数据-取费表'!r"&amp;$G$1)</f>
        <v>2258.1799999999998</v>
      </c>
      <c r="G35" s="1567"/>
      <c r="H35" s="2924"/>
      <c r="I35" s="1581"/>
      <c r="J35" s="1582"/>
      <c r="K35" s="2928"/>
      <c r="L35" s="2927"/>
      <c r="M35" s="2927"/>
    </row>
    <row r="36" spans="1:18" ht="18" customHeight="1">
      <c r="A36" s="1261" t="s">
        <v>1007</v>
      </c>
      <c r="B36" s="308" t="s">
        <v>1414</v>
      </c>
      <c r="C36" s="24">
        <f ca="1">ROUND(C29*F36,1)</f>
        <v>132.4</v>
      </c>
      <c r="D36" s="3049" t="s">
        <v>1447</v>
      </c>
      <c r="E36" s="308" t="s">
        <v>1387</v>
      </c>
      <c r="F36" s="334">
        <f ca="1">INDIRECT("'数据-取费表'!Ak"&amp;$G$1)</f>
        <v>1.4999999999999999E-2</v>
      </c>
      <c r="G36" s="1567"/>
      <c r="H36" s="2927"/>
      <c r="I36" s="1581"/>
      <c r="J36" s="1582"/>
      <c r="K36" s="2768"/>
      <c r="L36" s="2927"/>
      <c r="M36" s="2927"/>
    </row>
    <row r="37" spans="1:18" ht="18" customHeight="1">
      <c r="A37" s="1112" t="s">
        <v>1043</v>
      </c>
      <c r="B37" s="308" t="s">
        <v>1418</v>
      </c>
      <c r="C37" s="24">
        <f ca="1">ROUND(C13*F37,1)</f>
        <v>13</v>
      </c>
      <c r="D37" s="3049" t="s">
        <v>1419</v>
      </c>
      <c r="E37" s="308" t="s">
        <v>1387</v>
      </c>
      <c r="F37" s="336">
        <f ca="1">INDIRECT("'数据-取费表'!Al"&amp;$G$1)</f>
        <v>1.5E-3</v>
      </c>
      <c r="G37" s="1567"/>
      <c r="H37" s="2927"/>
      <c r="I37" s="1581"/>
      <c r="J37" s="1582"/>
      <c r="K37" s="2768"/>
      <c r="L37" s="2927"/>
      <c r="M37" s="2927"/>
    </row>
    <row r="38" spans="1:18" ht="18" customHeight="1" thickBot="1">
      <c r="A38" s="1248" t="s">
        <v>1357</v>
      </c>
      <c r="B38" s="1249" t="s">
        <v>1404</v>
      </c>
      <c r="C38" s="1250">
        <f ca="1">ROUND(C5*F38,1)</f>
        <v>12.7</v>
      </c>
      <c r="D38" s="1251" t="s">
        <v>1424</v>
      </c>
      <c r="E38" s="1249" t="s">
        <v>1387</v>
      </c>
      <c r="F38" s="1245">
        <f ca="1">INDIRECT("'数据-取费表'!Am"&amp;$G$1)</f>
        <v>0.02</v>
      </c>
      <c r="G38" s="1567"/>
      <c r="H38" s="2927"/>
      <c r="I38" s="1581"/>
      <c r="J38" s="1582"/>
      <c r="K38" s="2931"/>
      <c r="L38" s="2927"/>
      <c r="M38" s="2927"/>
    </row>
    <row r="39" spans="1:18" ht="24.6" customHeight="1" thickTop="1">
      <c r="A39" s="1238" t="s">
        <v>999</v>
      </c>
      <c r="B39" s="1253" t="s">
        <v>1428</v>
      </c>
      <c r="C39" s="316">
        <f ca="1">C5-C30</f>
        <v>365</v>
      </c>
      <c r="D39" s="1254" t="s">
        <v>1429</v>
      </c>
      <c r="E39" s="1255"/>
      <c r="F39" s="1256"/>
      <c r="G39" s="1567"/>
      <c r="H39" s="2927"/>
      <c r="I39" s="1581"/>
      <c r="J39" s="1582"/>
      <c r="K39" s="2931"/>
      <c r="L39" s="2927"/>
      <c r="M39" s="2927"/>
    </row>
    <row r="40" spans="1:18" ht="18" customHeight="1">
      <c r="A40" s="305" t="s">
        <v>1000</v>
      </c>
      <c r="B40" s="306" t="s">
        <v>1450</v>
      </c>
      <c r="C40" s="307">
        <f ca="1">ROUND(C39*(1-((1+F42)/(1+F40))^F41)/(F40-F42),0)</f>
        <v>11104</v>
      </c>
      <c r="D40" s="330" t="s">
        <v>1434</v>
      </c>
      <c r="E40" s="308" t="s">
        <v>1435</v>
      </c>
      <c r="F40" s="318">
        <f ca="1">INDIRECT("'数据-取费表'!I"&amp;$G$1)</f>
        <v>4.4999999999999998E-2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42.15</v>
      </c>
      <c r="G41" s="1567"/>
      <c r="H41" s="1351"/>
      <c r="I41" s="1581"/>
      <c r="J41" s="1582"/>
      <c r="K41" s="2768"/>
      <c r="L41" s="1351"/>
      <c r="M41" s="1351"/>
    </row>
    <row r="42" spans="1:18" ht="18" customHeight="1">
      <c r="A42" s="314"/>
      <c r="B42" s="315"/>
      <c r="C42" s="316"/>
      <c r="D42" s="333"/>
      <c r="E42" s="308" t="s">
        <v>1442</v>
      </c>
      <c r="F42" s="318">
        <f ca="1">INDIRECT("'数据-取费表'!v"&amp;$G$1)</f>
        <v>0.03</v>
      </c>
      <c r="G42" s="1567"/>
      <c r="H42" s="1351"/>
      <c r="I42" s="1581"/>
      <c r="J42" s="1582"/>
      <c r="K42" s="2768"/>
      <c r="L42" s="1351"/>
      <c r="M42" s="1351"/>
    </row>
    <row r="43" spans="1:18" ht="18" customHeight="1" thickBot="1">
      <c r="A43" s="340" t="s">
        <v>1001</v>
      </c>
      <c r="B43" s="341" t="s">
        <v>1452</v>
      </c>
      <c r="C43" s="342">
        <f ca="1">ROUND(C40*10000/F43,0)</f>
        <v>7564</v>
      </c>
      <c r="D43" s="343" t="s">
        <v>1453</v>
      </c>
      <c r="E43" s="344" t="s">
        <v>1454</v>
      </c>
      <c r="F43" s="345">
        <f ca="1">INDIRECT("'数据-取费表'!k"&amp;$G$1)</f>
        <v>14680.529999999908</v>
      </c>
      <c r="G43" s="1567"/>
      <c r="H43" s="1351"/>
      <c r="I43" s="1351"/>
      <c r="J43" s="1351"/>
      <c r="K43" s="2768"/>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-27807</v>
      </c>
      <c r="D46" s="1589" t="str">
        <f>C2</f>
        <v>万元</v>
      </c>
      <c r="E46" s="1583"/>
      <c r="F46" s="1583"/>
      <c r="I46" s="1590" t="s">
        <v>1486</v>
      </c>
      <c r="J46" s="1591"/>
      <c r="K46" s="1592"/>
      <c r="L46" s="1593">
        <f ca="1">IF(M47="住宅",0,IF(L48&gt;J51,L60,J60))</f>
        <v>93</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1"/>
      <c r="I47" s="1597" t="s">
        <v>1491</v>
      </c>
      <c r="J47" s="1598" t="s">
        <v>3670</v>
      </c>
      <c r="K47" s="1599" t="s">
        <v>1492</v>
      </c>
      <c r="L47" s="1600">
        <f ca="1">INDIRECT("'数据-取费表'!d"&amp;$G$1)</f>
        <v>50</v>
      </c>
      <c r="M47" s="1563" t="str">
        <f>IF(ISNUMBER(FIND("住宅",C1)),"住宅","非住宅")</f>
        <v>非住宅</v>
      </c>
      <c r="O47" s="1601" t="s">
        <v>1008</v>
      </c>
      <c r="P47" s="1602" t="s">
        <v>1493</v>
      </c>
      <c r="Q47" s="1603">
        <f ca="1">C40+J29</f>
        <v>11104</v>
      </c>
      <c r="R47" s="1603" t="s">
        <v>1494</v>
      </c>
    </row>
    <row r="48" spans="1:18" s="1567" customFormat="1" ht="28.5" thickBot="1">
      <c r="A48" s="1269" t="s">
        <v>1103</v>
      </c>
      <c r="B48" s="306" t="s">
        <v>1366</v>
      </c>
      <c r="C48" s="3051">
        <f ca="1">C49+C53+C55</f>
        <v>0</v>
      </c>
      <c r="D48" s="1271"/>
      <c r="E48" s="1272"/>
      <c r="F48" s="1092"/>
      <c r="G48" s="731"/>
      <c r="H48" s="732"/>
      <c r="I48" s="1604" t="s">
        <v>1495</v>
      </c>
      <c r="J48" s="1605" t="s">
        <v>3671</v>
      </c>
      <c r="K48" s="1606" t="s">
        <v>1496</v>
      </c>
      <c r="L48" s="1607">
        <f ca="1">INDIRECT("'数据-取费表'!f"&amp;$G$1)</f>
        <v>42.15</v>
      </c>
      <c r="O48" s="1601" t="s">
        <v>1009</v>
      </c>
      <c r="P48" s="1602" t="s">
        <v>1497</v>
      </c>
      <c r="Q48" s="1603">
        <f ca="1">J60</f>
        <v>93</v>
      </c>
      <c r="R48" s="1603" t="s">
        <v>1498</v>
      </c>
    </row>
    <row r="49" spans="1:18" s="1567" customFormat="1" ht="13.5" thickBot="1">
      <c r="A49" s="1105" t="s">
        <v>1104</v>
      </c>
      <c r="B49" s="1554" t="s">
        <v>1455</v>
      </c>
      <c r="C49" s="1273">
        <f ca="1">ROUND(F49*F51*F50*(1-F52)/10000,0)</f>
        <v>0</v>
      </c>
      <c r="D49" s="1185" t="s">
        <v>2849</v>
      </c>
      <c r="E49" s="1555" t="s">
        <v>1456</v>
      </c>
      <c r="F49" s="1190"/>
      <c r="G49" s="1608"/>
      <c r="H49" s="732"/>
      <c r="I49" s="1604" t="s">
        <v>1499</v>
      </c>
      <c r="J49" s="1609">
        <v>2020</v>
      </c>
      <c r="K49" s="1606" t="s">
        <v>1500</v>
      </c>
      <c r="L49" s="1610"/>
      <c r="O49" s="1611" t="s">
        <v>1010</v>
      </c>
      <c r="P49" s="1602" t="s">
        <v>1501</v>
      </c>
      <c r="Q49" s="1603">
        <f ca="1">C29</f>
        <v>8828</v>
      </c>
      <c r="R49" s="1603" t="s">
        <v>1494</v>
      </c>
    </row>
    <row r="50" spans="1:18" s="1567" customFormat="1" ht="13.5" thickBot="1">
      <c r="A50" s="1106"/>
      <c r="B50" s="1109"/>
      <c r="C50" s="1277"/>
      <c r="D50" s="1083"/>
      <c r="E50" s="1186" t="s">
        <v>1371</v>
      </c>
      <c r="F50" s="1187">
        <f ca="1">F7</f>
        <v>326</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7"/>
      <c r="B51" s="1109"/>
      <c r="C51" s="1110"/>
      <c r="D51" s="1083"/>
      <c r="E51" s="1111" t="s">
        <v>1372</v>
      </c>
      <c r="F51" s="309">
        <f ca="1">F8</f>
        <v>12</v>
      </c>
      <c r="I51" s="1615" t="s">
        <v>1505</v>
      </c>
      <c r="J51" s="1616">
        <f>IF(J49="",J50,J49+J50-YEAR('数据-取费表'!B2))</f>
        <v>59</v>
      </c>
      <c r="K51" s="1617" t="s">
        <v>1506</v>
      </c>
      <c r="L51" s="1618">
        <f ca="1">ROUND(-PV(INDIRECT("'数据-取费表'!h"&amp;$G$1),J51,(C39-C13*C76),0),0)</f>
        <v>-8343</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42.15</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4">
        <f ca="1">IF(M47="住宅",IF(D1="——",MAX(J51,L48),MAX(J51,L48-'数据-取费表'!B24)),IF(D1="——",MIN(J51,L48),MIN(J51,L48-'数据-取费表'!B24)))</f>
        <v>42.15</v>
      </c>
      <c r="K53" s="3332" t="s">
        <v>1513</v>
      </c>
      <c r="L53" s="3333"/>
      <c r="O53" s="1601" t="s">
        <v>1014</v>
      </c>
      <c r="P53" s="1602" t="s">
        <v>1514</v>
      </c>
      <c r="Q53" s="1603">
        <f ca="1">Q47+Q48</f>
        <v>11197</v>
      </c>
      <c r="R53" s="1603" t="s">
        <v>1015</v>
      </c>
    </row>
    <row r="54" spans="1:18" s="1567" customFormat="1" ht="13.5" thickBot="1">
      <c r="A54" s="1314"/>
      <c r="B54" s="1550" t="s">
        <v>1353</v>
      </c>
      <c r="C54" s="1089"/>
      <c r="D54" s="1549"/>
      <c r="E54" s="3046"/>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46"/>
      <c r="F55" s="1623"/>
      <c r="I55" s="1626" t="s">
        <v>1516</v>
      </c>
      <c r="J55" s="1627">
        <f ca="1">ROUND(IF(J47="钢混",J57/J50,1-(1-2%)*(J50-J57)/J50),3)</f>
        <v>0.28100000000000003</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8651</v>
      </c>
      <c r="D56" s="1630"/>
      <c r="E56" s="1631"/>
      <c r="F56" s="1623"/>
      <c r="I56" s="1632" t="s">
        <v>1519</v>
      </c>
      <c r="J56" s="1633" t="s">
        <v>3672</v>
      </c>
      <c r="K56" s="1604" t="s">
        <v>1520</v>
      </c>
      <c r="L56" s="1607" t="str">
        <f ca="1">IF(L48&lt;J51,"——",L48-J53)</f>
        <v>——</v>
      </c>
      <c r="O56" s="1601" t="s">
        <v>1008</v>
      </c>
      <c r="P56" s="1602" t="s">
        <v>1493</v>
      </c>
      <c r="Q56" s="1603">
        <f ca="1">C40+J29</f>
        <v>11104</v>
      </c>
      <c r="R56" s="1603" t="s">
        <v>1494</v>
      </c>
    </row>
    <row r="57" spans="1:18" s="1567" customFormat="1" ht="24.75" thickBot="1">
      <c r="A57" s="1634"/>
      <c r="B57" s="1080" t="s">
        <v>1443</v>
      </c>
      <c r="C57" s="244">
        <f ca="1">C29</f>
        <v>8828</v>
      </c>
      <c r="D57" s="1635"/>
      <c r="E57" s="1636"/>
      <c r="F57" s="1637"/>
      <c r="I57" s="1638" t="s">
        <v>1521</v>
      </c>
      <c r="J57" s="1639">
        <f ca="1">IF(OR(M47="住宅",J51&lt;L48,J56="是"),"——",J51-L48)</f>
        <v>16.850000000000001</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8" t="s">
        <v>1389</v>
      </c>
      <c r="C58" s="322">
        <f ca="1">ROUND(C59+C64+C65+C66,0)</f>
        <v>891</v>
      </c>
      <c r="D58" s="1090" t="s">
        <v>1390</v>
      </c>
      <c r="E58" s="1091"/>
      <c r="F58" s="1092"/>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2">
        <f ca="1">ROUND(IF(AND(项目基本情况!B11="自然人",项目基本情况!B10="北京市"),C49*F59/(1+'数据-取费表'!C42),C60+C61+C62),0)</f>
        <v>746</v>
      </c>
      <c r="D59" s="1093" t="s">
        <v>1395</v>
      </c>
      <c r="E59" s="1094" t="s">
        <v>1396</v>
      </c>
      <c r="F59" s="2531" t="str">
        <f>IF(项目基本情况!B11="企业","——",IF('数据-取费表'!B10="住宅",IF(F49*F50*F51/12/(1+'数据-取费表'!F30)&gt;100000,4%,2.5%),IF(F49*F50*F51/12/(1+'数据-取费表'!F30)&gt;100000,12%,7%)))</f>
        <v>——</v>
      </c>
      <c r="I59" s="1638" t="s">
        <v>1528</v>
      </c>
      <c r="J59" s="1639">
        <f ca="1">IF(OR(M47="住宅",J51&lt;L48,J56="是"),"——",ROUND(C29*J58,0))</f>
        <v>3531</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1" t="s">
        <v>1530</v>
      </c>
      <c r="J60" s="1642">
        <f ca="1">IF(OR(M47="住宅",J51&lt;L48,J56="是"),"0",ROUND(J59/(1+J52)^J53,0))</f>
        <v>93</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1402</v>
      </c>
      <c r="C61" s="24">
        <f ca="1">IF(项目基本情况!B11="自然人","——",IF(D61="按租金收入计税",ROUND(C48*F61,2),IF(D61="按房产原值计税",ROUND(C57*F61*0.7,2),INDIRECT("'数据-取费表'!Aj"&amp;$G$1))))</f>
        <v>741.55</v>
      </c>
      <c r="D61" s="1553" t="s">
        <v>1403</v>
      </c>
      <c r="E61" s="1080"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1406</v>
      </c>
      <c r="C62" s="25">
        <f ca="1">IF(项目基本情况!B11="自然人","——",ROUND(F62*F63/10000,2))</f>
        <v>4.5199999999999996</v>
      </c>
      <c r="D62" s="1095" t="s">
        <v>1407</v>
      </c>
      <c r="E62" s="1080" t="s">
        <v>1408</v>
      </c>
      <c r="F62" s="331">
        <f t="shared" si="0"/>
        <v>20</v>
      </c>
      <c r="I62" s="1645" t="s">
        <v>1535</v>
      </c>
      <c r="J62" s="1646" t="s">
        <v>1536</v>
      </c>
      <c r="K62" s="1646" t="s">
        <v>1537</v>
      </c>
      <c r="L62" s="1646" t="s">
        <v>1538</v>
      </c>
      <c r="M62" s="1647" t="s">
        <v>1539</v>
      </c>
      <c r="O62" s="1601" t="s">
        <v>1014</v>
      </c>
      <c r="P62" s="1602" t="s">
        <v>1514</v>
      </c>
      <c r="Q62" s="1603">
        <f ca="1">Q56+Q57</f>
        <v>11104</v>
      </c>
      <c r="R62" s="1603" t="s">
        <v>1015</v>
      </c>
    </row>
    <row r="63" spans="1:18" s="1567" customFormat="1" ht="13.5" thickBot="1">
      <c r="A63" s="332"/>
      <c r="B63" s="1086"/>
      <c r="C63" s="29"/>
      <c r="D63" s="1096"/>
      <c r="E63" s="1080" t="s">
        <v>1412</v>
      </c>
      <c r="F63" s="309">
        <f t="shared" ca="1" si="0"/>
        <v>2258.1799999999998</v>
      </c>
      <c r="I63" s="1645" t="s">
        <v>1541</v>
      </c>
      <c r="J63" s="1646">
        <v>70</v>
      </c>
      <c r="K63" s="1646">
        <v>50</v>
      </c>
      <c r="L63" s="1646">
        <v>80</v>
      </c>
      <c r="M63" s="1648">
        <v>0.02</v>
      </c>
      <c r="O63" s="1586" t="s">
        <v>1542</v>
      </c>
      <c r="P63" s="1564"/>
      <c r="Q63" s="1564"/>
      <c r="R63" s="1564"/>
    </row>
    <row r="64" spans="1:18" s="1567" customFormat="1" ht="13.5" thickBot="1">
      <c r="A64" s="1112" t="s">
        <v>1007</v>
      </c>
      <c r="B64" s="1080" t="s">
        <v>1414</v>
      </c>
      <c r="C64" s="24">
        <f ca="1">ROUND(C57*F64,1)</f>
        <v>132.4</v>
      </c>
      <c r="D64" s="1094" t="s">
        <v>1447</v>
      </c>
      <c r="E64" s="1080"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13</v>
      </c>
      <c r="D65" s="1094" t="s">
        <v>1419</v>
      </c>
      <c r="E65" s="1080" t="s">
        <v>1387</v>
      </c>
      <c r="F65" s="336">
        <f t="shared" ca="1" si="0"/>
        <v>1.5E-3</v>
      </c>
      <c r="I65" s="1645" t="s">
        <v>1544</v>
      </c>
      <c r="J65" s="1646">
        <v>40</v>
      </c>
      <c r="K65" s="1646">
        <v>30</v>
      </c>
      <c r="L65" s="1646">
        <v>50</v>
      </c>
      <c r="M65" s="1648">
        <v>0.02</v>
      </c>
      <c r="O65" s="1601" t="s">
        <v>1008</v>
      </c>
      <c r="P65" s="1602" t="s">
        <v>1493</v>
      </c>
      <c r="Q65" s="1603">
        <f ca="1">C40+J29</f>
        <v>11104</v>
      </c>
      <c r="R65" s="1603" t="s">
        <v>1494</v>
      </c>
    </row>
    <row r="66" spans="1:18" s="1567" customFormat="1" ht="16.5" thickBot="1">
      <c r="A66" s="1112" t="s">
        <v>1469</v>
      </c>
      <c r="B66" s="1080" t="s">
        <v>1404</v>
      </c>
      <c r="C66" s="24">
        <f ca="1">ROUND(C48*F66,1)</f>
        <v>0</v>
      </c>
      <c r="D66" s="1094" t="s">
        <v>1424</v>
      </c>
      <c r="E66" s="1080" t="s">
        <v>1387</v>
      </c>
      <c r="F66" s="318">
        <f t="shared" ca="1" si="0"/>
        <v>0.02</v>
      </c>
      <c r="O66" s="1601" t="s">
        <v>1009</v>
      </c>
      <c r="P66" s="1602" t="s">
        <v>1523</v>
      </c>
      <c r="Q66" s="1603">
        <f ca="1">L60</f>
        <v>0</v>
      </c>
      <c r="R66" s="1603" t="s">
        <v>1546</v>
      </c>
    </row>
    <row r="67" spans="1:18" s="1567" customFormat="1" ht="16.5" thickBot="1">
      <c r="A67" s="1087" t="s">
        <v>999</v>
      </c>
      <c r="B67" s="1097" t="s">
        <v>1428</v>
      </c>
      <c r="C67" s="322">
        <f ca="1">C48-C58</f>
        <v>-891</v>
      </c>
      <c r="D67" s="1093" t="s">
        <v>1429</v>
      </c>
      <c r="E67" s="1098"/>
      <c r="F67" s="1099"/>
      <c r="O67" s="1611" t="s">
        <v>1010</v>
      </c>
      <c r="P67" s="1602" t="s">
        <v>1527</v>
      </c>
      <c r="Q67" s="1649">
        <f ca="1">L51</f>
        <v>-8343</v>
      </c>
      <c r="R67" s="1603" t="s">
        <v>1547</v>
      </c>
    </row>
    <row r="68" spans="1:18" s="1567" customFormat="1" ht="16.5" thickBot="1">
      <c r="A68" s="1077" t="s">
        <v>1000</v>
      </c>
      <c r="B68" s="1078" t="s">
        <v>1450</v>
      </c>
      <c r="C68" s="307">
        <f ca="1">ROUND(C67*(1-((1+F70)/(1+F68))^F69)/(F68-F70),0)</f>
        <v>-16703</v>
      </c>
      <c r="D68" s="1095" t="s">
        <v>1434</v>
      </c>
      <c r="E68" s="1080" t="s">
        <v>1435</v>
      </c>
      <c r="F68" s="318">
        <f ca="1">F40</f>
        <v>4.4999999999999998E-2</v>
      </c>
      <c r="O68" s="1611" t="s">
        <v>1011</v>
      </c>
      <c r="P68" s="1650" t="s">
        <v>1548</v>
      </c>
      <c r="Q68" s="1603">
        <f ca="1">ROUND(Q69-Q70*Q71,0)</f>
        <v>-370</v>
      </c>
      <c r="R68" s="1603" t="s">
        <v>1019</v>
      </c>
    </row>
    <row r="69" spans="1:18" s="1567" customFormat="1" ht="13.5" thickBot="1">
      <c r="A69" s="1081"/>
      <c r="B69" s="1082"/>
      <c r="C69" s="312"/>
      <c r="D69" s="1100" t="s">
        <v>1438</v>
      </c>
      <c r="E69" s="1080" t="s">
        <v>1439</v>
      </c>
      <c r="F69" s="339">
        <f ca="1">F41</f>
        <v>42.15</v>
      </c>
      <c r="O69" s="1611" t="s">
        <v>1016</v>
      </c>
      <c r="P69" s="1650" t="s">
        <v>1549</v>
      </c>
      <c r="Q69" s="1603">
        <f ca="1">C39</f>
        <v>365</v>
      </c>
      <c r="R69" s="1603" t="s">
        <v>1494</v>
      </c>
    </row>
    <row r="70" spans="1:18" s="1567" customFormat="1" ht="13.5" thickBot="1">
      <c r="A70" s="1084"/>
      <c r="B70" s="1085"/>
      <c r="C70" s="316"/>
      <c r="D70" s="1096"/>
      <c r="E70" s="1080" t="s">
        <v>1442</v>
      </c>
      <c r="F70" s="1184"/>
      <c r="O70" s="1611" t="s">
        <v>1017</v>
      </c>
      <c r="P70" s="1650" t="s">
        <v>1550</v>
      </c>
      <c r="Q70" s="1603">
        <f ca="1">C13</f>
        <v>8651</v>
      </c>
      <c r="R70" s="1603" t="s">
        <v>1494</v>
      </c>
    </row>
    <row r="71" spans="1:18" s="1567" customFormat="1" ht="13.5" thickBot="1">
      <c r="A71" s="1101" t="s">
        <v>1001</v>
      </c>
      <c r="B71" s="1102" t="s">
        <v>1452</v>
      </c>
      <c r="C71" s="342">
        <f ca="1">ROUND(C68*10000/F71,0)</f>
        <v>-11378</v>
      </c>
      <c r="D71" s="1103" t="s">
        <v>1453</v>
      </c>
      <c r="E71" s="1104" t="s">
        <v>1454</v>
      </c>
      <c r="F71" s="345">
        <f ca="1">F43</f>
        <v>14680.529999999908</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735</v>
      </c>
      <c r="D75" s="1567"/>
      <c r="E75" s="1567"/>
      <c r="F75" s="1567"/>
      <c r="K75" s="1585"/>
      <c r="L75" s="1567"/>
      <c r="O75" s="1601" t="s">
        <v>1014</v>
      </c>
      <c r="P75" s="1602" t="s">
        <v>1514</v>
      </c>
      <c r="Q75" s="1603">
        <f ca="1">Q65+Q66</f>
        <v>11104</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-1.0139999999999998</v>
      </c>
    </row>
    <row r="80" spans="1:18">
      <c r="B80" s="346" t="s">
        <v>1476</v>
      </c>
      <c r="C80" s="280">
        <f ca="1">ROUND(C75/C39,3)</f>
        <v>2.0139999999999998</v>
      </c>
    </row>
    <row r="81" spans="2:3">
      <c r="B81" s="276" t="s">
        <v>1477</v>
      </c>
      <c r="C81" s="244"/>
    </row>
    <row r="82" spans="2:3">
      <c r="B82" s="279" t="s">
        <v>1478</v>
      </c>
      <c r="C82" s="281">
        <f ca="1">1-C83</f>
        <v>0.22099999999999997</v>
      </c>
    </row>
    <row r="83" spans="2:3">
      <c r="B83" s="279" t="s">
        <v>1479</v>
      </c>
      <c r="C83" s="280">
        <f ca="1">ROUND(C13/C40,3)</f>
        <v>0.77900000000000003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32" sqref="K32"/>
    </sheetView>
  </sheetViews>
  <sheetFormatPr defaultRowHeight="13.5"/>
  <cols>
    <col min="1" max="1" width="20.5" customWidth="1"/>
    <col min="6" max="6" width="29.125" customWidth="1"/>
  </cols>
  <sheetData>
    <row r="1" spans="1:13">
      <c r="A1" s="3083" t="s">
        <v>3600</v>
      </c>
      <c r="B1" s="3083" t="s">
        <v>3601</v>
      </c>
      <c r="C1" s="3083" t="s">
        <v>3602</v>
      </c>
      <c r="D1" s="3083" t="s">
        <v>3603</v>
      </c>
      <c r="E1" s="3083" t="s">
        <v>3604</v>
      </c>
      <c r="F1" s="3083" t="s">
        <v>3605</v>
      </c>
      <c r="G1" s="3083" t="s">
        <v>3606</v>
      </c>
      <c r="H1" s="3083" t="s">
        <v>3607</v>
      </c>
      <c r="I1" s="3083" t="s">
        <v>3608</v>
      </c>
      <c r="J1" s="3083" t="s">
        <v>3609</v>
      </c>
      <c r="K1" s="3083" t="s">
        <v>3610</v>
      </c>
      <c r="L1" s="3083" t="s">
        <v>3611</v>
      </c>
      <c r="M1" s="3083" t="s">
        <v>3612</v>
      </c>
    </row>
    <row r="2" spans="1:13" s="3085" customFormat="1">
      <c r="A2" s="3084" t="s">
        <v>3613</v>
      </c>
      <c r="B2" s="3084" t="s">
        <v>3614</v>
      </c>
      <c r="C2" s="3084" t="s">
        <v>3615</v>
      </c>
      <c r="D2" s="3084">
        <v>12725</v>
      </c>
      <c r="E2" s="3084">
        <v>110932</v>
      </c>
      <c r="F2" s="3084" t="s">
        <v>3616</v>
      </c>
      <c r="G2" s="3084" t="s">
        <v>3617</v>
      </c>
      <c r="H2" s="3084" t="s">
        <v>3618</v>
      </c>
      <c r="I2" s="3084" t="s">
        <v>3619</v>
      </c>
      <c r="J2" s="3084">
        <v>389300</v>
      </c>
      <c r="K2" s="3084">
        <v>389300</v>
      </c>
      <c r="L2" s="3084">
        <v>35093.56</v>
      </c>
      <c r="M2" s="3084">
        <v>0</v>
      </c>
    </row>
    <row r="3" spans="1:13">
      <c r="A3" s="3083" t="s">
        <v>3620</v>
      </c>
      <c r="B3" s="3083" t="s">
        <v>3614</v>
      </c>
      <c r="C3" s="3083" t="s">
        <v>3615</v>
      </c>
      <c r="D3" s="3083">
        <v>4672.3</v>
      </c>
      <c r="E3" s="3083">
        <v>2336.15</v>
      </c>
      <c r="F3" s="3083">
        <v>0.5</v>
      </c>
      <c r="G3" s="3083" t="s">
        <v>3617</v>
      </c>
      <c r="H3" s="3083" t="s">
        <v>3621</v>
      </c>
      <c r="I3" s="3083" t="s">
        <v>3622</v>
      </c>
      <c r="J3" s="3083">
        <v>3329</v>
      </c>
      <c r="K3" s="3083">
        <v>3329</v>
      </c>
      <c r="L3" s="3083">
        <v>14249.94</v>
      </c>
      <c r="M3" s="3083">
        <v>0</v>
      </c>
    </row>
    <row r="4" spans="1:13">
      <c r="A4" s="3083" t="s">
        <v>3623</v>
      </c>
      <c r="B4" s="3083" t="s">
        <v>3614</v>
      </c>
      <c r="C4" s="3083" t="s">
        <v>3615</v>
      </c>
      <c r="D4" s="3083">
        <v>52606.1</v>
      </c>
      <c r="E4" s="3083">
        <v>292670.89</v>
      </c>
      <c r="F4" s="3083" t="s">
        <v>3624</v>
      </c>
      <c r="G4" s="3083" t="s">
        <v>3617</v>
      </c>
      <c r="H4" s="3083" t="s">
        <v>3625</v>
      </c>
      <c r="I4" s="3083" t="s">
        <v>3626</v>
      </c>
      <c r="J4" s="3083">
        <v>654130</v>
      </c>
      <c r="K4" s="3083">
        <v>654130</v>
      </c>
      <c r="L4" s="3083">
        <v>22350.36</v>
      </c>
      <c r="M4" s="3083">
        <v>0</v>
      </c>
    </row>
    <row r="5" spans="1:13">
      <c r="A5" s="3083" t="s">
        <v>3627</v>
      </c>
      <c r="B5" s="3083" t="s">
        <v>3614</v>
      </c>
      <c r="C5" s="3083" t="s">
        <v>3615</v>
      </c>
      <c r="D5" s="3083">
        <v>17170.8</v>
      </c>
      <c r="E5" s="3083">
        <v>68683.199999999997</v>
      </c>
      <c r="F5" s="3083">
        <v>4</v>
      </c>
      <c r="G5" s="3083" t="s">
        <v>3617</v>
      </c>
      <c r="H5" s="3083" t="s">
        <v>3628</v>
      </c>
      <c r="I5" s="3083" t="s">
        <v>3629</v>
      </c>
      <c r="J5" s="3083">
        <v>411100</v>
      </c>
      <c r="K5" s="3083">
        <v>411100</v>
      </c>
      <c r="L5" s="3083">
        <v>59854.51</v>
      </c>
      <c r="M5" s="3083">
        <v>0</v>
      </c>
    </row>
    <row r="6" spans="1:13">
      <c r="A6" s="3083" t="s">
        <v>3630</v>
      </c>
      <c r="B6" s="3083" t="s">
        <v>3614</v>
      </c>
      <c r="C6" s="3083" t="s">
        <v>3615</v>
      </c>
      <c r="D6" s="3083">
        <v>32778.699999999997</v>
      </c>
      <c r="E6" s="3083">
        <v>118003.32</v>
      </c>
      <c r="F6" s="3083">
        <v>3.6</v>
      </c>
      <c r="G6" s="3083" t="s">
        <v>3617</v>
      </c>
      <c r="H6" s="3083" t="s">
        <v>3631</v>
      </c>
      <c r="I6" s="3083" t="s">
        <v>3632</v>
      </c>
      <c r="J6" s="3083">
        <v>600000</v>
      </c>
      <c r="K6" s="3083">
        <v>600000</v>
      </c>
      <c r="L6" s="3083">
        <v>50846.02</v>
      </c>
      <c r="M6" s="3083">
        <v>0</v>
      </c>
    </row>
    <row r="7" spans="1:13">
      <c r="A7" s="3083" t="s">
        <v>3633</v>
      </c>
      <c r="B7" s="3083" t="s">
        <v>3614</v>
      </c>
      <c r="C7" s="3083" t="s">
        <v>3615</v>
      </c>
      <c r="D7" s="3083">
        <v>28257.7</v>
      </c>
      <c r="E7" s="3083">
        <v>80745</v>
      </c>
      <c r="F7" s="3083" t="s">
        <v>3634</v>
      </c>
      <c r="G7" s="3083" t="s">
        <v>3617</v>
      </c>
      <c r="H7" s="3083" t="s">
        <v>3635</v>
      </c>
      <c r="I7" s="3083" t="s">
        <v>3636</v>
      </c>
      <c r="J7" s="3083">
        <v>157575</v>
      </c>
      <c r="K7" s="3083">
        <v>157575</v>
      </c>
      <c r="L7" s="3083">
        <v>19515.13</v>
      </c>
      <c r="M7" s="3083">
        <v>0</v>
      </c>
    </row>
    <row r="8" spans="1:13" s="3085" customFormat="1">
      <c r="A8" s="3084" t="s">
        <v>3637</v>
      </c>
      <c r="B8" s="3084" t="s">
        <v>3614</v>
      </c>
      <c r="C8" s="3084" t="s">
        <v>3615</v>
      </c>
      <c r="D8" s="3084">
        <v>36847.4</v>
      </c>
      <c r="E8" s="3084">
        <v>147389.6</v>
      </c>
      <c r="F8" s="3084">
        <v>4</v>
      </c>
      <c r="G8" s="3084" t="s">
        <v>3617</v>
      </c>
      <c r="H8" s="3084" t="s">
        <v>3638</v>
      </c>
      <c r="I8" s="3084" t="s">
        <v>3639</v>
      </c>
      <c r="J8" s="3084">
        <v>454947</v>
      </c>
      <c r="K8" s="3084">
        <v>454947</v>
      </c>
      <c r="L8" s="3084">
        <v>30866.97</v>
      </c>
      <c r="M8" s="3084">
        <v>0</v>
      </c>
    </row>
    <row r="9" spans="1:13">
      <c r="A9" s="3083" t="s">
        <v>3640</v>
      </c>
      <c r="B9" s="3083" t="s">
        <v>3614</v>
      </c>
      <c r="C9" s="3083" t="s">
        <v>3615</v>
      </c>
      <c r="D9" s="3083">
        <v>2173</v>
      </c>
      <c r="E9" s="3083">
        <v>4454.6499999999996</v>
      </c>
      <c r="F9" s="3083">
        <v>2.0499999999999998</v>
      </c>
      <c r="G9" s="3083" t="s">
        <v>3617</v>
      </c>
      <c r="H9" s="3083" t="s">
        <v>3641</v>
      </c>
      <c r="I9" s="3083" t="s">
        <v>3642</v>
      </c>
      <c r="J9" s="3083">
        <v>29089</v>
      </c>
      <c r="K9" s="3083">
        <v>29289</v>
      </c>
      <c r="L9" s="3083">
        <v>65749.27</v>
      </c>
      <c r="M9" s="3083">
        <v>0.69</v>
      </c>
    </row>
    <row r="10" spans="1:13">
      <c r="A10" s="3083" t="s">
        <v>3643</v>
      </c>
      <c r="B10" s="3083" t="s">
        <v>3614</v>
      </c>
      <c r="C10" s="3083" t="s">
        <v>3615</v>
      </c>
      <c r="D10" s="3083">
        <v>9374.7000000000007</v>
      </c>
      <c r="E10" s="3083">
        <v>88965.9</v>
      </c>
      <c r="F10" s="3083">
        <v>9.49</v>
      </c>
      <c r="G10" s="3083" t="s">
        <v>3617</v>
      </c>
      <c r="H10" s="3083" t="s">
        <v>3644</v>
      </c>
      <c r="I10" s="3083" t="s">
        <v>3645</v>
      </c>
      <c r="J10" s="3083">
        <v>471500</v>
      </c>
      <c r="K10" s="3083">
        <v>580200</v>
      </c>
      <c r="L10" s="3083">
        <v>65216</v>
      </c>
      <c r="M10" s="3083">
        <v>23.05</v>
      </c>
    </row>
    <row r="11" spans="1:13">
      <c r="A11" s="3083" t="s">
        <v>3646</v>
      </c>
      <c r="B11" s="3083" t="s">
        <v>3614</v>
      </c>
      <c r="C11" s="3083" t="s">
        <v>3615</v>
      </c>
      <c r="D11" s="3083">
        <v>27054.400000000001</v>
      </c>
      <c r="E11" s="3083">
        <v>108217.60000000001</v>
      </c>
      <c r="F11" s="3083">
        <v>4</v>
      </c>
      <c r="G11" s="3083" t="s">
        <v>3617</v>
      </c>
      <c r="H11" s="3083" t="s">
        <v>3647</v>
      </c>
      <c r="I11" s="3083" t="s">
        <v>3648</v>
      </c>
      <c r="J11" s="3083">
        <v>418796</v>
      </c>
      <c r="K11" s="3083">
        <v>418800</v>
      </c>
      <c r="L11" s="3083">
        <v>38699.800000000003</v>
      </c>
      <c r="M11" s="3083">
        <v>0</v>
      </c>
    </row>
    <row r="12" spans="1:13">
      <c r="A12" s="3083" t="s">
        <v>3649</v>
      </c>
      <c r="B12" s="3083" t="s">
        <v>3614</v>
      </c>
      <c r="C12" s="3083" t="s">
        <v>3615</v>
      </c>
      <c r="D12" s="3083">
        <v>1465.7</v>
      </c>
      <c r="E12" s="3083">
        <v>901.65</v>
      </c>
      <c r="F12" s="3083">
        <v>0</v>
      </c>
      <c r="G12" s="3083" t="s">
        <v>3617</v>
      </c>
      <c r="H12" s="3083" t="s">
        <v>3650</v>
      </c>
      <c r="I12" s="3083" t="s">
        <v>3651</v>
      </c>
      <c r="J12" s="3083">
        <v>2191</v>
      </c>
      <c r="K12" s="3083">
        <v>2191</v>
      </c>
      <c r="L12" s="3083">
        <v>24299.88</v>
      </c>
      <c r="M12" s="3083">
        <v>0</v>
      </c>
    </row>
    <row r="13" spans="1:13">
      <c r="A13" s="3083" t="s">
        <v>3652</v>
      </c>
      <c r="B13" s="3083" t="s">
        <v>3614</v>
      </c>
      <c r="C13" s="3083" t="s">
        <v>3615</v>
      </c>
      <c r="D13" s="3083">
        <v>13419.6</v>
      </c>
      <c r="E13" s="3083">
        <v>46968.6</v>
      </c>
      <c r="F13" s="3083">
        <v>3.5</v>
      </c>
      <c r="G13" s="3083" t="s">
        <v>3617</v>
      </c>
      <c r="H13" s="3083" t="s">
        <v>3653</v>
      </c>
      <c r="I13" s="3083" t="s">
        <v>3654</v>
      </c>
      <c r="J13" s="3083">
        <v>134100</v>
      </c>
      <c r="K13" s="3083">
        <v>134100</v>
      </c>
      <c r="L13" s="3083">
        <v>28550.99</v>
      </c>
      <c r="M13" s="3083">
        <v>0</v>
      </c>
    </row>
    <row r="14" spans="1:13">
      <c r="A14" s="3083" t="s">
        <v>3655</v>
      </c>
      <c r="B14" s="3083" t="s">
        <v>3614</v>
      </c>
      <c r="C14" s="3083" t="s">
        <v>3615</v>
      </c>
      <c r="D14" s="3083">
        <v>46082.7</v>
      </c>
      <c r="E14" s="3083">
        <v>194800</v>
      </c>
      <c r="F14" s="3083">
        <v>4.2300000000000004</v>
      </c>
      <c r="G14" s="3083" t="s">
        <v>3617</v>
      </c>
      <c r="H14" s="3083" t="s">
        <v>3656</v>
      </c>
      <c r="I14" s="3083" t="s">
        <v>3657</v>
      </c>
      <c r="J14" s="3083">
        <v>710000</v>
      </c>
      <c r="K14" s="3083">
        <v>710000</v>
      </c>
      <c r="L14" s="3083">
        <v>36447.629999999997</v>
      </c>
      <c r="M14" s="3083">
        <v>0</v>
      </c>
    </row>
    <row r="15" spans="1:13">
      <c r="A15" s="3083" t="s">
        <v>3658</v>
      </c>
      <c r="B15" s="3083" t="s">
        <v>3614</v>
      </c>
      <c r="C15" s="3083" t="s">
        <v>3615</v>
      </c>
      <c r="D15" s="3083">
        <v>34824.5</v>
      </c>
      <c r="E15" s="3083">
        <v>242689</v>
      </c>
      <c r="F15" s="3083">
        <v>6.9689155623196317</v>
      </c>
      <c r="G15" s="3083" t="s">
        <v>3617</v>
      </c>
      <c r="H15" s="3083" t="s">
        <v>3659</v>
      </c>
      <c r="I15" s="3083" t="s">
        <v>3660</v>
      </c>
      <c r="J15" s="3083">
        <v>1358000</v>
      </c>
      <c r="K15" s="3083">
        <v>1361000</v>
      </c>
      <c r="L15" s="3083">
        <v>56080</v>
      </c>
      <c r="M15" s="3083">
        <v>0.22</v>
      </c>
    </row>
    <row r="16" spans="1:13" s="3085" customFormat="1">
      <c r="A16" s="3084" t="s">
        <v>3661</v>
      </c>
      <c r="B16" s="3084" t="s">
        <v>3614</v>
      </c>
      <c r="C16" s="3084" t="s">
        <v>3615</v>
      </c>
      <c r="D16" s="3084">
        <v>10800.4</v>
      </c>
      <c r="E16" s="3084">
        <v>27001</v>
      </c>
      <c r="F16" s="3084">
        <v>2.5</v>
      </c>
      <c r="G16" s="3084" t="s">
        <v>3617</v>
      </c>
      <c r="H16" s="3084" t="s">
        <v>3662</v>
      </c>
      <c r="I16" s="3084" t="s">
        <v>3663</v>
      </c>
      <c r="J16" s="3084">
        <v>81003</v>
      </c>
      <c r="K16" s="3084">
        <v>81003</v>
      </c>
      <c r="L16" s="3084">
        <v>30000</v>
      </c>
      <c r="M16" s="3084">
        <v>0</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8"/>
  <sheetViews>
    <sheetView workbookViewId="0">
      <selection activeCell="D12" sqref="D12"/>
    </sheetView>
  </sheetViews>
  <sheetFormatPr defaultRowHeight="13.5"/>
  <sheetData>
    <row r="3" spans="3:5">
      <c r="D3" s="3074" t="s">
        <v>3689</v>
      </c>
      <c r="E3" s="3074" t="s">
        <v>3690</v>
      </c>
    </row>
    <row r="4" spans="3:5">
      <c r="C4" s="3074" t="s">
        <v>3687</v>
      </c>
      <c r="D4">
        <f>ROUND(55000*'数据-汇总表'!F19/10000,0)</f>
        <v>257146</v>
      </c>
      <c r="E4">
        <f ca="1">'收益法（汇总）'!B6</f>
        <v>350707</v>
      </c>
    </row>
    <row r="5" spans="3:5">
      <c r="D5">
        <v>0.4</v>
      </c>
      <c r="E5">
        <v>0.6</v>
      </c>
    </row>
    <row r="6" spans="3:5">
      <c r="E6">
        <f ca="1">D4*D5+E4*E5</f>
        <v>313282.59999999998</v>
      </c>
    </row>
    <row r="8" spans="3:5">
      <c r="C8" s="3074" t="s">
        <v>3584</v>
      </c>
      <c r="D8">
        <f>'数据-取费表'!Y24</f>
        <v>28956.68</v>
      </c>
      <c r="E8">
        <f ca="1">'收益法（汇总）'!B7</f>
        <v>47463</v>
      </c>
    </row>
    <row r="9" spans="3:5">
      <c r="D9">
        <v>0.4</v>
      </c>
      <c r="E9">
        <v>0.6</v>
      </c>
    </row>
    <row r="10" spans="3:5">
      <c r="E10">
        <f ca="1">D8*D9+E8*E9</f>
        <v>40060.472000000002</v>
      </c>
    </row>
    <row r="12" spans="3:5">
      <c r="C12" s="3074" t="s">
        <v>3688</v>
      </c>
      <c r="D12">
        <f>40*326</f>
        <v>13040</v>
      </c>
      <c r="E12">
        <f ca="1">'收益法（汇总）'!B8</f>
        <v>11197</v>
      </c>
    </row>
    <row r="13" spans="3:5">
      <c r="D13">
        <v>0.5</v>
      </c>
      <c r="E13">
        <v>0.5</v>
      </c>
    </row>
    <row r="14" spans="3:5">
      <c r="E14">
        <f ca="1">D12*D13+E12*E13</f>
        <v>12118.5</v>
      </c>
    </row>
    <row r="18" spans="5:5">
      <c r="E18">
        <f ca="1">E6+E10+E14</f>
        <v>365461.57199999999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105"/>
      <c r="B3" s="3105"/>
      <c r="C3" s="3105"/>
      <c r="D3" s="962" t="s">
        <v>1603</v>
      </c>
      <c r="E3" s="962" t="s">
        <v>1609</v>
      </c>
      <c r="F3" s="962" t="s">
        <v>1603</v>
      </c>
      <c r="G3" s="962" t="s">
        <v>1604</v>
      </c>
      <c r="H3" s="962" t="s">
        <v>1603</v>
      </c>
      <c r="I3" s="962" t="s">
        <v>1604</v>
      </c>
    </row>
    <row r="4" spans="1:9" ht="15">
      <c r="A4" s="1689" t="str">
        <f>项目基本情况!S2</f>
        <v>房地产</v>
      </c>
      <c r="B4" s="962">
        <f>项目基本情况!C17</f>
        <v>72083.499999999942</v>
      </c>
      <c r="C4" s="962">
        <f>项目基本情况!C18</f>
        <v>11088</v>
      </c>
      <c r="D4" s="962">
        <f ca="1">结果表!D118</f>
        <v>304882</v>
      </c>
      <c r="E4" s="962">
        <f ca="1">结果表!E118</f>
        <v>42295</v>
      </c>
      <c r="F4" s="962">
        <f ca="1">结果表!F118</f>
        <v>62004</v>
      </c>
      <c r="G4" s="962">
        <f ca="1">结果表!G118</f>
        <v>8602</v>
      </c>
      <c r="H4" s="962">
        <f ca="1">结果表!H118</f>
        <v>366886</v>
      </c>
      <c r="I4" s="962">
        <f ca="1">结果表!I118</f>
        <v>50897</v>
      </c>
    </row>
    <row r="5" spans="1:9" ht="30" customHeight="1">
      <c r="A5" s="3105" t="s">
        <v>1605</v>
      </c>
      <c r="B5" s="3105"/>
      <c r="C5" s="3105"/>
      <c r="D5" s="3106" t="str">
        <f ca="1">结果表!D119</f>
        <v>叁拾亿肆仟捌佰捌拾贰万元整</v>
      </c>
      <c r="E5" s="3106"/>
      <c r="F5" s="3106" t="str">
        <f ca="1">结果表!F119</f>
        <v>陆亿贰仟零肆万元整</v>
      </c>
      <c r="G5" s="3106"/>
      <c r="H5" s="3106" t="str">
        <f ca="1">结果表!H119</f>
        <v>叁拾陆亿陆仟捌佰捌拾陆万元整</v>
      </c>
      <c r="I5" s="3106"/>
    </row>
    <row r="6" spans="1:9" ht="15.75">
      <c r="A6" s="3107" t="str">
        <f>结果表!A120</f>
        <v>估价师知悉的法定优先受偿款</v>
      </c>
      <c r="B6" s="3107"/>
      <c r="C6" s="3107"/>
      <c r="D6" s="3107">
        <f>结果表!D120</f>
        <v>0</v>
      </c>
      <c r="E6" s="3107"/>
      <c r="F6" s="3107"/>
      <c r="G6" s="3107"/>
      <c r="H6" s="3107"/>
      <c r="I6" s="3107"/>
    </row>
    <row r="7" spans="1:9" ht="15">
      <c r="A7" s="3105" t="s">
        <v>1605</v>
      </c>
      <c r="B7" s="3105"/>
      <c r="C7" s="3105"/>
      <c r="D7" s="3108" t="str">
        <f>结果表!D121</f>
        <v>零元整</v>
      </c>
      <c r="E7" s="3109"/>
      <c r="F7" s="3109"/>
      <c r="G7" s="3109"/>
      <c r="H7" s="3109"/>
      <c r="I7" s="3110"/>
    </row>
    <row r="8" spans="1:9" ht="15.75">
      <c r="A8" s="3107" t="str">
        <f>结果表!A122</f>
        <v>房地产抵押价值</v>
      </c>
      <c r="B8" s="3107"/>
      <c r="C8" s="3107"/>
      <c r="D8" s="3107">
        <f ca="1">结果表!D122</f>
        <v>366886</v>
      </c>
      <c r="E8" s="3107"/>
      <c r="F8" s="3107"/>
      <c r="G8" s="3107"/>
      <c r="H8" s="3107"/>
      <c r="I8" s="3107"/>
    </row>
    <row r="9" spans="1:9" ht="15">
      <c r="A9" s="3105" t="s">
        <v>1605</v>
      </c>
      <c r="B9" s="3105"/>
      <c r="C9" s="3105"/>
      <c r="D9" s="3106" t="str">
        <f ca="1">结果表!D123</f>
        <v>叁拾陆亿陆仟捌佰捌拾陆万元整</v>
      </c>
      <c r="E9" s="3106"/>
      <c r="F9" s="3106"/>
      <c r="G9" s="3106"/>
      <c r="H9" s="3106"/>
      <c r="I9" s="3106"/>
    </row>
    <row r="10" spans="1:9" ht="15.75">
      <c r="A10" s="3107" t="str">
        <f>结果表!A124</f>
        <v/>
      </c>
      <c r="B10" s="3107"/>
      <c r="C10" s="3107"/>
      <c r="D10" s="3107" t="str">
        <f>结果表!D124</f>
        <v>——</v>
      </c>
      <c r="E10" s="3107"/>
      <c r="F10" s="3107"/>
      <c r="G10" s="3107"/>
      <c r="H10" s="3107"/>
      <c r="I10" s="3107"/>
    </row>
    <row r="11" spans="1:9" ht="15">
      <c r="A11" s="3105" t="s">
        <v>1605</v>
      </c>
      <c r="B11" s="3105"/>
      <c r="C11" s="3105"/>
      <c r="D11" s="3106" t="e">
        <f>结果表!D125</f>
        <v>#VALUE!</v>
      </c>
      <c r="E11" s="3106"/>
      <c r="F11" s="3106"/>
      <c r="G11" s="3106"/>
      <c r="H11" s="3106"/>
      <c r="I11" s="3106"/>
    </row>
    <row r="12" spans="1:9" ht="15.75">
      <c r="A12" s="3107" t="str">
        <f>结果表!A126</f>
        <v>抵押净值</v>
      </c>
      <c r="B12" s="3107"/>
      <c r="C12" s="3107"/>
      <c r="D12" s="3107">
        <f ca="1">结果表!D126</f>
        <v>337622</v>
      </c>
      <c r="E12" s="3107"/>
      <c r="F12" s="3107"/>
      <c r="G12" s="3107"/>
      <c r="H12" s="3107"/>
      <c r="I12" s="3107"/>
    </row>
    <row r="13" spans="1:9" ht="15.75" thickBot="1">
      <c r="A13" s="3111" t="s">
        <v>1605</v>
      </c>
      <c r="B13" s="3111"/>
      <c r="C13" s="3111"/>
      <c r="D13" s="3112" t="str">
        <f ca="1">结果表!D127</f>
        <v>叁拾叁亿柒仟陆佰贰拾贰万元整</v>
      </c>
      <c r="E13" s="3112"/>
      <c r="F13" s="3112"/>
      <c r="G13" s="3112"/>
      <c r="H13" s="3112"/>
      <c r="I13" s="3112"/>
    </row>
    <row r="14" spans="1:9" ht="15" thickTop="1">
      <c r="A14" s="3113" t="s">
        <v>1610</v>
      </c>
      <c r="B14" s="3113"/>
      <c r="C14" s="3113"/>
      <c r="D14" s="3113"/>
      <c r="E14" s="3113"/>
      <c r="F14" s="3113"/>
      <c r="G14" s="3113"/>
      <c r="H14" s="3113"/>
      <c r="I14" s="311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I9" sqref="I9"/>
    </sheetView>
  </sheetViews>
  <sheetFormatPr defaultRowHeight="13.5"/>
  <cols>
    <col min="2" max="2" width="17.25" bestFit="1" customWidth="1"/>
  </cols>
  <sheetData>
    <row r="1" spans="1:12">
      <c r="A1" s="3088" t="s">
        <v>3710</v>
      </c>
      <c r="H1" s="3442" t="s">
        <v>3731</v>
      </c>
      <c r="I1" s="3443"/>
      <c r="J1" s="3443"/>
      <c r="K1" s="3443"/>
      <c r="L1" s="3443"/>
    </row>
    <row r="2" spans="1:12">
      <c r="A2" s="3088" t="s">
        <v>3711</v>
      </c>
      <c r="H2" s="3442" t="s">
        <v>3732</v>
      </c>
      <c r="I2" s="3443"/>
      <c r="J2" s="3443"/>
      <c r="K2" s="3443"/>
      <c r="L2" s="3443"/>
    </row>
    <row r="3" spans="1:12">
      <c r="A3" s="3088" t="s">
        <v>3712</v>
      </c>
      <c r="H3" s="3442" t="s">
        <v>3736</v>
      </c>
      <c r="I3" s="3443"/>
      <c r="J3" s="3443"/>
      <c r="K3" s="3443"/>
      <c r="L3" s="3443"/>
    </row>
    <row r="4" spans="1:12">
      <c r="A4" s="3088" t="s">
        <v>3713</v>
      </c>
      <c r="H4" s="3442" t="s">
        <v>3733</v>
      </c>
      <c r="I4" s="3443"/>
      <c r="J4" s="3443"/>
      <c r="K4" s="3443"/>
      <c r="L4" s="3443"/>
    </row>
    <row r="5" spans="1:12">
      <c r="A5" s="3088" t="s">
        <v>3714</v>
      </c>
      <c r="H5" s="3442" t="s">
        <v>3734</v>
      </c>
      <c r="I5" s="3443"/>
      <c r="J5" s="3443"/>
      <c r="K5" s="3443"/>
      <c r="L5" s="3443"/>
    </row>
    <row r="6" spans="1:12">
      <c r="A6" s="3088" t="s">
        <v>3715</v>
      </c>
      <c r="H6" s="3442" t="s">
        <v>3735</v>
      </c>
      <c r="I6" s="3443"/>
      <c r="J6" s="3443"/>
      <c r="K6" s="3443"/>
      <c r="L6" s="3443"/>
    </row>
    <row r="7" spans="1:12">
      <c r="A7" s="3088" t="s">
        <v>3716</v>
      </c>
      <c r="H7" s="3442" t="s">
        <v>3737</v>
      </c>
      <c r="I7" s="3443"/>
      <c r="J7" s="3443"/>
      <c r="K7" s="3443"/>
      <c r="L7" s="3443"/>
    </row>
    <row r="8" spans="1:12">
      <c r="A8" s="3088" t="s">
        <v>3717</v>
      </c>
    </row>
    <row r="9" spans="1:12">
      <c r="A9" s="3088" t="s">
        <v>3718</v>
      </c>
    </row>
    <row r="10" spans="1:12">
      <c r="A10" s="3088" t="s">
        <v>3719</v>
      </c>
    </row>
    <row r="14" spans="1:12">
      <c r="A14">
        <v>-2</v>
      </c>
      <c r="B14">
        <v>1937.45</v>
      </c>
      <c r="C14">
        <f>ROUND(B14/$B$22,2)</f>
        <v>0.12</v>
      </c>
    </row>
    <row r="15" spans="1:12">
      <c r="A15">
        <v>-1</v>
      </c>
      <c r="B15">
        <v>2411.19</v>
      </c>
      <c r="C15">
        <f t="shared" ref="C15:C21" si="0">ROUND(B15/$B$22,2)</f>
        <v>0.14000000000000001</v>
      </c>
    </row>
    <row r="16" spans="1:12">
      <c r="A16">
        <v>1</v>
      </c>
      <c r="B16">
        <v>2137.91</v>
      </c>
      <c r="C16">
        <f t="shared" si="0"/>
        <v>0.13</v>
      </c>
    </row>
    <row r="17" spans="1:3">
      <c r="A17">
        <v>2</v>
      </c>
      <c r="B17">
        <v>2506.13</v>
      </c>
      <c r="C17">
        <f t="shared" si="0"/>
        <v>0.15</v>
      </c>
    </row>
    <row r="18" spans="1:3">
      <c r="A18">
        <v>3</v>
      </c>
      <c r="B18">
        <v>2506.13</v>
      </c>
      <c r="C18">
        <f t="shared" si="0"/>
        <v>0.15</v>
      </c>
    </row>
    <row r="19" spans="1:3">
      <c r="A19">
        <v>4</v>
      </c>
      <c r="B19">
        <v>2019.75</v>
      </c>
      <c r="C19">
        <f t="shared" si="0"/>
        <v>0.12</v>
      </c>
    </row>
    <row r="20" spans="1:3">
      <c r="A20">
        <v>5</v>
      </c>
      <c r="B20">
        <v>1600.54</v>
      </c>
      <c r="C20">
        <f t="shared" si="0"/>
        <v>0.1</v>
      </c>
    </row>
    <row r="21" spans="1:3">
      <c r="A21">
        <v>6</v>
      </c>
      <c r="B21">
        <v>1664.09</v>
      </c>
      <c r="C21">
        <f t="shared" si="0"/>
        <v>0.1</v>
      </c>
    </row>
    <row r="22" spans="1:3">
      <c r="B22">
        <f>SUM(B14:B21)</f>
        <v>16783.190000000002</v>
      </c>
    </row>
    <row r="40" spans="2:14">
      <c r="N40" s="3089">
        <f>13.8/1.52*10000</f>
        <v>90789.473684210534</v>
      </c>
    </row>
    <row r="41" spans="2:14">
      <c r="N41" s="3089">
        <f>55.8/5.88*10000</f>
        <v>94897.959183673476</v>
      </c>
    </row>
    <row r="42" spans="2:14">
      <c r="N42" s="3089">
        <f>48.54/5.29*10000</f>
        <v>91758.034026465029</v>
      </c>
    </row>
    <row r="46" spans="2:14">
      <c r="B46" s="3074" t="s">
        <v>3720</v>
      </c>
      <c r="C46">
        <v>2.63</v>
      </c>
      <c r="D46">
        <v>17.600000000000001</v>
      </c>
      <c r="E46" s="3089">
        <f>D46/C46*10000</f>
        <v>66920.152091254771</v>
      </c>
    </row>
    <row r="47" spans="2:14">
      <c r="B47" s="3074" t="s">
        <v>3723</v>
      </c>
      <c r="C47">
        <v>3.4</v>
      </c>
      <c r="D47">
        <v>17.47</v>
      </c>
      <c r="E47" s="3089">
        <f t="shared" ref="E47:E50" si="1">D47/C47*10000</f>
        <v>51382.352941176468</v>
      </c>
    </row>
    <row r="48" spans="2:14">
      <c r="B48" s="3074" t="s">
        <v>3724</v>
      </c>
      <c r="C48">
        <f>3.65+0.57</f>
        <v>4.22</v>
      </c>
      <c r="D48">
        <f>17.17+2.83</f>
        <v>20</v>
      </c>
      <c r="E48" s="3089">
        <f t="shared" si="1"/>
        <v>47393.364928909956</v>
      </c>
    </row>
    <row r="49" spans="2:5">
      <c r="B49" s="3074" t="s">
        <v>3721</v>
      </c>
      <c r="C49">
        <v>7</v>
      </c>
      <c r="D49">
        <v>43</v>
      </c>
      <c r="E49" s="3089">
        <f t="shared" si="1"/>
        <v>61428.571428571435</v>
      </c>
    </row>
    <row r="50" spans="2:5">
      <c r="B50" s="3074" t="s">
        <v>3722</v>
      </c>
      <c r="C50">
        <f>1.52+5.88+5.29</f>
        <v>12.690000000000001</v>
      </c>
      <c r="D50">
        <f>13.8+55.5+48.54</f>
        <v>117.84</v>
      </c>
      <c r="E50" s="3089">
        <f t="shared" si="1"/>
        <v>92860.520094562642</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4" t="s">
        <v>1627</v>
      </c>
      <c r="B1" s="3114"/>
      <c r="C1" s="3114"/>
      <c r="D1" s="3114"/>
    </row>
    <row r="2" spans="1:4" ht="18">
      <c r="A2" s="3115" t="s">
        <v>1611</v>
      </c>
      <c r="B2" s="3115"/>
      <c r="C2" s="3115"/>
      <c r="D2" s="311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5" t="s">
        <v>1617</v>
      </c>
      <c r="B6" s="3115"/>
      <c r="C6" s="3115"/>
      <c r="D6" s="3115"/>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6"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7" t="str">
        <f>IF(项目基本情况!B8="抵押","4.本次评估估价师所知悉的法定优先受偿款情况说明如下：","——")</f>
        <v>4.本次评估估价师所知悉的法定优先受偿款情况说明如下：</v>
      </c>
      <c r="B14" s="3118"/>
      <c r="C14" s="3118"/>
      <c r="D14" s="3118"/>
    </row>
    <row r="15" spans="1:4" ht="42" customHeight="1">
      <c r="A15" s="3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20" t="s">
        <v>1621</v>
      </c>
      <c r="B16" s="3120"/>
      <c r="C16" s="3120"/>
      <c r="D16" s="3120"/>
    </row>
    <row r="17" spans="1:4" ht="144" customHeight="1">
      <c r="A17" s="3120" t="s">
        <v>1622</v>
      </c>
      <c r="B17" s="3120"/>
      <c r="C17" s="3120"/>
      <c r="D17" s="3120"/>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9">
        <v>42551</v>
      </c>
      <c r="D31" s="31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8" t="s">
        <v>1634</v>
      </c>
      <c r="B15" s="3123" t="s">
        <v>136</v>
      </c>
      <c r="C15" s="3124"/>
    </row>
    <row r="16" spans="1:7" ht="13.5">
      <c r="A16" s="3129"/>
      <c r="B16" s="3123" t="s">
        <v>69</v>
      </c>
      <c r="C16" s="3124"/>
    </row>
    <row r="17" spans="1:3" ht="13.5">
      <c r="A17" s="3129"/>
      <c r="B17" s="3126" t="s">
        <v>1635</v>
      </c>
      <c r="C17" s="1716" t="s">
        <v>1634</v>
      </c>
    </row>
    <row r="18" spans="1:3" ht="13.5">
      <c r="A18" s="3129"/>
      <c r="B18" s="3126"/>
      <c r="C18" s="1716" t="s">
        <v>1636</v>
      </c>
    </row>
    <row r="19" spans="1:3" ht="13.5">
      <c r="A19" s="3129"/>
      <c r="B19" s="3126"/>
      <c r="C19" s="1716" t="s">
        <v>1637</v>
      </c>
    </row>
    <row r="20" spans="1:3" ht="13.5">
      <c r="A20" s="3130"/>
      <c r="B20" s="3125" t="s">
        <v>1638</v>
      </c>
      <c r="C20" s="3124"/>
    </row>
    <row r="21" spans="1:3" ht="13.5">
      <c r="A21" s="1717" t="s">
        <v>1639</v>
      </c>
      <c r="B21" s="1718"/>
      <c r="C21" s="1719"/>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6" t="s">
        <v>1645</v>
      </c>
    </row>
    <row r="26" spans="1:3" ht="13.5">
      <c r="A26" s="3127"/>
      <c r="B26" s="3126"/>
      <c r="C26" s="1716" t="s">
        <v>1646</v>
      </c>
    </row>
    <row r="27" spans="1:3" ht="13.5">
      <c r="A27" s="3127"/>
      <c r="B27" s="3126"/>
      <c r="C27" s="1716" t="s">
        <v>1647</v>
      </c>
    </row>
    <row r="28" spans="1:3" ht="13.5">
      <c r="A28" s="3127"/>
      <c r="B28" s="3126"/>
      <c r="C28" s="1716" t="s">
        <v>1648</v>
      </c>
    </row>
    <row r="29" spans="1:3" ht="13.5">
      <c r="A29" s="3127"/>
      <c r="B29" s="3126"/>
      <c r="C29" s="1716" t="s">
        <v>1649</v>
      </c>
    </row>
    <row r="30" spans="1:3" ht="13.5">
      <c r="A30" s="3127"/>
      <c r="B30" s="3126"/>
      <c r="C30" s="1716" t="s">
        <v>1650</v>
      </c>
    </row>
    <row r="31" spans="1:3" ht="13.5">
      <c r="A31" s="3127"/>
      <c r="B31" s="3126"/>
      <c r="C31" s="1716" t="s">
        <v>1651</v>
      </c>
    </row>
    <row r="32" spans="1:3" ht="13.5">
      <c r="A32" s="3127"/>
      <c r="B32" s="3126"/>
      <c r="C32" s="1716" t="s">
        <v>1652</v>
      </c>
    </row>
    <row r="33" spans="1:3" ht="13.5">
      <c r="A33" s="3127"/>
      <c r="B33" s="312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44302</v>
      </c>
      <c r="C2" s="2561" t="s">
        <v>2882</v>
      </c>
      <c r="D2" s="2561"/>
      <c r="E2" s="2561"/>
      <c r="F2" s="2557"/>
      <c r="G2" s="2557"/>
      <c r="H2" s="2557"/>
    </row>
    <row r="3" spans="1:8" ht="24" customHeight="1">
      <c r="A3" s="2562" t="s">
        <v>2883</v>
      </c>
      <c r="B3" s="2563" t="s">
        <v>2884</v>
      </c>
      <c r="C3" s="2563" t="s">
        <v>2885</v>
      </c>
      <c r="D3" s="2564" t="s">
        <v>2886</v>
      </c>
      <c r="E3" s="2565" t="s">
        <v>2887</v>
      </c>
      <c r="F3" s="1471" t="s">
        <v>2888</v>
      </c>
      <c r="G3" s="2563" t="s">
        <v>2885</v>
      </c>
      <c r="H3" s="2564" t="s">
        <v>2889</v>
      </c>
    </row>
    <row r="4" spans="1:8" ht="24" customHeight="1">
      <c r="A4" s="1471" t="s">
        <v>2890</v>
      </c>
      <c r="B4" s="1471">
        <f ca="1">IF(C4&lt;B2,"已过期",1119970066)</f>
        <v>1119970066</v>
      </c>
      <c r="C4" s="2566">
        <v>44876</v>
      </c>
      <c r="D4" s="2567" t="str">
        <f ca="1">A4&amp;"（注册号："&amp;B4&amp;"）"</f>
        <v>梁津（注册号：1119970066）</v>
      </c>
      <c r="E4" s="2568" t="s">
        <v>2890</v>
      </c>
      <c r="F4" s="1471">
        <f ca="1">IF(G4&lt;B2,"已过期",96010014)</f>
        <v>96010014</v>
      </c>
      <c r="G4" s="2569">
        <v>47118</v>
      </c>
      <c r="H4" s="2570" t="str">
        <f ca="1">E4&amp;"（注册号："&amp;F4&amp;"）"</f>
        <v>梁津（注册号：96010014）</v>
      </c>
    </row>
    <row r="5" spans="1:8" ht="24" customHeight="1">
      <c r="A5" s="1471" t="s">
        <v>2891</v>
      </c>
      <c r="B5" s="1471">
        <f ca="1">IF(C5&lt;B2,"已过期",1119970111)</f>
        <v>1119970111</v>
      </c>
      <c r="C5" s="2566">
        <v>44876</v>
      </c>
      <c r="D5" s="2567" t="str">
        <f t="shared" ref="D5:D15" ca="1" si="0">A5&amp;"（注册号："&amp;B5&amp;"）"</f>
        <v>叶凌（注册号：1119970111）</v>
      </c>
      <c r="E5" s="2568" t="s">
        <v>2891</v>
      </c>
      <c r="F5" s="1471">
        <f ca="1">IF(G5&lt;B2,"已过期",94010078)</f>
        <v>94010078</v>
      </c>
      <c r="G5" s="2569">
        <v>46387</v>
      </c>
      <c r="H5" s="2570" t="str">
        <f t="shared" ref="H5:H16" ca="1" si="1">E5&amp;"（注册号："&amp;F5&amp;"）"</f>
        <v>叶凌（注册号：94010078）</v>
      </c>
    </row>
    <row r="6" spans="1:8" ht="24" customHeight="1">
      <c r="A6" s="1471" t="s">
        <v>2892</v>
      </c>
      <c r="B6" s="1471">
        <f ca="1">IF(C6&lt;B2,"已过期",1120050019)</f>
        <v>1120050019</v>
      </c>
      <c r="C6" s="2566">
        <v>44395</v>
      </c>
      <c r="D6" s="2567" t="str">
        <f t="shared" ca="1" si="0"/>
        <v>王鹏（注册号：1120050019）</v>
      </c>
      <c r="E6" s="2568" t="s">
        <v>2892</v>
      </c>
      <c r="F6" s="1471">
        <f ca="1">IF(G6&lt;B2,"已过期",2002110030)</f>
        <v>2002110030</v>
      </c>
      <c r="G6" s="2569">
        <v>46387</v>
      </c>
      <c r="H6" s="2570" t="str">
        <f t="shared" ca="1" si="1"/>
        <v>王鹏（注册号：2002110030）</v>
      </c>
    </row>
    <row r="7" spans="1:8" ht="24" customHeight="1">
      <c r="A7" s="1471" t="s">
        <v>2893</v>
      </c>
      <c r="B7" s="1471">
        <f ca="1">IF(C7&lt;B2,"已过期",1120000080)</f>
        <v>1120000080</v>
      </c>
      <c r="C7" s="2566">
        <v>44876</v>
      </c>
      <c r="D7" s="2567" t="str">
        <f t="shared" ca="1" si="0"/>
        <v>欧红伟（注册号：1120000080）</v>
      </c>
      <c r="E7" s="2568" t="s">
        <v>2893</v>
      </c>
      <c r="F7" s="1471">
        <f ca="1">IF(G7&lt;B2,"已过期",2000110082)</f>
        <v>2000110082</v>
      </c>
      <c r="G7" s="2569">
        <v>46387</v>
      </c>
      <c r="H7" s="2570" t="str">
        <f t="shared" ca="1" si="1"/>
        <v>欧红伟（注册号：2000110082）</v>
      </c>
    </row>
    <row r="8" spans="1:8" ht="24" customHeight="1">
      <c r="A8" s="1471" t="s">
        <v>2894</v>
      </c>
      <c r="B8" s="1471">
        <f ca="1">IF(C8&lt;B2,"已过期",1419970001)</f>
        <v>1419970001</v>
      </c>
      <c r="C8" s="2566">
        <v>44899</v>
      </c>
      <c r="D8" s="2567" t="str">
        <f t="shared" ca="1" si="0"/>
        <v>吴薇（注册号：1419970001）</v>
      </c>
      <c r="E8" s="2568" t="s">
        <v>2894</v>
      </c>
      <c r="F8" s="1471">
        <f ca="1">IF(G8&lt;B2,"已过期",2002110125)</f>
        <v>2002110125</v>
      </c>
      <c r="G8" s="2569">
        <v>47118</v>
      </c>
      <c r="H8" s="2570" t="str">
        <f t="shared" ca="1" si="1"/>
        <v>吴薇（注册号：2002110125）</v>
      </c>
    </row>
    <row r="9" spans="1:8" ht="24" customHeight="1">
      <c r="A9" s="1471" t="s">
        <v>2895</v>
      </c>
      <c r="B9" s="1471">
        <f ca="1">IF(C9&lt;B2,"已过期",1120060040)</f>
        <v>1120060040</v>
      </c>
      <c r="C9" s="2571">
        <v>44554</v>
      </c>
      <c r="D9" s="2567" t="str">
        <f t="shared" ca="1" si="0"/>
        <v>陈颖（注册号：1120060040）</v>
      </c>
      <c r="E9" s="2568" t="s">
        <v>2895</v>
      </c>
      <c r="F9" s="1471">
        <f ca="1">IF(G9&lt;B2,"已过期",2004110096)</f>
        <v>2004110096</v>
      </c>
      <c r="G9" s="2569">
        <v>47118</v>
      </c>
      <c r="H9" s="2570" t="str">
        <f t="shared" ca="1" si="1"/>
        <v>陈颖（注册号：2004110096）</v>
      </c>
    </row>
    <row r="10" spans="1:8" ht="24" customHeight="1">
      <c r="A10" s="1471" t="s">
        <v>2896</v>
      </c>
      <c r="B10" s="1471">
        <f ca="1">IF(C10&lt;B2,"已过期",1120100036)</f>
        <v>1120100036</v>
      </c>
      <c r="C10" s="2571">
        <v>44675</v>
      </c>
      <c r="D10" s="2567" t="str">
        <f t="shared" ca="1" si="0"/>
        <v>崔锴（注册号：1120100036）</v>
      </c>
      <c r="E10" s="2568" t="s">
        <v>2896</v>
      </c>
      <c r="F10" s="1471">
        <f ca="1">IF(G10&lt;B2,"已过期",2010110070)</f>
        <v>2010110070</v>
      </c>
      <c r="G10" s="2569">
        <v>47907</v>
      </c>
      <c r="H10" s="2570" t="str">
        <f t="shared" ca="1" si="1"/>
        <v>崔锴（注册号：2010110070）</v>
      </c>
    </row>
    <row r="11" spans="1:8" ht="24" customHeight="1">
      <c r="A11" s="1471" t="s">
        <v>2897</v>
      </c>
      <c r="B11" s="1471">
        <f ca="1">IF(C11&lt;B2,"已过期",1120070131)</f>
        <v>1120070131</v>
      </c>
      <c r="C11" s="2566">
        <v>44849</v>
      </c>
      <c r="D11" s="2567" t="str">
        <f t="shared" ca="1" si="0"/>
        <v>郑燚（注册号：1120070131）</v>
      </c>
      <c r="E11" s="2568" t="s">
        <v>2897</v>
      </c>
      <c r="F11" s="1471">
        <f ca="1">IF(G11&lt;B2,"已过期",2014110011)</f>
        <v>2014110011</v>
      </c>
      <c r="G11" s="2569">
        <v>49302</v>
      </c>
      <c r="H11" s="2570" t="str">
        <f t="shared" ca="1" si="1"/>
        <v>郑燚（注册号：2014110011）</v>
      </c>
    </row>
    <row r="12" spans="1:8" ht="24" customHeight="1">
      <c r="A12" s="1471" t="s">
        <v>2898</v>
      </c>
      <c r="B12" s="1471">
        <f ca="1">IF(C12&lt;B2,"已过期",1120040230)</f>
        <v>1120040230</v>
      </c>
      <c r="C12" s="2571">
        <v>44864</v>
      </c>
      <c r="D12" s="2567" t="str">
        <f t="shared" ca="1" si="0"/>
        <v>苏海（注册号：1120040230）</v>
      </c>
      <c r="E12" s="2568" t="s">
        <v>2898</v>
      </c>
      <c r="F12" s="1471">
        <f ca="1">IF(G12&lt;B2,"已过期",98030020)</f>
        <v>98030020</v>
      </c>
      <c r="G12" s="2569">
        <v>47118</v>
      </c>
      <c r="H12" s="2570" t="str">
        <f t="shared" ca="1" si="1"/>
        <v>苏海（注册号：98030020）</v>
      </c>
    </row>
    <row r="13" spans="1:8" ht="24" customHeight="1">
      <c r="A13" s="1471" t="s">
        <v>2899</v>
      </c>
      <c r="B13" s="1471">
        <f ca="1">IF(C13&lt;B2,"已过期",1120020033)</f>
        <v>1120020033</v>
      </c>
      <c r="C13" s="2566">
        <v>44339</v>
      </c>
      <c r="D13" s="2567" t="str">
        <f t="shared" ca="1" si="0"/>
        <v>刘敬东（注册号：1120020033）</v>
      </c>
      <c r="E13" s="2568" t="s">
        <v>2899</v>
      </c>
      <c r="F13" s="1471">
        <f ca="1">IF(G13&lt;B2,"已过期",2000110137)</f>
        <v>2000110137</v>
      </c>
      <c r="G13" s="2569">
        <v>46387</v>
      </c>
      <c r="H13" s="2570" t="str">
        <f t="shared" ca="1" si="1"/>
        <v>刘敬东（注册号：2000110137）</v>
      </c>
    </row>
    <row r="14" spans="1:8" ht="24" customHeight="1">
      <c r="A14" s="1471" t="s">
        <v>2900</v>
      </c>
      <c r="B14" s="1471">
        <f ca="1">IF(C14&lt;B2,"已过期",1119980106)</f>
        <v>1119980106</v>
      </c>
      <c r="C14" s="2571">
        <v>44969</v>
      </c>
      <c r="D14" s="2567" t="str">
        <f t="shared" ca="1" si="0"/>
        <v>刘俊财（注册号：1119980106）</v>
      </c>
      <c r="E14" s="2568" t="s">
        <v>2900</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2901</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31" t="s">
        <v>2902</v>
      </c>
      <c r="B17" s="3131"/>
      <c r="C17" s="3131"/>
      <c r="D17" s="3131"/>
      <c r="E17" s="3131"/>
      <c r="F17" s="3131"/>
      <c r="G17" s="3131"/>
      <c r="H17" s="3131"/>
    </row>
    <row r="18" spans="1:8" ht="24" customHeight="1">
      <c r="A18" s="3132" t="s">
        <v>2903</v>
      </c>
      <c r="B18" s="3132"/>
      <c r="C18" s="3132"/>
      <c r="D18" s="2564"/>
      <c r="E18" s="3133" t="s">
        <v>2904</v>
      </c>
      <c r="F18" s="3132"/>
      <c r="G18" s="3132"/>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Sheet2</vt:lpstr>
      <vt:lpstr>Sheet5</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2021-04-16T07:21:57Z</dcterms:modified>
</cp:coreProperties>
</file>