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70" windowWidth="12120" windowHeight="7560" tabRatio="875" firstSheet="35" activeTab="3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面积" sheetId="73" state="hidden"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state="hidden" r:id="rId35"/>
    <sheet name="不动产比较法-办公" sheetId="34" r:id="rId36"/>
    <sheet name="不动产比较法-商业" sheetId="33" r:id="rId37"/>
    <sheet name="典型户型修正" sheetId="31" r:id="rId38"/>
    <sheet name="典型户型修正-地下商业" sheetId="74" state="hidden" r:id="rId39"/>
    <sheet name="不动产收益法" sheetId="15" r:id="rId40"/>
    <sheet name="不动产收益法-商业" sheetId="71" state="hidden" r:id="rId41"/>
    <sheet name="不动产收益法-办公" sheetId="72"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案例" sheetId="70" r:id="rId47"/>
    <sheet name="Sheet2" sheetId="76" r:id="rId48"/>
  </sheets>
  <externalReferences>
    <externalReference r:id="rId49"/>
  </externalReference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8">'典型户型修正-地下商业'!$5:$5</definedName>
    <definedName name="一修多修正项2" localSheetId="0">[1]典型户型修正!$5:$5</definedName>
    <definedName name="一修多修正项2">典型户型修正!$5:$5</definedName>
    <definedName name="一修多修正项3" localSheetId="38">'典型户型修正-地下商业'!$7:$7</definedName>
    <definedName name="一修多修正项3" localSheetId="0">[1]典型户型修正!$7:$7</definedName>
    <definedName name="一修多修正项3">典型户型修正!$7:$7</definedName>
    <definedName name="一修多修正项4" localSheetId="38">'典型户型修正-地下商业'!$9:$9</definedName>
    <definedName name="一修多修正项4" localSheetId="0">[1]典型户型修正!$9:$9</definedName>
    <definedName name="一修多修正项4">典型户型修正!$9:$9</definedName>
    <definedName name="一修多修正项5" localSheetId="38">'典型户型修正-地下商业'!$11:$11</definedName>
    <definedName name="一修多修正项5" localSheetId="0">[1]典型户型修正!$11:$11</definedName>
    <definedName name="一修多修正项5">典型户型修正!$11:$11</definedName>
    <definedName name="一修多修正项6" localSheetId="38">'典型户型修正-地下商业'!$13:$13</definedName>
    <definedName name="一修多修正项6" localSheetId="0">[1]典型户型修正!$13:$13</definedName>
    <definedName name="一修多修正项6">典型户型修正!$13:$13</definedName>
    <definedName name="一修多修正项7" localSheetId="38">'典型户型修正-地下商业'!$15:$15</definedName>
    <definedName name="一修多修正项7" localSheetId="0">[1]典型户型修正!$15:$15</definedName>
    <definedName name="一修多修正项7">典型户型修正!$15:$15</definedName>
    <definedName name="一修多修正项8" localSheetId="38">'典型户型修正-地下商业'!$17:$17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AL15" i="3" l="1"/>
  <c r="O18" i="3"/>
  <c r="O37" i="76"/>
  <c r="P21" i="76"/>
  <c r="P23" i="76"/>
  <c r="O22" i="76"/>
  <c r="O19" i="76"/>
  <c r="O17" i="76"/>
  <c r="O18" i="76"/>
  <c r="O21" i="76"/>
  <c r="O20" i="76"/>
  <c r="N23" i="76"/>
  <c r="M33" i="76"/>
  <c r="M32" i="76"/>
  <c r="Q25" i="76"/>
  <c r="O29" i="76"/>
  <c r="C11" i="73"/>
  <c r="C12" i="73"/>
  <c r="M6" i="76"/>
  <c r="K6" i="76"/>
  <c r="L4" i="76"/>
  <c r="K4" i="76"/>
  <c r="Q33" i="76"/>
  <c r="Q30" i="76"/>
  <c r="B29" i="31"/>
  <c r="B24" i="31"/>
  <c r="B27" i="31"/>
  <c r="G20" i="6"/>
  <c r="F20" i="6"/>
  <c r="I13" i="3"/>
  <c r="B28" i="31"/>
  <c r="M7" i="76"/>
  <c r="K9" i="76"/>
  <c r="K14" i="3"/>
  <c r="L5" i="76"/>
  <c r="L9" i="76"/>
  <c r="L10" i="76"/>
  <c r="K10" i="76"/>
  <c r="F21" i="6"/>
  <c r="F19" i="6"/>
  <c r="B26" i="31"/>
  <c r="K5" i="76"/>
  <c r="L8" i="76"/>
  <c r="K7" i="76"/>
  <c r="M8" i="76"/>
  <c r="M11" i="76"/>
  <c r="G22" i="6"/>
  <c r="B25" i="31"/>
  <c r="B28" i="73"/>
  <c r="K8" i="76"/>
  <c r="K11" i="76"/>
  <c r="N34" i="76"/>
  <c r="L11" i="76"/>
  <c r="I47" i="21"/>
  <c r="G47" i="21"/>
  <c r="E47" i="21"/>
  <c r="I48" i="34"/>
  <c r="G48" i="34"/>
  <c r="E48" i="34"/>
  <c r="B19" i="73"/>
  <c r="C19" i="73"/>
  <c r="B18" i="73"/>
  <c r="B17" i="73"/>
  <c r="B20" i="73"/>
  <c r="I1" i="73"/>
  <c r="I4" i="73"/>
  <c r="F22" i="73"/>
  <c r="K4" i="73"/>
  <c r="D73" i="39"/>
  <c r="B29" i="74"/>
  <c r="R524" i="74"/>
  <c r="S524" i="74"/>
  <c r="Q524" i="74"/>
  <c r="O524" i="74"/>
  <c r="M524" i="74"/>
  <c r="K524" i="74"/>
  <c r="I524" i="74"/>
  <c r="G524" i="74"/>
  <c r="E524" i="74"/>
  <c r="C524" i="74"/>
  <c r="R523" i="74"/>
  <c r="S523" i="74"/>
  <c r="Q523" i="74"/>
  <c r="O523" i="74"/>
  <c r="M523" i="74"/>
  <c r="K523" i="74"/>
  <c r="I523" i="74"/>
  <c r="G523" i="74"/>
  <c r="E523" i="74"/>
  <c r="C523" i="74"/>
  <c r="R522" i="74"/>
  <c r="S522" i="74"/>
  <c r="Q522" i="74"/>
  <c r="O522" i="74"/>
  <c r="M522" i="74"/>
  <c r="K522" i="74"/>
  <c r="I522" i="74"/>
  <c r="G522" i="74"/>
  <c r="E522" i="74"/>
  <c r="C522" i="74"/>
  <c r="R521" i="74"/>
  <c r="S521" i="74"/>
  <c r="Q521" i="74"/>
  <c r="O521" i="74"/>
  <c r="M521" i="74"/>
  <c r="K521" i="74"/>
  <c r="I521" i="74"/>
  <c r="G521" i="74"/>
  <c r="E521" i="74"/>
  <c r="C521" i="74"/>
  <c r="R520" i="74"/>
  <c r="S520" i="74"/>
  <c r="Q520" i="74"/>
  <c r="O520" i="74"/>
  <c r="M520" i="74"/>
  <c r="K520" i="74"/>
  <c r="I520" i="74"/>
  <c r="G520" i="74"/>
  <c r="E520" i="74"/>
  <c r="C520" i="74"/>
  <c r="R519" i="74"/>
  <c r="S519" i="74"/>
  <c r="Q519" i="74"/>
  <c r="O519" i="74"/>
  <c r="M519" i="74"/>
  <c r="K519" i="74"/>
  <c r="I519" i="74"/>
  <c r="G519" i="74"/>
  <c r="E519" i="74"/>
  <c r="C519" i="74"/>
  <c r="R518" i="74"/>
  <c r="S518" i="74"/>
  <c r="Q518" i="74"/>
  <c r="O518" i="74"/>
  <c r="M518" i="74"/>
  <c r="K518" i="74"/>
  <c r="I518" i="74"/>
  <c r="G518" i="74"/>
  <c r="E518" i="74"/>
  <c r="C518" i="74"/>
  <c r="R517" i="74"/>
  <c r="S517" i="74"/>
  <c r="Q517" i="74"/>
  <c r="O517" i="74"/>
  <c r="M517" i="74"/>
  <c r="K517" i="74"/>
  <c r="I517" i="74"/>
  <c r="G517" i="74"/>
  <c r="E517" i="74"/>
  <c r="C517" i="74"/>
  <c r="R516" i="74"/>
  <c r="S516" i="74"/>
  <c r="Q516" i="74"/>
  <c r="O516" i="74"/>
  <c r="M516" i="74"/>
  <c r="K516" i="74"/>
  <c r="I516" i="74"/>
  <c r="G516" i="74"/>
  <c r="E516" i="74"/>
  <c r="C516" i="74"/>
  <c r="R515" i="74"/>
  <c r="S515" i="74"/>
  <c r="Q515" i="74"/>
  <c r="O515" i="74"/>
  <c r="M515" i="74"/>
  <c r="K515" i="74"/>
  <c r="I515" i="74"/>
  <c r="G515" i="74"/>
  <c r="E515" i="74"/>
  <c r="C515" i="74"/>
  <c r="R514" i="74"/>
  <c r="S514" i="74"/>
  <c r="Q514" i="74"/>
  <c r="O514" i="74"/>
  <c r="M514" i="74"/>
  <c r="K514" i="74"/>
  <c r="I514" i="74"/>
  <c r="G514" i="74"/>
  <c r="E514" i="74"/>
  <c r="C514" i="74"/>
  <c r="R513" i="74"/>
  <c r="S513" i="74"/>
  <c r="Q513" i="74"/>
  <c r="O513" i="74"/>
  <c r="M513" i="74"/>
  <c r="K513" i="74"/>
  <c r="I513" i="74"/>
  <c r="G513" i="74"/>
  <c r="E513" i="74"/>
  <c r="C513" i="74"/>
  <c r="R512" i="74"/>
  <c r="S512" i="74"/>
  <c r="Q512" i="74"/>
  <c r="O512" i="74"/>
  <c r="M512" i="74"/>
  <c r="K512" i="74"/>
  <c r="I512" i="74"/>
  <c r="G512" i="74"/>
  <c r="E512" i="74"/>
  <c r="C512" i="74"/>
  <c r="R511" i="74"/>
  <c r="S511" i="74"/>
  <c r="Q511" i="74"/>
  <c r="O511" i="74"/>
  <c r="M511" i="74"/>
  <c r="K511" i="74"/>
  <c r="I511" i="74"/>
  <c r="G511" i="74"/>
  <c r="E511" i="74"/>
  <c r="C511" i="74"/>
  <c r="R510" i="74"/>
  <c r="S510" i="74"/>
  <c r="Q510" i="74"/>
  <c r="O510" i="74"/>
  <c r="M510" i="74"/>
  <c r="K510" i="74"/>
  <c r="I510" i="74"/>
  <c r="G510" i="74"/>
  <c r="E510" i="74"/>
  <c r="C510" i="74"/>
  <c r="R509" i="74"/>
  <c r="S509" i="74"/>
  <c r="Q509" i="74"/>
  <c r="O509" i="74"/>
  <c r="M509" i="74"/>
  <c r="K509" i="74"/>
  <c r="I509" i="74"/>
  <c r="G509" i="74"/>
  <c r="E509" i="74"/>
  <c r="C509" i="74"/>
  <c r="R508" i="74"/>
  <c r="S508" i="74"/>
  <c r="Q508" i="74"/>
  <c r="O508" i="74"/>
  <c r="M508" i="74"/>
  <c r="K508" i="74"/>
  <c r="I508" i="74"/>
  <c r="G508" i="74"/>
  <c r="E508" i="74"/>
  <c r="C508" i="74"/>
  <c r="R507" i="74"/>
  <c r="S507" i="74"/>
  <c r="Q507" i="74"/>
  <c r="O507" i="74"/>
  <c r="M507" i="74"/>
  <c r="K507" i="74"/>
  <c r="I507" i="74"/>
  <c r="G507" i="74"/>
  <c r="E507" i="74"/>
  <c r="C507" i="74"/>
  <c r="R506" i="74"/>
  <c r="S506" i="74"/>
  <c r="Q506" i="74"/>
  <c r="O506" i="74"/>
  <c r="M506" i="74"/>
  <c r="K506" i="74"/>
  <c r="I506" i="74"/>
  <c r="G506" i="74"/>
  <c r="E506" i="74"/>
  <c r="C506" i="74"/>
  <c r="R505" i="74"/>
  <c r="S505" i="74"/>
  <c r="Q505" i="74"/>
  <c r="O505" i="74"/>
  <c r="M505" i="74"/>
  <c r="K505" i="74"/>
  <c r="I505" i="74"/>
  <c r="G505" i="74"/>
  <c r="E505" i="74"/>
  <c r="C505" i="74"/>
  <c r="R504" i="74"/>
  <c r="S504" i="74"/>
  <c r="Q504" i="74"/>
  <c r="O504" i="74"/>
  <c r="M504" i="74"/>
  <c r="K504" i="74"/>
  <c r="I504" i="74"/>
  <c r="G504" i="74"/>
  <c r="E504" i="74"/>
  <c r="C504" i="74"/>
  <c r="R503" i="74"/>
  <c r="S503" i="74"/>
  <c r="Q503" i="74"/>
  <c r="O503" i="74"/>
  <c r="M503" i="74"/>
  <c r="K503" i="74"/>
  <c r="I503" i="74"/>
  <c r="G503" i="74"/>
  <c r="E503" i="74"/>
  <c r="C503" i="74"/>
  <c r="R502" i="74"/>
  <c r="S502" i="74"/>
  <c r="Q502" i="74"/>
  <c r="O502" i="74"/>
  <c r="M502" i="74"/>
  <c r="K502" i="74"/>
  <c r="I502" i="74"/>
  <c r="G502" i="74"/>
  <c r="E502" i="74"/>
  <c r="C502" i="74"/>
  <c r="R501" i="74"/>
  <c r="S501" i="74"/>
  <c r="Q501" i="74"/>
  <c r="O501" i="74"/>
  <c r="M501" i="74"/>
  <c r="K501" i="74"/>
  <c r="I501" i="74"/>
  <c r="G501" i="74"/>
  <c r="E501" i="74"/>
  <c r="C501" i="74"/>
  <c r="R500" i="74"/>
  <c r="S500" i="74"/>
  <c r="Q500" i="74"/>
  <c r="O500" i="74"/>
  <c r="M500" i="74"/>
  <c r="K500" i="74"/>
  <c r="I500" i="74"/>
  <c r="G500" i="74"/>
  <c r="E500" i="74"/>
  <c r="C500" i="74"/>
  <c r="R499" i="74"/>
  <c r="S499" i="74"/>
  <c r="Q499" i="74"/>
  <c r="O499" i="74"/>
  <c r="M499" i="74"/>
  <c r="K499" i="74"/>
  <c r="I499" i="74"/>
  <c r="G499" i="74"/>
  <c r="E499" i="74"/>
  <c r="C499" i="74"/>
  <c r="R498" i="74"/>
  <c r="S498" i="74"/>
  <c r="Q498" i="74"/>
  <c r="O498" i="74"/>
  <c r="M498" i="74"/>
  <c r="K498" i="74"/>
  <c r="I498" i="74"/>
  <c r="G498" i="74"/>
  <c r="E498" i="74"/>
  <c r="C498" i="74"/>
  <c r="R497" i="74"/>
  <c r="S497" i="74"/>
  <c r="Q497" i="74"/>
  <c r="O497" i="74"/>
  <c r="M497" i="74"/>
  <c r="K497" i="74"/>
  <c r="I497" i="74"/>
  <c r="G497" i="74"/>
  <c r="E497" i="74"/>
  <c r="C497" i="74"/>
  <c r="R496" i="74"/>
  <c r="S496" i="74"/>
  <c r="Q496" i="74"/>
  <c r="O496" i="74"/>
  <c r="M496" i="74"/>
  <c r="K496" i="74"/>
  <c r="I496" i="74"/>
  <c r="G496" i="74"/>
  <c r="E496" i="74"/>
  <c r="C496" i="74"/>
  <c r="R495" i="74"/>
  <c r="S495" i="74"/>
  <c r="Q495" i="74"/>
  <c r="O495" i="74"/>
  <c r="M495" i="74"/>
  <c r="K495" i="74"/>
  <c r="I495" i="74"/>
  <c r="G495" i="74"/>
  <c r="E495" i="74"/>
  <c r="C495" i="74"/>
  <c r="R494" i="74"/>
  <c r="S494" i="74"/>
  <c r="Q494" i="74"/>
  <c r="O494" i="74"/>
  <c r="M494" i="74"/>
  <c r="K494" i="74"/>
  <c r="I494" i="74"/>
  <c r="G494" i="74"/>
  <c r="E494" i="74"/>
  <c r="C494" i="74"/>
  <c r="R493" i="74"/>
  <c r="S493" i="74"/>
  <c r="Q493" i="74"/>
  <c r="O493" i="74"/>
  <c r="M493" i="74"/>
  <c r="K493" i="74"/>
  <c r="I493" i="74"/>
  <c r="G493" i="74"/>
  <c r="E493" i="74"/>
  <c r="C493" i="74"/>
  <c r="R492" i="74"/>
  <c r="S492" i="74"/>
  <c r="Q492" i="74"/>
  <c r="O492" i="74"/>
  <c r="M492" i="74"/>
  <c r="K492" i="74"/>
  <c r="I492" i="74"/>
  <c r="G492" i="74"/>
  <c r="E492" i="74"/>
  <c r="C492" i="74"/>
  <c r="R491" i="74"/>
  <c r="S491" i="74"/>
  <c r="Q491" i="74"/>
  <c r="O491" i="74"/>
  <c r="M491" i="74"/>
  <c r="K491" i="74"/>
  <c r="I491" i="74"/>
  <c r="G491" i="74"/>
  <c r="E491" i="74"/>
  <c r="C491" i="74"/>
  <c r="R490" i="74"/>
  <c r="S490" i="74"/>
  <c r="Q490" i="74"/>
  <c r="O490" i="74"/>
  <c r="M490" i="74"/>
  <c r="K490" i="74"/>
  <c r="I490" i="74"/>
  <c r="G490" i="74"/>
  <c r="E490" i="74"/>
  <c r="C490" i="74"/>
  <c r="R489" i="74"/>
  <c r="S489" i="74"/>
  <c r="Q489" i="74"/>
  <c r="O489" i="74"/>
  <c r="M489" i="74"/>
  <c r="K489" i="74"/>
  <c r="I489" i="74"/>
  <c r="G489" i="74"/>
  <c r="E489" i="74"/>
  <c r="C489" i="74"/>
  <c r="R488" i="74"/>
  <c r="S488" i="74"/>
  <c r="Q488" i="74"/>
  <c r="O488" i="74"/>
  <c r="M488" i="74"/>
  <c r="K488" i="74"/>
  <c r="I488" i="74"/>
  <c r="G488" i="74"/>
  <c r="E488" i="74"/>
  <c r="C488" i="74"/>
  <c r="R487" i="74"/>
  <c r="S487" i="74"/>
  <c r="Q487" i="74"/>
  <c r="O487" i="74"/>
  <c r="M487" i="74"/>
  <c r="K487" i="74"/>
  <c r="I487" i="74"/>
  <c r="G487" i="74"/>
  <c r="E487" i="74"/>
  <c r="C487" i="74"/>
  <c r="R486" i="74"/>
  <c r="S486" i="74"/>
  <c r="Q486" i="74"/>
  <c r="O486" i="74"/>
  <c r="M486" i="74"/>
  <c r="K486" i="74"/>
  <c r="I486" i="74"/>
  <c r="G486" i="74"/>
  <c r="E486" i="74"/>
  <c r="C486" i="74"/>
  <c r="R485" i="74"/>
  <c r="S485" i="74"/>
  <c r="Q485" i="74"/>
  <c r="O485" i="74"/>
  <c r="M485" i="74"/>
  <c r="K485" i="74"/>
  <c r="I485" i="74"/>
  <c r="G485" i="74"/>
  <c r="E485" i="74"/>
  <c r="C485" i="74"/>
  <c r="R484" i="74"/>
  <c r="S484" i="74"/>
  <c r="Q484" i="74"/>
  <c r="O484" i="74"/>
  <c r="M484" i="74"/>
  <c r="K484" i="74"/>
  <c r="I484" i="74"/>
  <c r="G484" i="74"/>
  <c r="E484" i="74"/>
  <c r="C484" i="74"/>
  <c r="R483" i="74"/>
  <c r="S483" i="74"/>
  <c r="Q483" i="74"/>
  <c r="O483" i="74"/>
  <c r="M483" i="74"/>
  <c r="K483" i="74"/>
  <c r="I483" i="74"/>
  <c r="G483" i="74"/>
  <c r="E483" i="74"/>
  <c r="C483" i="74"/>
  <c r="R482" i="74"/>
  <c r="S482" i="74"/>
  <c r="Q482" i="74"/>
  <c r="O482" i="74"/>
  <c r="M482" i="74"/>
  <c r="K482" i="74"/>
  <c r="I482" i="74"/>
  <c r="G482" i="74"/>
  <c r="E482" i="74"/>
  <c r="C482" i="74"/>
  <c r="R481" i="74"/>
  <c r="S481" i="74"/>
  <c r="Q481" i="74"/>
  <c r="O481" i="74"/>
  <c r="M481" i="74"/>
  <c r="K481" i="74"/>
  <c r="I481" i="74"/>
  <c r="G481" i="74"/>
  <c r="E481" i="74"/>
  <c r="C481" i="74"/>
  <c r="R480" i="74"/>
  <c r="S480" i="74"/>
  <c r="Q480" i="74"/>
  <c r="O480" i="74"/>
  <c r="M480" i="74"/>
  <c r="K480" i="74"/>
  <c r="I480" i="74"/>
  <c r="G480" i="74"/>
  <c r="E480" i="74"/>
  <c r="C480" i="74"/>
  <c r="R479" i="74"/>
  <c r="S479" i="74"/>
  <c r="Q479" i="74"/>
  <c r="O479" i="74"/>
  <c r="M479" i="74"/>
  <c r="K479" i="74"/>
  <c r="I479" i="74"/>
  <c r="G479" i="74"/>
  <c r="E479" i="74"/>
  <c r="C479" i="74"/>
  <c r="R478" i="74"/>
  <c r="S478" i="74"/>
  <c r="Q478" i="74"/>
  <c r="O478" i="74"/>
  <c r="M478" i="74"/>
  <c r="K478" i="74"/>
  <c r="I478" i="74"/>
  <c r="G478" i="74"/>
  <c r="E478" i="74"/>
  <c r="C478" i="74"/>
  <c r="R477" i="74"/>
  <c r="S477" i="74"/>
  <c r="Q477" i="74"/>
  <c r="O477" i="74"/>
  <c r="M477" i="74"/>
  <c r="K477" i="74"/>
  <c r="I477" i="74"/>
  <c r="G477" i="74"/>
  <c r="E477" i="74"/>
  <c r="C477" i="74"/>
  <c r="R476" i="74"/>
  <c r="S476" i="74"/>
  <c r="Q476" i="74"/>
  <c r="O476" i="74"/>
  <c r="M476" i="74"/>
  <c r="K476" i="74"/>
  <c r="I476" i="74"/>
  <c r="G476" i="74"/>
  <c r="E476" i="74"/>
  <c r="C476" i="74"/>
  <c r="R475" i="74"/>
  <c r="S475" i="74"/>
  <c r="Q475" i="74"/>
  <c r="O475" i="74"/>
  <c r="M475" i="74"/>
  <c r="K475" i="74"/>
  <c r="I475" i="74"/>
  <c r="G475" i="74"/>
  <c r="E475" i="74"/>
  <c r="C475" i="74"/>
  <c r="R474" i="74"/>
  <c r="S474" i="74"/>
  <c r="Q474" i="74"/>
  <c r="O474" i="74"/>
  <c r="M474" i="74"/>
  <c r="K474" i="74"/>
  <c r="I474" i="74"/>
  <c r="G474" i="74"/>
  <c r="E474" i="74"/>
  <c r="C474" i="74"/>
  <c r="R473" i="74"/>
  <c r="S473" i="74"/>
  <c r="Q473" i="74"/>
  <c r="O473" i="74"/>
  <c r="M473" i="74"/>
  <c r="K473" i="74"/>
  <c r="I473" i="74"/>
  <c r="G473" i="74"/>
  <c r="E473" i="74"/>
  <c r="C473" i="74"/>
  <c r="R472" i="74"/>
  <c r="S472" i="74"/>
  <c r="Q472" i="74"/>
  <c r="O472" i="74"/>
  <c r="M472" i="74"/>
  <c r="K472" i="74"/>
  <c r="I472" i="74"/>
  <c r="G472" i="74"/>
  <c r="E472" i="74"/>
  <c r="C472" i="74"/>
  <c r="R471" i="74"/>
  <c r="S471" i="74"/>
  <c r="Q471" i="74"/>
  <c r="O471" i="74"/>
  <c r="M471" i="74"/>
  <c r="K471" i="74"/>
  <c r="I471" i="74"/>
  <c r="G471" i="74"/>
  <c r="E471" i="74"/>
  <c r="C471" i="74"/>
  <c r="R470" i="74"/>
  <c r="S470" i="74"/>
  <c r="Q470" i="74"/>
  <c r="O470" i="74"/>
  <c r="M470" i="74"/>
  <c r="K470" i="74"/>
  <c r="I470" i="74"/>
  <c r="G470" i="74"/>
  <c r="E470" i="74"/>
  <c r="C470" i="74"/>
  <c r="R469" i="74"/>
  <c r="S469" i="74"/>
  <c r="Q469" i="74"/>
  <c r="O469" i="74"/>
  <c r="M469" i="74"/>
  <c r="K469" i="74"/>
  <c r="I469" i="74"/>
  <c r="G469" i="74"/>
  <c r="E469" i="74"/>
  <c r="C469" i="74"/>
  <c r="R468" i="74"/>
  <c r="S468" i="74"/>
  <c r="Q468" i="74"/>
  <c r="O468" i="74"/>
  <c r="M468" i="74"/>
  <c r="K468" i="74"/>
  <c r="I468" i="74"/>
  <c r="G468" i="74"/>
  <c r="E468" i="74"/>
  <c r="C468" i="74"/>
  <c r="R467" i="74"/>
  <c r="S467" i="74"/>
  <c r="Q467" i="74"/>
  <c r="O467" i="74"/>
  <c r="M467" i="74"/>
  <c r="K467" i="74"/>
  <c r="I467" i="74"/>
  <c r="G467" i="74"/>
  <c r="E467" i="74"/>
  <c r="C467" i="74"/>
  <c r="R466" i="74"/>
  <c r="S466" i="74"/>
  <c r="Q466" i="74"/>
  <c r="O466" i="74"/>
  <c r="M466" i="74"/>
  <c r="K466" i="74"/>
  <c r="I466" i="74"/>
  <c r="G466" i="74"/>
  <c r="E466" i="74"/>
  <c r="C466" i="74"/>
  <c r="R465" i="74"/>
  <c r="S465" i="74"/>
  <c r="Q465" i="74"/>
  <c r="O465" i="74"/>
  <c r="M465" i="74"/>
  <c r="K465" i="74"/>
  <c r="I465" i="74"/>
  <c r="G465" i="74"/>
  <c r="E465" i="74"/>
  <c r="C465" i="74"/>
  <c r="R464" i="74"/>
  <c r="S464" i="74"/>
  <c r="Q464" i="74"/>
  <c r="O464" i="74"/>
  <c r="M464" i="74"/>
  <c r="K464" i="74"/>
  <c r="I464" i="74"/>
  <c r="G464" i="74"/>
  <c r="E464" i="74"/>
  <c r="C464" i="74"/>
  <c r="R463" i="74"/>
  <c r="S463" i="74"/>
  <c r="Q463" i="74"/>
  <c r="O463" i="74"/>
  <c r="M463" i="74"/>
  <c r="K463" i="74"/>
  <c r="I463" i="74"/>
  <c r="G463" i="74"/>
  <c r="E463" i="74"/>
  <c r="C463" i="74"/>
  <c r="R462" i="74"/>
  <c r="S462" i="74"/>
  <c r="Q462" i="74"/>
  <c r="O462" i="74"/>
  <c r="M462" i="74"/>
  <c r="K462" i="74"/>
  <c r="I462" i="74"/>
  <c r="G462" i="74"/>
  <c r="E462" i="74"/>
  <c r="C462" i="74"/>
  <c r="R461" i="74"/>
  <c r="S461" i="74"/>
  <c r="Q461" i="74"/>
  <c r="O461" i="74"/>
  <c r="M461" i="74"/>
  <c r="K461" i="74"/>
  <c r="I461" i="74"/>
  <c r="G461" i="74"/>
  <c r="E461" i="74"/>
  <c r="C461" i="74"/>
  <c r="R460" i="74"/>
  <c r="S460" i="74"/>
  <c r="Q460" i="74"/>
  <c r="O460" i="74"/>
  <c r="M460" i="74"/>
  <c r="K460" i="74"/>
  <c r="I460" i="74"/>
  <c r="G460" i="74"/>
  <c r="E460" i="74"/>
  <c r="C460" i="74"/>
  <c r="R459" i="74"/>
  <c r="S459" i="74"/>
  <c r="Q459" i="74"/>
  <c r="O459" i="74"/>
  <c r="M459" i="74"/>
  <c r="K459" i="74"/>
  <c r="I459" i="74"/>
  <c r="G459" i="74"/>
  <c r="E459" i="74"/>
  <c r="C459" i="74"/>
  <c r="R458" i="74"/>
  <c r="S458" i="74"/>
  <c r="Q458" i="74"/>
  <c r="O458" i="74"/>
  <c r="M458" i="74"/>
  <c r="K458" i="74"/>
  <c r="I458" i="74"/>
  <c r="G458" i="74"/>
  <c r="E458" i="74"/>
  <c r="C458" i="74"/>
  <c r="R457" i="74"/>
  <c r="S457" i="74"/>
  <c r="Q457" i="74"/>
  <c r="O457" i="74"/>
  <c r="M457" i="74"/>
  <c r="K457" i="74"/>
  <c r="I457" i="74"/>
  <c r="G457" i="74"/>
  <c r="E457" i="74"/>
  <c r="C457" i="74"/>
  <c r="R456" i="74"/>
  <c r="S456" i="74"/>
  <c r="Q456" i="74"/>
  <c r="O456" i="74"/>
  <c r="M456" i="74"/>
  <c r="K456" i="74"/>
  <c r="I456" i="74"/>
  <c r="G456" i="74"/>
  <c r="E456" i="74"/>
  <c r="C456" i="74"/>
  <c r="R455" i="74"/>
  <c r="S455" i="74"/>
  <c r="Q455" i="74"/>
  <c r="O455" i="74"/>
  <c r="M455" i="74"/>
  <c r="K455" i="74"/>
  <c r="I455" i="74"/>
  <c r="G455" i="74"/>
  <c r="E455" i="74"/>
  <c r="C455" i="74"/>
  <c r="R454" i="74"/>
  <c r="S454" i="74"/>
  <c r="Q454" i="74"/>
  <c r="O454" i="74"/>
  <c r="M454" i="74"/>
  <c r="K454" i="74"/>
  <c r="I454" i="74"/>
  <c r="G454" i="74"/>
  <c r="E454" i="74"/>
  <c r="C454" i="74"/>
  <c r="R453" i="74"/>
  <c r="S453" i="74"/>
  <c r="Q453" i="74"/>
  <c r="O453" i="74"/>
  <c r="M453" i="74"/>
  <c r="K453" i="74"/>
  <c r="I453" i="74"/>
  <c r="G453" i="74"/>
  <c r="E453" i="74"/>
  <c r="C453" i="74"/>
  <c r="R452" i="74"/>
  <c r="S452" i="74"/>
  <c r="Q452" i="74"/>
  <c r="O452" i="74"/>
  <c r="M452" i="74"/>
  <c r="K452" i="74"/>
  <c r="I452" i="74"/>
  <c r="G452" i="74"/>
  <c r="E452" i="74"/>
  <c r="C452" i="74"/>
  <c r="R451" i="74"/>
  <c r="S451" i="74"/>
  <c r="Q451" i="74"/>
  <c r="O451" i="74"/>
  <c r="M451" i="74"/>
  <c r="K451" i="74"/>
  <c r="I451" i="74"/>
  <c r="G451" i="74"/>
  <c r="E451" i="74"/>
  <c r="C451" i="74"/>
  <c r="R450" i="74"/>
  <c r="S450" i="74"/>
  <c r="Q450" i="74"/>
  <c r="O450" i="74"/>
  <c r="M450" i="74"/>
  <c r="K450" i="74"/>
  <c r="I450" i="74"/>
  <c r="G450" i="74"/>
  <c r="E450" i="74"/>
  <c r="C450" i="74"/>
  <c r="R449" i="74"/>
  <c r="S449" i="74"/>
  <c r="Q449" i="74"/>
  <c r="O449" i="74"/>
  <c r="M449" i="74"/>
  <c r="K449" i="74"/>
  <c r="I449" i="74"/>
  <c r="G449" i="74"/>
  <c r="E449" i="74"/>
  <c r="C449" i="74"/>
  <c r="R448" i="74"/>
  <c r="S448" i="74"/>
  <c r="Q448" i="74"/>
  <c r="O448" i="74"/>
  <c r="M448" i="74"/>
  <c r="K448" i="74"/>
  <c r="I448" i="74"/>
  <c r="G448" i="74"/>
  <c r="E448" i="74"/>
  <c r="C448" i="74"/>
  <c r="R447" i="74"/>
  <c r="S447" i="74"/>
  <c r="Q447" i="74"/>
  <c r="O447" i="74"/>
  <c r="M447" i="74"/>
  <c r="K447" i="74"/>
  <c r="I447" i="74"/>
  <c r="G447" i="74"/>
  <c r="E447" i="74"/>
  <c r="C447" i="74"/>
  <c r="R446" i="74"/>
  <c r="S446" i="74"/>
  <c r="Q446" i="74"/>
  <c r="O446" i="74"/>
  <c r="M446" i="74"/>
  <c r="K446" i="74"/>
  <c r="I446" i="74"/>
  <c r="G446" i="74"/>
  <c r="E446" i="74"/>
  <c r="C446" i="74"/>
  <c r="R445" i="74"/>
  <c r="S445" i="74"/>
  <c r="Q445" i="74"/>
  <c r="O445" i="74"/>
  <c r="M445" i="74"/>
  <c r="K445" i="74"/>
  <c r="I445" i="74"/>
  <c r="G445" i="74"/>
  <c r="E445" i="74"/>
  <c r="C445" i="74"/>
  <c r="R444" i="74"/>
  <c r="S444" i="74"/>
  <c r="Q444" i="74"/>
  <c r="O444" i="74"/>
  <c r="M444" i="74"/>
  <c r="K444" i="74"/>
  <c r="I444" i="74"/>
  <c r="G444" i="74"/>
  <c r="E444" i="74"/>
  <c r="C444" i="74"/>
  <c r="R443" i="74"/>
  <c r="S443" i="74"/>
  <c r="Q443" i="74"/>
  <c r="O443" i="74"/>
  <c r="M443" i="74"/>
  <c r="K443" i="74"/>
  <c r="I443" i="74"/>
  <c r="G443" i="74"/>
  <c r="E443" i="74"/>
  <c r="C443" i="74"/>
  <c r="R442" i="74"/>
  <c r="S442" i="74"/>
  <c r="Q442" i="74"/>
  <c r="O442" i="74"/>
  <c r="M442" i="74"/>
  <c r="K442" i="74"/>
  <c r="I442" i="74"/>
  <c r="G442" i="74"/>
  <c r="E442" i="74"/>
  <c r="C442" i="74"/>
  <c r="R441" i="74"/>
  <c r="S441" i="74"/>
  <c r="Q441" i="74"/>
  <c r="O441" i="74"/>
  <c r="M441" i="74"/>
  <c r="K441" i="74"/>
  <c r="I441" i="74"/>
  <c r="G441" i="74"/>
  <c r="E441" i="74"/>
  <c r="C441" i="74"/>
  <c r="R440" i="74"/>
  <c r="S440" i="74"/>
  <c r="Q440" i="74"/>
  <c r="O440" i="74"/>
  <c r="M440" i="74"/>
  <c r="K440" i="74"/>
  <c r="I440" i="74"/>
  <c r="G440" i="74"/>
  <c r="E440" i="74"/>
  <c r="C440" i="74"/>
  <c r="R439" i="74"/>
  <c r="S439" i="74"/>
  <c r="Q439" i="74"/>
  <c r="O439" i="74"/>
  <c r="M439" i="74"/>
  <c r="K439" i="74"/>
  <c r="I439" i="74"/>
  <c r="G439" i="74"/>
  <c r="E439" i="74"/>
  <c r="C439" i="74"/>
  <c r="R438" i="74"/>
  <c r="S438" i="74"/>
  <c r="Q438" i="74"/>
  <c r="O438" i="74"/>
  <c r="M438" i="74"/>
  <c r="K438" i="74"/>
  <c r="I438" i="74"/>
  <c r="G438" i="74"/>
  <c r="E438" i="74"/>
  <c r="C438" i="74"/>
  <c r="R437" i="74"/>
  <c r="S437" i="74"/>
  <c r="Q437" i="74"/>
  <c r="O437" i="74"/>
  <c r="M437" i="74"/>
  <c r="K437" i="74"/>
  <c r="I437" i="74"/>
  <c r="G437" i="74"/>
  <c r="E437" i="74"/>
  <c r="C437" i="74"/>
  <c r="R436" i="74"/>
  <c r="S436" i="74"/>
  <c r="Q436" i="74"/>
  <c r="O436" i="74"/>
  <c r="M436" i="74"/>
  <c r="K436" i="74"/>
  <c r="I436" i="74"/>
  <c r="G436" i="74"/>
  <c r="E436" i="74"/>
  <c r="C436" i="74"/>
  <c r="R435" i="74"/>
  <c r="S435" i="74"/>
  <c r="Q435" i="74"/>
  <c r="O435" i="74"/>
  <c r="M435" i="74"/>
  <c r="K435" i="74"/>
  <c r="I435" i="74"/>
  <c r="G435" i="74"/>
  <c r="E435" i="74"/>
  <c r="C435" i="74"/>
  <c r="R434" i="74"/>
  <c r="S434" i="74"/>
  <c r="Q434" i="74"/>
  <c r="O434" i="74"/>
  <c r="M434" i="74"/>
  <c r="K434" i="74"/>
  <c r="I434" i="74"/>
  <c r="G434" i="74"/>
  <c r="E434" i="74"/>
  <c r="C434" i="74"/>
  <c r="R433" i="74"/>
  <c r="S433" i="74"/>
  <c r="Q433" i="74"/>
  <c r="O433" i="74"/>
  <c r="M433" i="74"/>
  <c r="K433" i="74"/>
  <c r="I433" i="74"/>
  <c r="G433" i="74"/>
  <c r="E433" i="74"/>
  <c r="C433" i="74"/>
  <c r="R432" i="74"/>
  <c r="S432" i="74"/>
  <c r="Q432" i="74"/>
  <c r="O432" i="74"/>
  <c r="M432" i="74"/>
  <c r="K432" i="74"/>
  <c r="I432" i="74"/>
  <c r="G432" i="74"/>
  <c r="E432" i="74"/>
  <c r="C432" i="74"/>
  <c r="R431" i="74"/>
  <c r="S431" i="74"/>
  <c r="Q431" i="74"/>
  <c r="O431" i="74"/>
  <c r="M431" i="74"/>
  <c r="K431" i="74"/>
  <c r="I431" i="74"/>
  <c r="G431" i="74"/>
  <c r="E431" i="74"/>
  <c r="C431" i="74"/>
  <c r="R430" i="74"/>
  <c r="S430" i="74"/>
  <c r="Q430" i="74"/>
  <c r="O430" i="74"/>
  <c r="M430" i="74"/>
  <c r="K430" i="74"/>
  <c r="I430" i="74"/>
  <c r="G430" i="74"/>
  <c r="E430" i="74"/>
  <c r="C430" i="74"/>
  <c r="R429" i="74"/>
  <c r="S429" i="74"/>
  <c r="Q429" i="74"/>
  <c r="O429" i="74"/>
  <c r="M429" i="74"/>
  <c r="K429" i="74"/>
  <c r="I429" i="74"/>
  <c r="G429" i="74"/>
  <c r="E429" i="74"/>
  <c r="C429" i="74"/>
  <c r="R428" i="74"/>
  <c r="S428" i="74"/>
  <c r="Q428" i="74"/>
  <c r="O428" i="74"/>
  <c r="M428" i="74"/>
  <c r="K428" i="74"/>
  <c r="I428" i="74"/>
  <c r="G428" i="74"/>
  <c r="E428" i="74"/>
  <c r="C428" i="74"/>
  <c r="R427" i="74"/>
  <c r="S427" i="74"/>
  <c r="Q427" i="74"/>
  <c r="O427" i="74"/>
  <c r="M427" i="74"/>
  <c r="K427" i="74"/>
  <c r="I427" i="74"/>
  <c r="G427" i="74"/>
  <c r="E427" i="74"/>
  <c r="C427" i="74"/>
  <c r="R426" i="74"/>
  <c r="S426" i="74"/>
  <c r="Q426" i="74"/>
  <c r="O426" i="74"/>
  <c r="M426" i="74"/>
  <c r="K426" i="74"/>
  <c r="I426" i="74"/>
  <c r="G426" i="74"/>
  <c r="E426" i="74"/>
  <c r="C426" i="74"/>
  <c r="R425" i="74"/>
  <c r="S425" i="74"/>
  <c r="Q425" i="74"/>
  <c r="O425" i="74"/>
  <c r="M425" i="74"/>
  <c r="K425" i="74"/>
  <c r="I425" i="74"/>
  <c r="G425" i="74"/>
  <c r="E425" i="74"/>
  <c r="C425" i="74"/>
  <c r="R424" i="74"/>
  <c r="S424" i="74"/>
  <c r="Q424" i="74"/>
  <c r="O424" i="74"/>
  <c r="M424" i="74"/>
  <c r="K424" i="74"/>
  <c r="I424" i="74"/>
  <c r="G424" i="74"/>
  <c r="E424" i="74"/>
  <c r="C424" i="74"/>
  <c r="R423" i="74"/>
  <c r="S423" i="74"/>
  <c r="Q423" i="74"/>
  <c r="O423" i="74"/>
  <c r="M423" i="74"/>
  <c r="K423" i="74"/>
  <c r="I423" i="74"/>
  <c r="G423" i="74"/>
  <c r="E423" i="74"/>
  <c r="C423" i="74"/>
  <c r="R422" i="74"/>
  <c r="S422" i="74"/>
  <c r="Q422" i="74"/>
  <c r="O422" i="74"/>
  <c r="M422" i="74"/>
  <c r="K422" i="74"/>
  <c r="I422" i="74"/>
  <c r="G422" i="74"/>
  <c r="E422" i="74"/>
  <c r="C422" i="74"/>
  <c r="R421" i="74"/>
  <c r="S421" i="74"/>
  <c r="Q421" i="74"/>
  <c r="O421" i="74"/>
  <c r="M421" i="74"/>
  <c r="K421" i="74"/>
  <c r="I421" i="74"/>
  <c r="G421" i="74"/>
  <c r="E421" i="74"/>
  <c r="C421" i="74"/>
  <c r="R420" i="74"/>
  <c r="S420" i="74"/>
  <c r="Q420" i="74"/>
  <c r="O420" i="74"/>
  <c r="M420" i="74"/>
  <c r="K420" i="74"/>
  <c r="I420" i="74"/>
  <c r="G420" i="74"/>
  <c r="E420" i="74"/>
  <c r="C420" i="74"/>
  <c r="R419" i="74"/>
  <c r="S419" i="74"/>
  <c r="Q419" i="74"/>
  <c r="O419" i="74"/>
  <c r="M419" i="74"/>
  <c r="K419" i="74"/>
  <c r="I419" i="74"/>
  <c r="G419" i="74"/>
  <c r="E419" i="74"/>
  <c r="C419" i="74"/>
  <c r="R418" i="74"/>
  <c r="S418" i="74"/>
  <c r="Q418" i="74"/>
  <c r="O418" i="74"/>
  <c r="M418" i="74"/>
  <c r="K418" i="74"/>
  <c r="I418" i="74"/>
  <c r="G418" i="74"/>
  <c r="E418" i="74"/>
  <c r="C418" i="74"/>
  <c r="R417" i="74"/>
  <c r="S417" i="74"/>
  <c r="Q417" i="74"/>
  <c r="O417" i="74"/>
  <c r="M417" i="74"/>
  <c r="K417" i="74"/>
  <c r="I417" i="74"/>
  <c r="G417" i="74"/>
  <c r="E417" i="74"/>
  <c r="C417" i="74"/>
  <c r="R416" i="74"/>
  <c r="S416" i="74"/>
  <c r="Q416" i="74"/>
  <c r="O416" i="74"/>
  <c r="M416" i="74"/>
  <c r="K416" i="74"/>
  <c r="I416" i="74"/>
  <c r="G416" i="74"/>
  <c r="E416" i="74"/>
  <c r="C416" i="74"/>
  <c r="R415" i="74"/>
  <c r="S415" i="74"/>
  <c r="Q415" i="74"/>
  <c r="O415" i="74"/>
  <c r="M415" i="74"/>
  <c r="K415" i="74"/>
  <c r="I415" i="74"/>
  <c r="G415" i="74"/>
  <c r="E415" i="74"/>
  <c r="C415" i="74"/>
  <c r="R414" i="74"/>
  <c r="S414" i="74"/>
  <c r="Q414" i="74"/>
  <c r="O414" i="74"/>
  <c r="M414" i="74"/>
  <c r="K414" i="74"/>
  <c r="I414" i="74"/>
  <c r="G414" i="74"/>
  <c r="E414" i="74"/>
  <c r="C414" i="74"/>
  <c r="R413" i="74"/>
  <c r="S413" i="74"/>
  <c r="Q413" i="74"/>
  <c r="O413" i="74"/>
  <c r="M413" i="74"/>
  <c r="K413" i="74"/>
  <c r="I413" i="74"/>
  <c r="G413" i="74"/>
  <c r="E413" i="74"/>
  <c r="C413" i="74"/>
  <c r="R412" i="74"/>
  <c r="S412" i="74"/>
  <c r="Q412" i="74"/>
  <c r="O412" i="74"/>
  <c r="M412" i="74"/>
  <c r="K412" i="74"/>
  <c r="I412" i="74"/>
  <c r="G412" i="74"/>
  <c r="E412" i="74"/>
  <c r="C412" i="74"/>
  <c r="R411" i="74"/>
  <c r="S411" i="74"/>
  <c r="Q411" i="74"/>
  <c r="O411" i="74"/>
  <c r="M411" i="74"/>
  <c r="K411" i="74"/>
  <c r="I411" i="74"/>
  <c r="G411" i="74"/>
  <c r="E411" i="74"/>
  <c r="C411" i="74"/>
  <c r="R410" i="74"/>
  <c r="S410" i="74"/>
  <c r="Q410" i="74"/>
  <c r="O410" i="74"/>
  <c r="M410" i="74"/>
  <c r="K410" i="74"/>
  <c r="I410" i="74"/>
  <c r="G410" i="74"/>
  <c r="E410" i="74"/>
  <c r="C410" i="74"/>
  <c r="R409" i="74"/>
  <c r="S409" i="74"/>
  <c r="Q409" i="74"/>
  <c r="O409" i="74"/>
  <c r="M409" i="74"/>
  <c r="K409" i="74"/>
  <c r="I409" i="74"/>
  <c r="G409" i="74"/>
  <c r="E409" i="74"/>
  <c r="C409" i="74"/>
  <c r="R408" i="74"/>
  <c r="S408" i="74"/>
  <c r="Q408" i="74"/>
  <c r="O408" i="74"/>
  <c r="M408" i="74"/>
  <c r="K408" i="74"/>
  <c r="I408" i="74"/>
  <c r="G408" i="74"/>
  <c r="E408" i="74"/>
  <c r="C408" i="74"/>
  <c r="R407" i="74"/>
  <c r="S407" i="74"/>
  <c r="Q407" i="74"/>
  <c r="O407" i="74"/>
  <c r="M407" i="74"/>
  <c r="K407" i="74"/>
  <c r="I407" i="74"/>
  <c r="G407" i="74"/>
  <c r="E407" i="74"/>
  <c r="C407" i="74"/>
  <c r="R406" i="74"/>
  <c r="S406" i="74"/>
  <c r="Q406" i="74"/>
  <c r="O406" i="74"/>
  <c r="M406" i="74"/>
  <c r="K406" i="74"/>
  <c r="I406" i="74"/>
  <c r="G406" i="74"/>
  <c r="E406" i="74"/>
  <c r="C406" i="74"/>
  <c r="R405" i="74"/>
  <c r="S405" i="74"/>
  <c r="Q405" i="74"/>
  <c r="O405" i="74"/>
  <c r="M405" i="74"/>
  <c r="K405" i="74"/>
  <c r="I405" i="74"/>
  <c r="G405" i="74"/>
  <c r="E405" i="74"/>
  <c r="C405" i="74"/>
  <c r="R404" i="74"/>
  <c r="S404" i="74"/>
  <c r="Q404" i="74"/>
  <c r="O404" i="74"/>
  <c r="M404" i="74"/>
  <c r="K404" i="74"/>
  <c r="I404" i="74"/>
  <c r="G404" i="74"/>
  <c r="E404" i="74"/>
  <c r="C404" i="74"/>
  <c r="R403" i="74"/>
  <c r="S403" i="74"/>
  <c r="Q403" i="74"/>
  <c r="O403" i="74"/>
  <c r="M403" i="74"/>
  <c r="K403" i="74"/>
  <c r="I403" i="74"/>
  <c r="G403" i="74"/>
  <c r="E403" i="74"/>
  <c r="C403" i="74"/>
  <c r="R402" i="74"/>
  <c r="S402" i="74"/>
  <c r="Q402" i="74"/>
  <c r="O402" i="74"/>
  <c r="M402" i="74"/>
  <c r="K402" i="74"/>
  <c r="I402" i="74"/>
  <c r="G402" i="74"/>
  <c r="E402" i="74"/>
  <c r="C402" i="74"/>
  <c r="R401" i="74"/>
  <c r="S401" i="74"/>
  <c r="Q401" i="74"/>
  <c r="O401" i="74"/>
  <c r="M401" i="74"/>
  <c r="K401" i="74"/>
  <c r="I401" i="74"/>
  <c r="G401" i="74"/>
  <c r="E401" i="74"/>
  <c r="C401" i="74"/>
  <c r="R400" i="74"/>
  <c r="S400" i="74"/>
  <c r="Q400" i="74"/>
  <c r="O400" i="74"/>
  <c r="M400" i="74"/>
  <c r="K400" i="74"/>
  <c r="I400" i="74"/>
  <c r="G400" i="74"/>
  <c r="E400" i="74"/>
  <c r="C400" i="74"/>
  <c r="R399" i="74"/>
  <c r="S399" i="74"/>
  <c r="Q399" i="74"/>
  <c r="O399" i="74"/>
  <c r="M399" i="74"/>
  <c r="K399" i="74"/>
  <c r="I399" i="74"/>
  <c r="G399" i="74"/>
  <c r="E399" i="74"/>
  <c r="C399" i="74"/>
  <c r="R398" i="74"/>
  <c r="S398" i="74"/>
  <c r="Q398" i="74"/>
  <c r="O398" i="74"/>
  <c r="M398" i="74"/>
  <c r="K398" i="74"/>
  <c r="I398" i="74"/>
  <c r="G398" i="74"/>
  <c r="E398" i="74"/>
  <c r="C398" i="74"/>
  <c r="R397" i="74"/>
  <c r="S397" i="74"/>
  <c r="Q397" i="74"/>
  <c r="O397" i="74"/>
  <c r="M397" i="74"/>
  <c r="K397" i="74"/>
  <c r="I397" i="74"/>
  <c r="G397" i="74"/>
  <c r="E397" i="74"/>
  <c r="C397" i="74"/>
  <c r="R396" i="74"/>
  <c r="S396" i="74"/>
  <c r="Q396" i="74"/>
  <c r="O396" i="74"/>
  <c r="M396" i="74"/>
  <c r="K396" i="74"/>
  <c r="I396" i="74"/>
  <c r="G396" i="74"/>
  <c r="E396" i="74"/>
  <c r="C396" i="74"/>
  <c r="R395" i="74"/>
  <c r="S395" i="74"/>
  <c r="Q395" i="74"/>
  <c r="O395" i="74"/>
  <c r="M395" i="74"/>
  <c r="K395" i="74"/>
  <c r="I395" i="74"/>
  <c r="G395" i="74"/>
  <c r="E395" i="74"/>
  <c r="C395" i="74"/>
  <c r="R394" i="74"/>
  <c r="S394" i="74"/>
  <c r="Q394" i="74"/>
  <c r="O394" i="74"/>
  <c r="M394" i="74"/>
  <c r="K394" i="74"/>
  <c r="I394" i="74"/>
  <c r="G394" i="74"/>
  <c r="E394" i="74"/>
  <c r="C394" i="74"/>
  <c r="R393" i="74"/>
  <c r="S393" i="74"/>
  <c r="Q393" i="74"/>
  <c r="O393" i="74"/>
  <c r="M393" i="74"/>
  <c r="K393" i="74"/>
  <c r="I393" i="74"/>
  <c r="G393" i="74"/>
  <c r="E393" i="74"/>
  <c r="C393" i="74"/>
  <c r="R392" i="74"/>
  <c r="S392" i="74"/>
  <c r="Q392" i="74"/>
  <c r="O392" i="74"/>
  <c r="M392" i="74"/>
  <c r="K392" i="74"/>
  <c r="I392" i="74"/>
  <c r="G392" i="74"/>
  <c r="E392" i="74"/>
  <c r="C392" i="74"/>
  <c r="R391" i="74"/>
  <c r="S391" i="74"/>
  <c r="Q391" i="74"/>
  <c r="O391" i="74"/>
  <c r="M391" i="74"/>
  <c r="K391" i="74"/>
  <c r="I391" i="74"/>
  <c r="G391" i="74"/>
  <c r="E391" i="74"/>
  <c r="C391" i="74"/>
  <c r="R390" i="74"/>
  <c r="S390" i="74"/>
  <c r="Q390" i="74"/>
  <c r="O390" i="74"/>
  <c r="M390" i="74"/>
  <c r="K390" i="74"/>
  <c r="I390" i="74"/>
  <c r="G390" i="74"/>
  <c r="E390" i="74"/>
  <c r="C390" i="74"/>
  <c r="R389" i="74"/>
  <c r="S389" i="74"/>
  <c r="Q389" i="74"/>
  <c r="O389" i="74"/>
  <c r="M389" i="74"/>
  <c r="K389" i="74"/>
  <c r="I389" i="74"/>
  <c r="G389" i="74"/>
  <c r="E389" i="74"/>
  <c r="C389" i="74"/>
  <c r="R388" i="74"/>
  <c r="S388" i="74"/>
  <c r="Q388" i="74"/>
  <c r="O388" i="74"/>
  <c r="M388" i="74"/>
  <c r="K388" i="74"/>
  <c r="I388" i="74"/>
  <c r="G388" i="74"/>
  <c r="E388" i="74"/>
  <c r="C388" i="74"/>
  <c r="R387" i="74"/>
  <c r="S387" i="74"/>
  <c r="Q387" i="74"/>
  <c r="O387" i="74"/>
  <c r="M387" i="74"/>
  <c r="K387" i="74"/>
  <c r="I387" i="74"/>
  <c r="G387" i="74"/>
  <c r="E387" i="74"/>
  <c r="C387" i="74"/>
  <c r="R386" i="74"/>
  <c r="S386" i="74"/>
  <c r="Q386" i="74"/>
  <c r="O386" i="74"/>
  <c r="M386" i="74"/>
  <c r="K386" i="74"/>
  <c r="I386" i="74"/>
  <c r="G386" i="74"/>
  <c r="E386" i="74"/>
  <c r="C386" i="74"/>
  <c r="R385" i="74"/>
  <c r="S385" i="74"/>
  <c r="Q385" i="74"/>
  <c r="O385" i="74"/>
  <c r="M385" i="74"/>
  <c r="K385" i="74"/>
  <c r="I385" i="74"/>
  <c r="G385" i="74"/>
  <c r="E385" i="74"/>
  <c r="C385" i="74"/>
  <c r="R384" i="74"/>
  <c r="S384" i="74"/>
  <c r="Q384" i="74"/>
  <c r="O384" i="74"/>
  <c r="M384" i="74"/>
  <c r="K384" i="74"/>
  <c r="I384" i="74"/>
  <c r="G384" i="74"/>
  <c r="E384" i="74"/>
  <c r="C384" i="74"/>
  <c r="R383" i="74"/>
  <c r="S383" i="74"/>
  <c r="Q383" i="74"/>
  <c r="O383" i="74"/>
  <c r="M383" i="74"/>
  <c r="K383" i="74"/>
  <c r="I383" i="74"/>
  <c r="G383" i="74"/>
  <c r="E383" i="74"/>
  <c r="C383" i="74"/>
  <c r="R382" i="74"/>
  <c r="S382" i="74"/>
  <c r="Q382" i="74"/>
  <c r="O382" i="74"/>
  <c r="M382" i="74"/>
  <c r="K382" i="74"/>
  <c r="I382" i="74"/>
  <c r="G382" i="74"/>
  <c r="E382" i="74"/>
  <c r="C382" i="74"/>
  <c r="R381" i="74"/>
  <c r="S381" i="74"/>
  <c r="Q381" i="74"/>
  <c r="O381" i="74"/>
  <c r="M381" i="74"/>
  <c r="K381" i="74"/>
  <c r="I381" i="74"/>
  <c r="G381" i="74"/>
  <c r="E381" i="74"/>
  <c r="C381" i="74"/>
  <c r="R380" i="74"/>
  <c r="S380" i="74"/>
  <c r="Q380" i="74"/>
  <c r="O380" i="74"/>
  <c r="M380" i="74"/>
  <c r="K380" i="74"/>
  <c r="I380" i="74"/>
  <c r="G380" i="74"/>
  <c r="E380" i="74"/>
  <c r="C380" i="74"/>
  <c r="R379" i="74"/>
  <c r="S379" i="74"/>
  <c r="Q379" i="74"/>
  <c r="O379" i="74"/>
  <c r="M379" i="74"/>
  <c r="K379" i="74"/>
  <c r="I379" i="74"/>
  <c r="G379" i="74"/>
  <c r="E379" i="74"/>
  <c r="C379" i="74"/>
  <c r="R378" i="74"/>
  <c r="S378" i="74"/>
  <c r="Q378" i="74"/>
  <c r="O378" i="74"/>
  <c r="M378" i="74"/>
  <c r="K378" i="74"/>
  <c r="I378" i="74"/>
  <c r="G378" i="74"/>
  <c r="E378" i="74"/>
  <c r="C378" i="74"/>
  <c r="R377" i="74"/>
  <c r="S377" i="74"/>
  <c r="Q377" i="74"/>
  <c r="O377" i="74"/>
  <c r="M377" i="74"/>
  <c r="K377" i="74"/>
  <c r="I377" i="74"/>
  <c r="G377" i="74"/>
  <c r="E377" i="74"/>
  <c r="C377" i="74"/>
  <c r="R376" i="74"/>
  <c r="S376" i="74"/>
  <c r="Q376" i="74"/>
  <c r="O376" i="74"/>
  <c r="M376" i="74"/>
  <c r="K376" i="74"/>
  <c r="I376" i="74"/>
  <c r="G376" i="74"/>
  <c r="E376" i="74"/>
  <c r="C376" i="74"/>
  <c r="R375" i="74"/>
  <c r="S375" i="74"/>
  <c r="Q375" i="74"/>
  <c r="O375" i="74"/>
  <c r="M375" i="74"/>
  <c r="K375" i="74"/>
  <c r="I375" i="74"/>
  <c r="G375" i="74"/>
  <c r="E375" i="74"/>
  <c r="C375" i="74"/>
  <c r="R374" i="74"/>
  <c r="S374" i="74"/>
  <c r="Q374" i="74"/>
  <c r="O374" i="74"/>
  <c r="M374" i="74"/>
  <c r="K374" i="74"/>
  <c r="I374" i="74"/>
  <c r="G374" i="74"/>
  <c r="E374" i="74"/>
  <c r="C374" i="74"/>
  <c r="R373" i="74"/>
  <c r="S373" i="74"/>
  <c r="Q373" i="74"/>
  <c r="O373" i="74"/>
  <c r="M373" i="74"/>
  <c r="K373" i="74"/>
  <c r="I373" i="74"/>
  <c r="G373" i="74"/>
  <c r="E373" i="74"/>
  <c r="C373" i="74"/>
  <c r="R372" i="74"/>
  <c r="S372" i="74"/>
  <c r="Q372" i="74"/>
  <c r="O372" i="74"/>
  <c r="M372" i="74"/>
  <c r="K372" i="74"/>
  <c r="I372" i="74"/>
  <c r="G372" i="74"/>
  <c r="E372" i="74"/>
  <c r="C372" i="74"/>
  <c r="R371" i="74"/>
  <c r="S371" i="74"/>
  <c r="Q371" i="74"/>
  <c r="O371" i="74"/>
  <c r="M371" i="74"/>
  <c r="K371" i="74"/>
  <c r="I371" i="74"/>
  <c r="G371" i="74"/>
  <c r="E371" i="74"/>
  <c r="C371" i="74"/>
  <c r="R370" i="74"/>
  <c r="S370" i="74"/>
  <c r="Q370" i="74"/>
  <c r="O370" i="74"/>
  <c r="M370" i="74"/>
  <c r="K370" i="74"/>
  <c r="I370" i="74"/>
  <c r="G370" i="74"/>
  <c r="E370" i="74"/>
  <c r="C370" i="74"/>
  <c r="R369" i="74"/>
  <c r="S369" i="74"/>
  <c r="Q369" i="74"/>
  <c r="O369" i="74"/>
  <c r="M369" i="74"/>
  <c r="K369" i="74"/>
  <c r="I369" i="74"/>
  <c r="G369" i="74"/>
  <c r="E369" i="74"/>
  <c r="C369" i="74"/>
  <c r="R368" i="74"/>
  <c r="S368" i="74"/>
  <c r="Q368" i="74"/>
  <c r="O368" i="74"/>
  <c r="M368" i="74"/>
  <c r="K368" i="74"/>
  <c r="I368" i="74"/>
  <c r="G368" i="74"/>
  <c r="E368" i="74"/>
  <c r="C368" i="74"/>
  <c r="R367" i="74"/>
  <c r="S367" i="74"/>
  <c r="Q367" i="74"/>
  <c r="O367" i="74"/>
  <c r="M367" i="74"/>
  <c r="K367" i="74"/>
  <c r="I367" i="74"/>
  <c r="G367" i="74"/>
  <c r="E367" i="74"/>
  <c r="C367" i="74"/>
  <c r="R366" i="74"/>
  <c r="S366" i="74"/>
  <c r="Q366" i="74"/>
  <c r="O366" i="74"/>
  <c r="M366" i="74"/>
  <c r="K366" i="74"/>
  <c r="I366" i="74"/>
  <c r="G366" i="74"/>
  <c r="E366" i="74"/>
  <c r="C366" i="74"/>
  <c r="R365" i="74"/>
  <c r="S365" i="74"/>
  <c r="Q365" i="74"/>
  <c r="O365" i="74"/>
  <c r="M365" i="74"/>
  <c r="K365" i="74"/>
  <c r="I365" i="74"/>
  <c r="G365" i="74"/>
  <c r="E365" i="74"/>
  <c r="C365" i="74"/>
  <c r="R364" i="74"/>
  <c r="S364" i="74"/>
  <c r="Q364" i="74"/>
  <c r="O364" i="74"/>
  <c r="M364" i="74"/>
  <c r="K364" i="74"/>
  <c r="I364" i="74"/>
  <c r="G364" i="74"/>
  <c r="E364" i="74"/>
  <c r="C364" i="74"/>
  <c r="R363" i="74"/>
  <c r="S363" i="74"/>
  <c r="Q363" i="74"/>
  <c r="O363" i="74"/>
  <c r="M363" i="74"/>
  <c r="K363" i="74"/>
  <c r="I363" i="74"/>
  <c r="G363" i="74"/>
  <c r="E363" i="74"/>
  <c r="C363" i="74"/>
  <c r="R362" i="74"/>
  <c r="S362" i="74"/>
  <c r="Q362" i="74"/>
  <c r="O362" i="74"/>
  <c r="M362" i="74"/>
  <c r="K362" i="74"/>
  <c r="I362" i="74"/>
  <c r="G362" i="74"/>
  <c r="E362" i="74"/>
  <c r="C362" i="74"/>
  <c r="R361" i="74"/>
  <c r="S361" i="74"/>
  <c r="Q361" i="74"/>
  <c r="O361" i="74"/>
  <c r="M361" i="74"/>
  <c r="K361" i="74"/>
  <c r="I361" i="74"/>
  <c r="G361" i="74"/>
  <c r="E361" i="74"/>
  <c r="C361" i="74"/>
  <c r="R360" i="74"/>
  <c r="S360" i="74"/>
  <c r="Q360" i="74"/>
  <c r="O360" i="74"/>
  <c r="M360" i="74"/>
  <c r="K360" i="74"/>
  <c r="I360" i="74"/>
  <c r="G360" i="74"/>
  <c r="E360" i="74"/>
  <c r="C360" i="74"/>
  <c r="R359" i="74"/>
  <c r="S359" i="74"/>
  <c r="Q359" i="74"/>
  <c r="O359" i="74"/>
  <c r="M359" i="74"/>
  <c r="K359" i="74"/>
  <c r="I359" i="74"/>
  <c r="G359" i="74"/>
  <c r="E359" i="74"/>
  <c r="C359" i="74"/>
  <c r="R358" i="74"/>
  <c r="S358" i="74"/>
  <c r="Q358" i="74"/>
  <c r="O358" i="74"/>
  <c r="M358" i="74"/>
  <c r="K358" i="74"/>
  <c r="I358" i="74"/>
  <c r="G358" i="74"/>
  <c r="E358" i="74"/>
  <c r="C358" i="74"/>
  <c r="R357" i="74"/>
  <c r="S357" i="74"/>
  <c r="Q357" i="74"/>
  <c r="O357" i="74"/>
  <c r="M357" i="74"/>
  <c r="K357" i="74"/>
  <c r="I357" i="74"/>
  <c r="G357" i="74"/>
  <c r="E357" i="74"/>
  <c r="C357" i="74"/>
  <c r="R356" i="74"/>
  <c r="S356" i="74"/>
  <c r="Q356" i="74"/>
  <c r="O356" i="74"/>
  <c r="M356" i="74"/>
  <c r="K356" i="74"/>
  <c r="I356" i="74"/>
  <c r="G356" i="74"/>
  <c r="E356" i="74"/>
  <c r="C356" i="74"/>
  <c r="R355" i="74"/>
  <c r="S355" i="74"/>
  <c r="Q355" i="74"/>
  <c r="O355" i="74"/>
  <c r="M355" i="74"/>
  <c r="K355" i="74"/>
  <c r="I355" i="74"/>
  <c r="G355" i="74"/>
  <c r="E355" i="74"/>
  <c r="C355" i="74"/>
  <c r="R354" i="74"/>
  <c r="S354" i="74"/>
  <c r="Q354" i="74"/>
  <c r="O354" i="74"/>
  <c r="M354" i="74"/>
  <c r="K354" i="74"/>
  <c r="I354" i="74"/>
  <c r="G354" i="74"/>
  <c r="E354" i="74"/>
  <c r="C354" i="74"/>
  <c r="R353" i="74"/>
  <c r="S353" i="74"/>
  <c r="Q353" i="74"/>
  <c r="O353" i="74"/>
  <c r="M353" i="74"/>
  <c r="K353" i="74"/>
  <c r="I353" i="74"/>
  <c r="G353" i="74"/>
  <c r="E353" i="74"/>
  <c r="C353" i="74"/>
  <c r="R352" i="74"/>
  <c r="S352" i="74"/>
  <c r="Q352" i="74"/>
  <c r="O352" i="74"/>
  <c r="M352" i="74"/>
  <c r="K352" i="74"/>
  <c r="I352" i="74"/>
  <c r="G352" i="74"/>
  <c r="E352" i="74"/>
  <c r="C352" i="74"/>
  <c r="R351" i="74"/>
  <c r="S351" i="74"/>
  <c r="Q351" i="74"/>
  <c r="O351" i="74"/>
  <c r="M351" i="74"/>
  <c r="K351" i="74"/>
  <c r="I351" i="74"/>
  <c r="G351" i="74"/>
  <c r="E351" i="74"/>
  <c r="C351" i="74"/>
  <c r="R350" i="74"/>
  <c r="S350" i="74"/>
  <c r="Q350" i="74"/>
  <c r="O350" i="74"/>
  <c r="M350" i="74"/>
  <c r="K350" i="74"/>
  <c r="I350" i="74"/>
  <c r="G350" i="74"/>
  <c r="E350" i="74"/>
  <c r="C350" i="74"/>
  <c r="R349" i="74"/>
  <c r="S349" i="74"/>
  <c r="Q349" i="74"/>
  <c r="O349" i="74"/>
  <c r="M349" i="74"/>
  <c r="K349" i="74"/>
  <c r="I349" i="74"/>
  <c r="G349" i="74"/>
  <c r="E349" i="74"/>
  <c r="C349" i="74"/>
  <c r="R348" i="74"/>
  <c r="S348" i="74"/>
  <c r="Q348" i="74"/>
  <c r="O348" i="74"/>
  <c r="M348" i="74"/>
  <c r="K348" i="74"/>
  <c r="I348" i="74"/>
  <c r="G348" i="74"/>
  <c r="E348" i="74"/>
  <c r="C348" i="74"/>
  <c r="R347" i="74"/>
  <c r="S347" i="74"/>
  <c r="Q347" i="74"/>
  <c r="O347" i="74"/>
  <c r="M347" i="74"/>
  <c r="K347" i="74"/>
  <c r="I347" i="74"/>
  <c r="G347" i="74"/>
  <c r="E347" i="74"/>
  <c r="C347" i="74"/>
  <c r="R346" i="74"/>
  <c r="S346" i="74"/>
  <c r="Q346" i="74"/>
  <c r="O346" i="74"/>
  <c r="M346" i="74"/>
  <c r="K346" i="74"/>
  <c r="I346" i="74"/>
  <c r="G346" i="74"/>
  <c r="E346" i="74"/>
  <c r="C346" i="74"/>
  <c r="R345" i="74"/>
  <c r="S345" i="74"/>
  <c r="Q345" i="74"/>
  <c r="O345" i="74"/>
  <c r="M345" i="74"/>
  <c r="K345" i="74"/>
  <c r="I345" i="74"/>
  <c r="G345" i="74"/>
  <c r="E345" i="74"/>
  <c r="C345" i="74"/>
  <c r="R344" i="74"/>
  <c r="S344" i="74"/>
  <c r="Q344" i="74"/>
  <c r="O344" i="74"/>
  <c r="M344" i="74"/>
  <c r="K344" i="74"/>
  <c r="I344" i="74"/>
  <c r="G344" i="74"/>
  <c r="E344" i="74"/>
  <c r="C344" i="74"/>
  <c r="R343" i="74"/>
  <c r="S343" i="74"/>
  <c r="Q343" i="74"/>
  <c r="O343" i="74"/>
  <c r="M343" i="74"/>
  <c r="K343" i="74"/>
  <c r="I343" i="74"/>
  <c r="G343" i="74"/>
  <c r="E343" i="74"/>
  <c r="C343" i="74"/>
  <c r="R342" i="74"/>
  <c r="S342" i="74"/>
  <c r="Q342" i="74"/>
  <c r="O342" i="74"/>
  <c r="M342" i="74"/>
  <c r="K342" i="74"/>
  <c r="I342" i="74"/>
  <c r="G342" i="74"/>
  <c r="E342" i="74"/>
  <c r="C342" i="74"/>
  <c r="R341" i="74"/>
  <c r="S341" i="74"/>
  <c r="Q341" i="74"/>
  <c r="O341" i="74"/>
  <c r="M341" i="74"/>
  <c r="K341" i="74"/>
  <c r="I341" i="74"/>
  <c r="G341" i="74"/>
  <c r="E341" i="74"/>
  <c r="C341" i="74"/>
  <c r="R340" i="74"/>
  <c r="S340" i="74"/>
  <c r="Q340" i="74"/>
  <c r="O340" i="74"/>
  <c r="M340" i="74"/>
  <c r="K340" i="74"/>
  <c r="I340" i="74"/>
  <c r="G340" i="74"/>
  <c r="E340" i="74"/>
  <c r="C340" i="74"/>
  <c r="R339" i="74"/>
  <c r="S339" i="74"/>
  <c r="Q339" i="74"/>
  <c r="O339" i="74"/>
  <c r="M339" i="74"/>
  <c r="K339" i="74"/>
  <c r="I339" i="74"/>
  <c r="G339" i="74"/>
  <c r="E339" i="74"/>
  <c r="C339" i="74"/>
  <c r="R338" i="74"/>
  <c r="S338" i="74"/>
  <c r="Q338" i="74"/>
  <c r="O338" i="74"/>
  <c r="M338" i="74"/>
  <c r="K338" i="74"/>
  <c r="I338" i="74"/>
  <c r="G338" i="74"/>
  <c r="E338" i="74"/>
  <c r="C338" i="74"/>
  <c r="R337" i="74"/>
  <c r="S337" i="74"/>
  <c r="Q337" i="74"/>
  <c r="O337" i="74"/>
  <c r="M337" i="74"/>
  <c r="K337" i="74"/>
  <c r="I337" i="74"/>
  <c r="G337" i="74"/>
  <c r="E337" i="74"/>
  <c r="C337" i="74"/>
  <c r="R336" i="74"/>
  <c r="S336" i="74"/>
  <c r="Q336" i="74"/>
  <c r="O336" i="74"/>
  <c r="M336" i="74"/>
  <c r="K336" i="74"/>
  <c r="I336" i="74"/>
  <c r="G336" i="74"/>
  <c r="E336" i="74"/>
  <c r="C336" i="74"/>
  <c r="R335" i="74"/>
  <c r="S335" i="74"/>
  <c r="Q335" i="74"/>
  <c r="O335" i="74"/>
  <c r="M335" i="74"/>
  <c r="K335" i="74"/>
  <c r="I335" i="74"/>
  <c r="G335" i="74"/>
  <c r="E335" i="74"/>
  <c r="C335" i="74"/>
  <c r="R334" i="74"/>
  <c r="S334" i="74"/>
  <c r="Q334" i="74"/>
  <c r="O334" i="74"/>
  <c r="M334" i="74"/>
  <c r="K334" i="74"/>
  <c r="I334" i="74"/>
  <c r="G334" i="74"/>
  <c r="E334" i="74"/>
  <c r="C334" i="74"/>
  <c r="R333" i="74"/>
  <c r="S333" i="74"/>
  <c r="Q333" i="74"/>
  <c r="O333" i="74"/>
  <c r="M333" i="74"/>
  <c r="K333" i="74"/>
  <c r="I333" i="74"/>
  <c r="G333" i="74"/>
  <c r="E333" i="74"/>
  <c r="C333" i="74"/>
  <c r="R332" i="74"/>
  <c r="S332" i="74"/>
  <c r="Q332" i="74"/>
  <c r="O332" i="74"/>
  <c r="M332" i="74"/>
  <c r="K332" i="74"/>
  <c r="I332" i="74"/>
  <c r="G332" i="74"/>
  <c r="E332" i="74"/>
  <c r="C332" i="74"/>
  <c r="R331" i="74"/>
  <c r="S331" i="74"/>
  <c r="Q331" i="74"/>
  <c r="O331" i="74"/>
  <c r="M331" i="74"/>
  <c r="K331" i="74"/>
  <c r="I331" i="74"/>
  <c r="G331" i="74"/>
  <c r="E331" i="74"/>
  <c r="C331" i="74"/>
  <c r="R330" i="74"/>
  <c r="S330" i="74"/>
  <c r="Q330" i="74"/>
  <c r="O330" i="74"/>
  <c r="M330" i="74"/>
  <c r="K330" i="74"/>
  <c r="I330" i="74"/>
  <c r="G330" i="74"/>
  <c r="E330" i="74"/>
  <c r="C330" i="74"/>
  <c r="R329" i="74"/>
  <c r="S329" i="74"/>
  <c r="Q329" i="74"/>
  <c r="O329" i="74"/>
  <c r="M329" i="74"/>
  <c r="K329" i="74"/>
  <c r="I329" i="74"/>
  <c r="G329" i="74"/>
  <c r="E329" i="74"/>
  <c r="C329" i="74"/>
  <c r="R328" i="74"/>
  <c r="S328" i="74"/>
  <c r="Q328" i="74"/>
  <c r="O328" i="74"/>
  <c r="M328" i="74"/>
  <c r="K328" i="74"/>
  <c r="I328" i="74"/>
  <c r="G328" i="74"/>
  <c r="E328" i="74"/>
  <c r="C328" i="74"/>
  <c r="R327" i="74"/>
  <c r="S327" i="74"/>
  <c r="Q327" i="74"/>
  <c r="O327" i="74"/>
  <c r="M327" i="74"/>
  <c r="K327" i="74"/>
  <c r="I327" i="74"/>
  <c r="G327" i="74"/>
  <c r="E327" i="74"/>
  <c r="C327" i="74"/>
  <c r="R326" i="74"/>
  <c r="S326" i="74"/>
  <c r="Q326" i="74"/>
  <c r="O326" i="74"/>
  <c r="M326" i="74"/>
  <c r="K326" i="74"/>
  <c r="I326" i="74"/>
  <c r="G326" i="74"/>
  <c r="E326" i="74"/>
  <c r="C326" i="74"/>
  <c r="R325" i="74"/>
  <c r="S325" i="74"/>
  <c r="Q325" i="74"/>
  <c r="O325" i="74"/>
  <c r="M325" i="74"/>
  <c r="K325" i="74"/>
  <c r="I325" i="74"/>
  <c r="G325" i="74"/>
  <c r="E325" i="74"/>
  <c r="C325" i="74"/>
  <c r="R324" i="74"/>
  <c r="S324" i="74"/>
  <c r="Q324" i="74"/>
  <c r="O324" i="74"/>
  <c r="M324" i="74"/>
  <c r="K324" i="74"/>
  <c r="I324" i="74"/>
  <c r="G324" i="74"/>
  <c r="E324" i="74"/>
  <c r="C324" i="74"/>
  <c r="R323" i="74"/>
  <c r="S323" i="74"/>
  <c r="Q323" i="74"/>
  <c r="O323" i="74"/>
  <c r="M323" i="74"/>
  <c r="K323" i="74"/>
  <c r="I323" i="74"/>
  <c r="G323" i="74"/>
  <c r="E323" i="74"/>
  <c r="C323" i="74"/>
  <c r="R322" i="74"/>
  <c r="S322" i="74"/>
  <c r="Q322" i="74"/>
  <c r="O322" i="74"/>
  <c r="M322" i="74"/>
  <c r="K322" i="74"/>
  <c r="I322" i="74"/>
  <c r="G322" i="74"/>
  <c r="E322" i="74"/>
  <c r="C322" i="74"/>
  <c r="R321" i="74"/>
  <c r="S321" i="74"/>
  <c r="Q321" i="74"/>
  <c r="O321" i="74"/>
  <c r="M321" i="74"/>
  <c r="K321" i="74"/>
  <c r="I321" i="74"/>
  <c r="G321" i="74"/>
  <c r="E321" i="74"/>
  <c r="C321" i="74"/>
  <c r="R320" i="74"/>
  <c r="S320" i="74"/>
  <c r="Q320" i="74"/>
  <c r="O320" i="74"/>
  <c r="M320" i="74"/>
  <c r="K320" i="74"/>
  <c r="I320" i="74"/>
  <c r="G320" i="74"/>
  <c r="E320" i="74"/>
  <c r="C320" i="74"/>
  <c r="R319" i="74"/>
  <c r="S319" i="74"/>
  <c r="Q319" i="74"/>
  <c r="O319" i="74"/>
  <c r="M319" i="74"/>
  <c r="K319" i="74"/>
  <c r="I319" i="74"/>
  <c r="G319" i="74"/>
  <c r="E319" i="74"/>
  <c r="C319" i="74"/>
  <c r="R318" i="74"/>
  <c r="S318" i="74"/>
  <c r="Q318" i="74"/>
  <c r="O318" i="74"/>
  <c r="M318" i="74"/>
  <c r="K318" i="74"/>
  <c r="I318" i="74"/>
  <c r="G318" i="74"/>
  <c r="E318" i="74"/>
  <c r="C318" i="74"/>
  <c r="R317" i="74"/>
  <c r="S317" i="74"/>
  <c r="Q317" i="74"/>
  <c r="O317" i="74"/>
  <c r="M317" i="74"/>
  <c r="K317" i="74"/>
  <c r="I317" i="74"/>
  <c r="G317" i="74"/>
  <c r="E317" i="74"/>
  <c r="C317" i="74"/>
  <c r="R316" i="74"/>
  <c r="S316" i="74"/>
  <c r="Q316" i="74"/>
  <c r="O316" i="74"/>
  <c r="M316" i="74"/>
  <c r="K316" i="74"/>
  <c r="I316" i="74"/>
  <c r="G316" i="74"/>
  <c r="E316" i="74"/>
  <c r="C316" i="74"/>
  <c r="R315" i="74"/>
  <c r="S315" i="74"/>
  <c r="Q315" i="74"/>
  <c r="O315" i="74"/>
  <c r="M315" i="74"/>
  <c r="K315" i="74"/>
  <c r="I315" i="74"/>
  <c r="G315" i="74"/>
  <c r="E315" i="74"/>
  <c r="C315" i="74"/>
  <c r="R314" i="74"/>
  <c r="S314" i="74"/>
  <c r="Q314" i="74"/>
  <c r="O314" i="74"/>
  <c r="M314" i="74"/>
  <c r="K314" i="74"/>
  <c r="I314" i="74"/>
  <c r="G314" i="74"/>
  <c r="E314" i="74"/>
  <c r="C314" i="74"/>
  <c r="R313" i="74"/>
  <c r="S313" i="74"/>
  <c r="Q313" i="74"/>
  <c r="O313" i="74"/>
  <c r="M313" i="74"/>
  <c r="K313" i="74"/>
  <c r="I313" i="74"/>
  <c r="G313" i="74"/>
  <c r="E313" i="74"/>
  <c r="C313" i="74"/>
  <c r="R312" i="74"/>
  <c r="S312" i="74"/>
  <c r="Q312" i="74"/>
  <c r="O312" i="74"/>
  <c r="M312" i="74"/>
  <c r="K312" i="74"/>
  <c r="I312" i="74"/>
  <c r="G312" i="74"/>
  <c r="E312" i="74"/>
  <c r="C312" i="74"/>
  <c r="R311" i="74"/>
  <c r="S311" i="74"/>
  <c r="Q311" i="74"/>
  <c r="O311" i="74"/>
  <c r="M311" i="74"/>
  <c r="K311" i="74"/>
  <c r="I311" i="74"/>
  <c r="G311" i="74"/>
  <c r="E311" i="74"/>
  <c r="C311" i="74"/>
  <c r="R310" i="74"/>
  <c r="S310" i="74"/>
  <c r="Q310" i="74"/>
  <c r="O310" i="74"/>
  <c r="M310" i="74"/>
  <c r="K310" i="74"/>
  <c r="I310" i="74"/>
  <c r="G310" i="74"/>
  <c r="E310" i="74"/>
  <c r="C310" i="74"/>
  <c r="R309" i="74"/>
  <c r="S309" i="74"/>
  <c r="Q309" i="74"/>
  <c r="O309" i="74"/>
  <c r="M309" i="74"/>
  <c r="K309" i="74"/>
  <c r="I309" i="74"/>
  <c r="G309" i="74"/>
  <c r="E309" i="74"/>
  <c r="C309" i="74"/>
  <c r="R308" i="74"/>
  <c r="S308" i="74"/>
  <c r="Q308" i="74"/>
  <c r="O308" i="74"/>
  <c r="M308" i="74"/>
  <c r="K308" i="74"/>
  <c r="I308" i="74"/>
  <c r="G308" i="74"/>
  <c r="E308" i="74"/>
  <c r="C308" i="74"/>
  <c r="R307" i="74"/>
  <c r="S307" i="74"/>
  <c r="Q307" i="74"/>
  <c r="O307" i="74"/>
  <c r="M307" i="74"/>
  <c r="K307" i="74"/>
  <c r="I307" i="74"/>
  <c r="G307" i="74"/>
  <c r="E307" i="74"/>
  <c r="C307" i="74"/>
  <c r="R306" i="74"/>
  <c r="S306" i="74"/>
  <c r="Q306" i="74"/>
  <c r="O306" i="74"/>
  <c r="M306" i="74"/>
  <c r="K306" i="74"/>
  <c r="I306" i="74"/>
  <c r="G306" i="74"/>
  <c r="E306" i="74"/>
  <c r="C306" i="74"/>
  <c r="R305" i="74"/>
  <c r="S305" i="74"/>
  <c r="Q305" i="74"/>
  <c r="O305" i="74"/>
  <c r="M305" i="74"/>
  <c r="K305" i="74"/>
  <c r="I305" i="74"/>
  <c r="G305" i="74"/>
  <c r="E305" i="74"/>
  <c r="C305" i="74"/>
  <c r="R304" i="74"/>
  <c r="S304" i="74"/>
  <c r="Q304" i="74"/>
  <c r="O304" i="74"/>
  <c r="M304" i="74"/>
  <c r="K304" i="74"/>
  <c r="I304" i="74"/>
  <c r="G304" i="74"/>
  <c r="E304" i="74"/>
  <c r="C304" i="74"/>
  <c r="R303" i="74"/>
  <c r="S303" i="74"/>
  <c r="Q303" i="74"/>
  <c r="O303" i="74"/>
  <c r="M303" i="74"/>
  <c r="K303" i="74"/>
  <c r="I303" i="74"/>
  <c r="G303" i="74"/>
  <c r="E303" i="74"/>
  <c r="C303" i="74"/>
  <c r="R302" i="74"/>
  <c r="S302" i="74"/>
  <c r="Q302" i="74"/>
  <c r="O302" i="74"/>
  <c r="M302" i="74"/>
  <c r="K302" i="74"/>
  <c r="I302" i="74"/>
  <c r="G302" i="74"/>
  <c r="E302" i="74"/>
  <c r="C302" i="74"/>
  <c r="R301" i="74"/>
  <c r="S301" i="74"/>
  <c r="Q301" i="74"/>
  <c r="O301" i="74"/>
  <c r="M301" i="74"/>
  <c r="K301" i="74"/>
  <c r="I301" i="74"/>
  <c r="G301" i="74"/>
  <c r="E301" i="74"/>
  <c r="C301" i="74"/>
  <c r="R300" i="74"/>
  <c r="S300" i="74"/>
  <c r="Q300" i="74"/>
  <c r="O300" i="74"/>
  <c r="M300" i="74"/>
  <c r="K300" i="74"/>
  <c r="I300" i="74"/>
  <c r="G300" i="74"/>
  <c r="E300" i="74"/>
  <c r="C300" i="74"/>
  <c r="R299" i="74"/>
  <c r="S299" i="74"/>
  <c r="Q299" i="74"/>
  <c r="O299" i="74"/>
  <c r="M299" i="74"/>
  <c r="K299" i="74"/>
  <c r="I299" i="74"/>
  <c r="G299" i="74"/>
  <c r="E299" i="74"/>
  <c r="C299" i="74"/>
  <c r="R298" i="74"/>
  <c r="S298" i="74"/>
  <c r="Q298" i="74"/>
  <c r="O298" i="74"/>
  <c r="M298" i="74"/>
  <c r="K298" i="74"/>
  <c r="I298" i="74"/>
  <c r="G298" i="74"/>
  <c r="E298" i="74"/>
  <c r="C298" i="74"/>
  <c r="R297" i="74"/>
  <c r="S297" i="74"/>
  <c r="Q297" i="74"/>
  <c r="O297" i="74"/>
  <c r="M297" i="74"/>
  <c r="K297" i="74"/>
  <c r="I297" i="74"/>
  <c r="G297" i="74"/>
  <c r="E297" i="74"/>
  <c r="C297" i="74"/>
  <c r="R296" i="74"/>
  <c r="S296" i="74"/>
  <c r="Q296" i="74"/>
  <c r="O296" i="74"/>
  <c r="M296" i="74"/>
  <c r="K296" i="74"/>
  <c r="I296" i="74"/>
  <c r="G296" i="74"/>
  <c r="E296" i="74"/>
  <c r="C296" i="74"/>
  <c r="R295" i="74"/>
  <c r="S295" i="74"/>
  <c r="Q295" i="74"/>
  <c r="O295" i="74"/>
  <c r="M295" i="74"/>
  <c r="K295" i="74"/>
  <c r="I295" i="74"/>
  <c r="G295" i="74"/>
  <c r="E295" i="74"/>
  <c r="C295" i="74"/>
  <c r="R294" i="74"/>
  <c r="S294" i="74"/>
  <c r="Q294" i="74"/>
  <c r="O294" i="74"/>
  <c r="M294" i="74"/>
  <c r="K294" i="74"/>
  <c r="I294" i="74"/>
  <c r="G294" i="74"/>
  <c r="E294" i="74"/>
  <c r="C294" i="74"/>
  <c r="R293" i="74"/>
  <c r="S293" i="74"/>
  <c r="Q293" i="74"/>
  <c r="O293" i="74"/>
  <c r="M293" i="74"/>
  <c r="K293" i="74"/>
  <c r="I293" i="74"/>
  <c r="G293" i="74"/>
  <c r="E293" i="74"/>
  <c r="C293" i="74"/>
  <c r="R292" i="74"/>
  <c r="S292" i="74"/>
  <c r="Q292" i="74"/>
  <c r="O292" i="74"/>
  <c r="M292" i="74"/>
  <c r="K292" i="74"/>
  <c r="I292" i="74"/>
  <c r="G292" i="74"/>
  <c r="E292" i="74"/>
  <c r="C292" i="74"/>
  <c r="R291" i="74"/>
  <c r="S291" i="74"/>
  <c r="Q291" i="74"/>
  <c r="O291" i="74"/>
  <c r="M291" i="74"/>
  <c r="K291" i="74"/>
  <c r="I291" i="74"/>
  <c r="G291" i="74"/>
  <c r="E291" i="74"/>
  <c r="C291" i="74"/>
  <c r="R290" i="74"/>
  <c r="S290" i="74"/>
  <c r="Q290" i="74"/>
  <c r="O290" i="74"/>
  <c r="M290" i="74"/>
  <c r="K290" i="74"/>
  <c r="I290" i="74"/>
  <c r="G290" i="74"/>
  <c r="E290" i="74"/>
  <c r="C290" i="74"/>
  <c r="R289" i="74"/>
  <c r="S289" i="74"/>
  <c r="Q289" i="74"/>
  <c r="O289" i="74"/>
  <c r="M289" i="74"/>
  <c r="K289" i="74"/>
  <c r="I289" i="74"/>
  <c r="G289" i="74"/>
  <c r="E289" i="74"/>
  <c r="C289" i="74"/>
  <c r="R288" i="74"/>
  <c r="S288" i="74"/>
  <c r="Q288" i="74"/>
  <c r="O288" i="74"/>
  <c r="M288" i="74"/>
  <c r="K288" i="74"/>
  <c r="I288" i="74"/>
  <c r="G288" i="74"/>
  <c r="E288" i="74"/>
  <c r="C288" i="74"/>
  <c r="R287" i="74"/>
  <c r="S287" i="74"/>
  <c r="Q287" i="74"/>
  <c r="O287" i="74"/>
  <c r="M287" i="74"/>
  <c r="K287" i="74"/>
  <c r="I287" i="74"/>
  <c r="G287" i="74"/>
  <c r="E287" i="74"/>
  <c r="C287" i="74"/>
  <c r="R286" i="74"/>
  <c r="S286" i="74"/>
  <c r="Q286" i="74"/>
  <c r="O286" i="74"/>
  <c r="M286" i="74"/>
  <c r="K286" i="74"/>
  <c r="I286" i="74"/>
  <c r="G286" i="74"/>
  <c r="E286" i="74"/>
  <c r="C286" i="74"/>
  <c r="R285" i="74"/>
  <c r="S285" i="74"/>
  <c r="Q285" i="74"/>
  <c r="O285" i="74"/>
  <c r="M285" i="74"/>
  <c r="K285" i="74"/>
  <c r="I285" i="74"/>
  <c r="G285" i="74"/>
  <c r="E285" i="74"/>
  <c r="C285" i="74"/>
  <c r="R284" i="74"/>
  <c r="S284" i="74"/>
  <c r="Q284" i="74"/>
  <c r="O284" i="74"/>
  <c r="M284" i="74"/>
  <c r="K284" i="74"/>
  <c r="I284" i="74"/>
  <c r="G284" i="74"/>
  <c r="E284" i="74"/>
  <c r="C284" i="74"/>
  <c r="R283" i="74"/>
  <c r="S283" i="74"/>
  <c r="Q283" i="74"/>
  <c r="O283" i="74"/>
  <c r="M283" i="74"/>
  <c r="K283" i="74"/>
  <c r="I283" i="74"/>
  <c r="G283" i="74"/>
  <c r="E283" i="74"/>
  <c r="C283" i="74"/>
  <c r="R282" i="74"/>
  <c r="S282" i="74"/>
  <c r="Q282" i="74"/>
  <c r="O282" i="74"/>
  <c r="M282" i="74"/>
  <c r="K282" i="74"/>
  <c r="I282" i="74"/>
  <c r="G282" i="74"/>
  <c r="E282" i="74"/>
  <c r="C282" i="74"/>
  <c r="R281" i="74"/>
  <c r="S281" i="74"/>
  <c r="Q281" i="74"/>
  <c r="O281" i="74"/>
  <c r="M281" i="74"/>
  <c r="K281" i="74"/>
  <c r="I281" i="74"/>
  <c r="G281" i="74"/>
  <c r="E281" i="74"/>
  <c r="C281" i="74"/>
  <c r="R280" i="74"/>
  <c r="S280" i="74"/>
  <c r="Q280" i="74"/>
  <c r="O280" i="74"/>
  <c r="M280" i="74"/>
  <c r="K280" i="74"/>
  <c r="I280" i="74"/>
  <c r="G280" i="74"/>
  <c r="E280" i="74"/>
  <c r="C280" i="74"/>
  <c r="R279" i="74"/>
  <c r="S279" i="74"/>
  <c r="Q279" i="74"/>
  <c r="O279" i="74"/>
  <c r="M279" i="74"/>
  <c r="K279" i="74"/>
  <c r="I279" i="74"/>
  <c r="G279" i="74"/>
  <c r="E279" i="74"/>
  <c r="C279" i="74"/>
  <c r="R278" i="74"/>
  <c r="S278" i="74"/>
  <c r="Q278" i="74"/>
  <c r="O278" i="74"/>
  <c r="M278" i="74"/>
  <c r="K278" i="74"/>
  <c r="I278" i="74"/>
  <c r="G278" i="74"/>
  <c r="E278" i="74"/>
  <c r="C278" i="74"/>
  <c r="R277" i="74"/>
  <c r="S277" i="74"/>
  <c r="Q277" i="74"/>
  <c r="O277" i="74"/>
  <c r="M277" i="74"/>
  <c r="K277" i="74"/>
  <c r="I277" i="74"/>
  <c r="G277" i="74"/>
  <c r="E277" i="74"/>
  <c r="C277" i="74"/>
  <c r="R276" i="74"/>
  <c r="S276" i="74"/>
  <c r="Q276" i="74"/>
  <c r="O276" i="74"/>
  <c r="M276" i="74"/>
  <c r="K276" i="74"/>
  <c r="I276" i="74"/>
  <c r="G276" i="74"/>
  <c r="E276" i="74"/>
  <c r="C276" i="74"/>
  <c r="R275" i="74"/>
  <c r="S275" i="74"/>
  <c r="Q275" i="74"/>
  <c r="O275" i="74"/>
  <c r="M275" i="74"/>
  <c r="K275" i="74"/>
  <c r="I275" i="74"/>
  <c r="G275" i="74"/>
  <c r="E275" i="74"/>
  <c r="C275" i="74"/>
  <c r="R274" i="74"/>
  <c r="S274" i="74"/>
  <c r="Q274" i="74"/>
  <c r="O274" i="74"/>
  <c r="M274" i="74"/>
  <c r="K274" i="74"/>
  <c r="I274" i="74"/>
  <c r="G274" i="74"/>
  <c r="E274" i="74"/>
  <c r="C274" i="74"/>
  <c r="R273" i="74"/>
  <c r="S273" i="74"/>
  <c r="Q273" i="74"/>
  <c r="O273" i="74"/>
  <c r="M273" i="74"/>
  <c r="K273" i="74"/>
  <c r="I273" i="74"/>
  <c r="G273" i="74"/>
  <c r="E273" i="74"/>
  <c r="C273" i="74"/>
  <c r="R272" i="74"/>
  <c r="S272" i="74"/>
  <c r="Q272" i="74"/>
  <c r="O272" i="74"/>
  <c r="M272" i="74"/>
  <c r="K272" i="74"/>
  <c r="I272" i="74"/>
  <c r="G272" i="74"/>
  <c r="E272" i="74"/>
  <c r="C272" i="74"/>
  <c r="R271" i="74"/>
  <c r="S271" i="74"/>
  <c r="Q271" i="74"/>
  <c r="O271" i="74"/>
  <c r="M271" i="74"/>
  <c r="K271" i="74"/>
  <c r="I271" i="74"/>
  <c r="G271" i="74"/>
  <c r="E271" i="74"/>
  <c r="C271" i="74"/>
  <c r="R270" i="74"/>
  <c r="S270" i="74"/>
  <c r="Q270" i="74"/>
  <c r="O270" i="74"/>
  <c r="M270" i="74"/>
  <c r="K270" i="74"/>
  <c r="I270" i="74"/>
  <c r="G270" i="74"/>
  <c r="E270" i="74"/>
  <c r="C270" i="74"/>
  <c r="R269" i="74"/>
  <c r="S269" i="74"/>
  <c r="Q269" i="74"/>
  <c r="O269" i="74"/>
  <c r="M269" i="74"/>
  <c r="K269" i="74"/>
  <c r="I269" i="74"/>
  <c r="G269" i="74"/>
  <c r="E269" i="74"/>
  <c r="C269" i="74"/>
  <c r="R268" i="74"/>
  <c r="S268" i="74"/>
  <c r="Q268" i="74"/>
  <c r="O268" i="74"/>
  <c r="M268" i="74"/>
  <c r="K268" i="74"/>
  <c r="I268" i="74"/>
  <c r="G268" i="74"/>
  <c r="E268" i="74"/>
  <c r="C268" i="74"/>
  <c r="R267" i="74"/>
  <c r="S267" i="74"/>
  <c r="Q267" i="74"/>
  <c r="O267" i="74"/>
  <c r="M267" i="74"/>
  <c r="K267" i="74"/>
  <c r="I267" i="74"/>
  <c r="G267" i="74"/>
  <c r="E267" i="74"/>
  <c r="C267" i="74"/>
  <c r="R266" i="74"/>
  <c r="S266" i="74"/>
  <c r="Q266" i="74"/>
  <c r="O266" i="74"/>
  <c r="M266" i="74"/>
  <c r="K266" i="74"/>
  <c r="I266" i="74"/>
  <c r="G266" i="74"/>
  <c r="E266" i="74"/>
  <c r="C266" i="74"/>
  <c r="R265" i="74"/>
  <c r="S265" i="74"/>
  <c r="Q265" i="74"/>
  <c r="O265" i="74"/>
  <c r="M265" i="74"/>
  <c r="K265" i="74"/>
  <c r="I265" i="74"/>
  <c r="G265" i="74"/>
  <c r="E265" i="74"/>
  <c r="C265" i="74"/>
  <c r="R264" i="74"/>
  <c r="S264" i="74"/>
  <c r="Q264" i="74"/>
  <c r="O264" i="74"/>
  <c r="M264" i="74"/>
  <c r="K264" i="74"/>
  <c r="I264" i="74"/>
  <c r="G264" i="74"/>
  <c r="E264" i="74"/>
  <c r="C264" i="74"/>
  <c r="R263" i="74"/>
  <c r="S263" i="74"/>
  <c r="Q263" i="74"/>
  <c r="O263" i="74"/>
  <c r="M263" i="74"/>
  <c r="K263" i="74"/>
  <c r="I263" i="74"/>
  <c r="G263" i="74"/>
  <c r="E263" i="74"/>
  <c r="C263" i="74"/>
  <c r="R262" i="74"/>
  <c r="S262" i="74"/>
  <c r="Q262" i="74"/>
  <c r="O262" i="74"/>
  <c r="M262" i="74"/>
  <c r="K262" i="74"/>
  <c r="I262" i="74"/>
  <c r="G262" i="74"/>
  <c r="E262" i="74"/>
  <c r="C262" i="74"/>
  <c r="R261" i="74"/>
  <c r="S261" i="74"/>
  <c r="Q261" i="74"/>
  <c r="O261" i="74"/>
  <c r="M261" i="74"/>
  <c r="K261" i="74"/>
  <c r="I261" i="74"/>
  <c r="G261" i="74"/>
  <c r="E261" i="74"/>
  <c r="C261" i="74"/>
  <c r="R260" i="74"/>
  <c r="S260" i="74"/>
  <c r="Q260" i="74"/>
  <c r="O260" i="74"/>
  <c r="M260" i="74"/>
  <c r="K260" i="74"/>
  <c r="I260" i="74"/>
  <c r="G260" i="74"/>
  <c r="E260" i="74"/>
  <c r="C260" i="74"/>
  <c r="R259" i="74"/>
  <c r="S259" i="74"/>
  <c r="Q259" i="74"/>
  <c r="O259" i="74"/>
  <c r="M259" i="74"/>
  <c r="K259" i="74"/>
  <c r="I259" i="74"/>
  <c r="G259" i="74"/>
  <c r="E259" i="74"/>
  <c r="C259" i="74"/>
  <c r="R258" i="74"/>
  <c r="S258" i="74"/>
  <c r="Q258" i="74"/>
  <c r="O258" i="74"/>
  <c r="M258" i="74"/>
  <c r="K258" i="74"/>
  <c r="I258" i="74"/>
  <c r="G258" i="74"/>
  <c r="E258" i="74"/>
  <c r="C258" i="74"/>
  <c r="R257" i="74"/>
  <c r="S257" i="74"/>
  <c r="Q257" i="74"/>
  <c r="O257" i="74"/>
  <c r="M257" i="74"/>
  <c r="K257" i="74"/>
  <c r="I257" i="74"/>
  <c r="G257" i="74"/>
  <c r="E257" i="74"/>
  <c r="C257" i="74"/>
  <c r="R256" i="74"/>
  <c r="S256" i="74"/>
  <c r="Q256" i="74"/>
  <c r="O256" i="74"/>
  <c r="M256" i="74"/>
  <c r="K256" i="74"/>
  <c r="I256" i="74"/>
  <c r="G256" i="74"/>
  <c r="E256" i="74"/>
  <c r="C256" i="74"/>
  <c r="R255" i="74"/>
  <c r="S255" i="74"/>
  <c r="Q255" i="74"/>
  <c r="O255" i="74"/>
  <c r="M255" i="74"/>
  <c r="K255" i="74"/>
  <c r="I255" i="74"/>
  <c r="G255" i="74"/>
  <c r="E255" i="74"/>
  <c r="C255" i="74"/>
  <c r="R254" i="74"/>
  <c r="S254" i="74"/>
  <c r="Q254" i="74"/>
  <c r="O254" i="74"/>
  <c r="M254" i="74"/>
  <c r="K254" i="74"/>
  <c r="I254" i="74"/>
  <c r="G254" i="74"/>
  <c r="E254" i="74"/>
  <c r="C254" i="74"/>
  <c r="R253" i="74"/>
  <c r="S253" i="74"/>
  <c r="Q253" i="74"/>
  <c r="O253" i="74"/>
  <c r="M253" i="74"/>
  <c r="K253" i="74"/>
  <c r="I253" i="74"/>
  <c r="G253" i="74"/>
  <c r="E253" i="74"/>
  <c r="C253" i="74"/>
  <c r="R252" i="74"/>
  <c r="S252" i="74"/>
  <c r="Q252" i="74"/>
  <c r="O252" i="74"/>
  <c r="M252" i="74"/>
  <c r="K252" i="74"/>
  <c r="I252" i="74"/>
  <c r="G252" i="74"/>
  <c r="E252" i="74"/>
  <c r="C252" i="74"/>
  <c r="R251" i="74"/>
  <c r="S251" i="74"/>
  <c r="Q251" i="74"/>
  <c r="O251" i="74"/>
  <c r="M251" i="74"/>
  <c r="K251" i="74"/>
  <c r="I251" i="74"/>
  <c r="G251" i="74"/>
  <c r="E251" i="74"/>
  <c r="C251" i="74"/>
  <c r="R250" i="74"/>
  <c r="S250" i="74"/>
  <c r="Q250" i="74"/>
  <c r="O250" i="74"/>
  <c r="M250" i="74"/>
  <c r="K250" i="74"/>
  <c r="I250" i="74"/>
  <c r="G250" i="74"/>
  <c r="E250" i="74"/>
  <c r="C250" i="74"/>
  <c r="R249" i="74"/>
  <c r="S249" i="74"/>
  <c r="Q249" i="74"/>
  <c r="O249" i="74"/>
  <c r="M249" i="74"/>
  <c r="K249" i="74"/>
  <c r="I249" i="74"/>
  <c r="G249" i="74"/>
  <c r="E249" i="74"/>
  <c r="C249" i="74"/>
  <c r="R248" i="74"/>
  <c r="S248" i="74"/>
  <c r="Q248" i="74"/>
  <c r="O248" i="74"/>
  <c r="M248" i="74"/>
  <c r="K248" i="74"/>
  <c r="I248" i="74"/>
  <c r="G248" i="74"/>
  <c r="E248" i="74"/>
  <c r="C248" i="74"/>
  <c r="R247" i="74"/>
  <c r="S247" i="74"/>
  <c r="Q247" i="74"/>
  <c r="O247" i="74"/>
  <c r="M247" i="74"/>
  <c r="K247" i="74"/>
  <c r="I247" i="74"/>
  <c r="G247" i="74"/>
  <c r="E247" i="74"/>
  <c r="C247" i="74"/>
  <c r="R246" i="74"/>
  <c r="S246" i="74"/>
  <c r="Q246" i="74"/>
  <c r="O246" i="74"/>
  <c r="M246" i="74"/>
  <c r="K246" i="74"/>
  <c r="I246" i="74"/>
  <c r="G246" i="74"/>
  <c r="E246" i="74"/>
  <c r="C246" i="74"/>
  <c r="R245" i="74"/>
  <c r="S245" i="74"/>
  <c r="Q245" i="74"/>
  <c r="O245" i="74"/>
  <c r="M245" i="74"/>
  <c r="K245" i="74"/>
  <c r="I245" i="74"/>
  <c r="G245" i="74"/>
  <c r="E245" i="74"/>
  <c r="C245" i="74"/>
  <c r="R244" i="74"/>
  <c r="S244" i="74"/>
  <c r="Q244" i="74"/>
  <c r="O244" i="74"/>
  <c r="M244" i="74"/>
  <c r="K244" i="74"/>
  <c r="I244" i="74"/>
  <c r="G244" i="74"/>
  <c r="E244" i="74"/>
  <c r="C244" i="74"/>
  <c r="R243" i="74"/>
  <c r="S243" i="74"/>
  <c r="Q243" i="74"/>
  <c r="O243" i="74"/>
  <c r="M243" i="74"/>
  <c r="K243" i="74"/>
  <c r="I243" i="74"/>
  <c r="G243" i="74"/>
  <c r="E243" i="74"/>
  <c r="C243" i="74"/>
  <c r="R242" i="74"/>
  <c r="S242" i="74"/>
  <c r="Q242" i="74"/>
  <c r="O242" i="74"/>
  <c r="M242" i="74"/>
  <c r="K242" i="74"/>
  <c r="I242" i="74"/>
  <c r="G242" i="74"/>
  <c r="E242" i="74"/>
  <c r="C242" i="74"/>
  <c r="R241" i="74"/>
  <c r="S241" i="74"/>
  <c r="Q241" i="74"/>
  <c r="O241" i="74"/>
  <c r="M241" i="74"/>
  <c r="K241" i="74"/>
  <c r="I241" i="74"/>
  <c r="G241" i="74"/>
  <c r="E241" i="74"/>
  <c r="C241" i="74"/>
  <c r="R240" i="74"/>
  <c r="S240" i="74"/>
  <c r="Q240" i="74"/>
  <c r="O240" i="74"/>
  <c r="M240" i="74"/>
  <c r="K240" i="74"/>
  <c r="I240" i="74"/>
  <c r="G240" i="74"/>
  <c r="E240" i="74"/>
  <c r="C240" i="74"/>
  <c r="R239" i="74"/>
  <c r="S239" i="74"/>
  <c r="Q239" i="74"/>
  <c r="O239" i="74"/>
  <c r="M239" i="74"/>
  <c r="K239" i="74"/>
  <c r="I239" i="74"/>
  <c r="G239" i="74"/>
  <c r="E239" i="74"/>
  <c r="C239" i="74"/>
  <c r="R238" i="74"/>
  <c r="S238" i="74"/>
  <c r="Q238" i="74"/>
  <c r="O238" i="74"/>
  <c r="M238" i="74"/>
  <c r="K238" i="74"/>
  <c r="I238" i="74"/>
  <c r="G238" i="74"/>
  <c r="E238" i="74"/>
  <c r="C238" i="74"/>
  <c r="R237" i="74"/>
  <c r="S237" i="74"/>
  <c r="Q237" i="74"/>
  <c r="O237" i="74"/>
  <c r="M237" i="74"/>
  <c r="K237" i="74"/>
  <c r="I237" i="74"/>
  <c r="G237" i="74"/>
  <c r="E237" i="74"/>
  <c r="C237" i="74"/>
  <c r="R236" i="74"/>
  <c r="S236" i="74"/>
  <c r="Q236" i="74"/>
  <c r="O236" i="74"/>
  <c r="M236" i="74"/>
  <c r="K236" i="74"/>
  <c r="I236" i="74"/>
  <c r="G236" i="74"/>
  <c r="E236" i="74"/>
  <c r="C236" i="74"/>
  <c r="R235" i="74"/>
  <c r="S235" i="74"/>
  <c r="Q235" i="74"/>
  <c r="O235" i="74"/>
  <c r="M235" i="74"/>
  <c r="K235" i="74"/>
  <c r="I235" i="74"/>
  <c r="G235" i="74"/>
  <c r="E235" i="74"/>
  <c r="C235" i="74"/>
  <c r="R234" i="74"/>
  <c r="S234" i="74"/>
  <c r="Q234" i="74"/>
  <c r="O234" i="74"/>
  <c r="M234" i="74"/>
  <c r="K234" i="74"/>
  <c r="I234" i="74"/>
  <c r="G234" i="74"/>
  <c r="E234" i="74"/>
  <c r="C234" i="74"/>
  <c r="R233" i="74"/>
  <c r="S233" i="74"/>
  <c r="Q233" i="74"/>
  <c r="O233" i="74"/>
  <c r="M233" i="74"/>
  <c r="K233" i="74"/>
  <c r="I233" i="74"/>
  <c r="G233" i="74"/>
  <c r="E233" i="74"/>
  <c r="C233" i="74"/>
  <c r="R232" i="74"/>
  <c r="S232" i="74"/>
  <c r="Q232" i="74"/>
  <c r="O232" i="74"/>
  <c r="M232" i="74"/>
  <c r="K232" i="74"/>
  <c r="I232" i="74"/>
  <c r="G232" i="74"/>
  <c r="E232" i="74"/>
  <c r="C232" i="74"/>
  <c r="R231" i="74"/>
  <c r="S231" i="74"/>
  <c r="Q231" i="74"/>
  <c r="O231" i="74"/>
  <c r="M231" i="74"/>
  <c r="K231" i="74"/>
  <c r="I231" i="74"/>
  <c r="G231" i="74"/>
  <c r="E231" i="74"/>
  <c r="C231" i="74"/>
  <c r="R230" i="74"/>
  <c r="S230" i="74"/>
  <c r="Q230" i="74"/>
  <c r="O230" i="74"/>
  <c r="M230" i="74"/>
  <c r="K230" i="74"/>
  <c r="I230" i="74"/>
  <c r="G230" i="74"/>
  <c r="E230" i="74"/>
  <c r="C230" i="74"/>
  <c r="R229" i="74"/>
  <c r="S229" i="74"/>
  <c r="Q229" i="74"/>
  <c r="O229" i="74"/>
  <c r="M229" i="74"/>
  <c r="K229" i="74"/>
  <c r="I229" i="74"/>
  <c r="G229" i="74"/>
  <c r="E229" i="74"/>
  <c r="C229" i="74"/>
  <c r="R228" i="74"/>
  <c r="S228" i="74"/>
  <c r="Q228" i="74"/>
  <c r="O228" i="74"/>
  <c r="M228" i="74"/>
  <c r="K228" i="74"/>
  <c r="I228" i="74"/>
  <c r="G228" i="74"/>
  <c r="E228" i="74"/>
  <c r="C228" i="74"/>
  <c r="R227" i="74"/>
  <c r="S227" i="74"/>
  <c r="Q227" i="74"/>
  <c r="O227" i="74"/>
  <c r="M227" i="74"/>
  <c r="K227" i="74"/>
  <c r="I227" i="74"/>
  <c r="G227" i="74"/>
  <c r="E227" i="74"/>
  <c r="C227" i="74"/>
  <c r="R226" i="74"/>
  <c r="S226" i="74"/>
  <c r="Q226" i="74"/>
  <c r="O226" i="74"/>
  <c r="M226" i="74"/>
  <c r="K226" i="74"/>
  <c r="I226" i="74"/>
  <c r="G226" i="74"/>
  <c r="E226" i="74"/>
  <c r="C226" i="74"/>
  <c r="R225" i="74"/>
  <c r="S225" i="74"/>
  <c r="Q225" i="74"/>
  <c r="O225" i="74"/>
  <c r="M225" i="74"/>
  <c r="K225" i="74"/>
  <c r="I225" i="74"/>
  <c r="G225" i="74"/>
  <c r="E225" i="74"/>
  <c r="C225" i="74"/>
  <c r="R224" i="74"/>
  <c r="S224" i="74"/>
  <c r="Q224" i="74"/>
  <c r="O224" i="74"/>
  <c r="M224" i="74"/>
  <c r="K224" i="74"/>
  <c r="I224" i="74"/>
  <c r="G224" i="74"/>
  <c r="E224" i="74"/>
  <c r="C224" i="74"/>
  <c r="R223" i="74"/>
  <c r="S223" i="74"/>
  <c r="Q223" i="74"/>
  <c r="O223" i="74"/>
  <c r="M223" i="74"/>
  <c r="K223" i="74"/>
  <c r="I223" i="74"/>
  <c r="G223" i="74"/>
  <c r="E223" i="74"/>
  <c r="C223" i="74"/>
  <c r="R222" i="74"/>
  <c r="S222" i="74"/>
  <c r="Q222" i="74"/>
  <c r="O222" i="74"/>
  <c r="M222" i="74"/>
  <c r="K222" i="74"/>
  <c r="I222" i="74"/>
  <c r="G222" i="74"/>
  <c r="E222" i="74"/>
  <c r="C222" i="74"/>
  <c r="R221" i="74"/>
  <c r="S221" i="74"/>
  <c r="Q221" i="74"/>
  <c r="O221" i="74"/>
  <c r="M221" i="74"/>
  <c r="K221" i="74"/>
  <c r="I221" i="74"/>
  <c r="G221" i="74"/>
  <c r="E221" i="74"/>
  <c r="C221" i="74"/>
  <c r="R220" i="74"/>
  <c r="S220" i="74"/>
  <c r="Q220" i="74"/>
  <c r="O220" i="74"/>
  <c r="M220" i="74"/>
  <c r="K220" i="74"/>
  <c r="I220" i="74"/>
  <c r="G220" i="74"/>
  <c r="E220" i="74"/>
  <c r="C220" i="74"/>
  <c r="R219" i="74"/>
  <c r="S219" i="74"/>
  <c r="Q219" i="74"/>
  <c r="O219" i="74"/>
  <c r="M219" i="74"/>
  <c r="K219" i="74"/>
  <c r="I219" i="74"/>
  <c r="G219" i="74"/>
  <c r="E219" i="74"/>
  <c r="C219" i="74"/>
  <c r="R218" i="74"/>
  <c r="S218" i="74"/>
  <c r="Q218" i="74"/>
  <c r="O218" i="74"/>
  <c r="M218" i="74"/>
  <c r="K218" i="74"/>
  <c r="I218" i="74"/>
  <c r="G218" i="74"/>
  <c r="E218" i="74"/>
  <c r="C218" i="74"/>
  <c r="R217" i="74"/>
  <c r="S217" i="74"/>
  <c r="Q217" i="74"/>
  <c r="O217" i="74"/>
  <c r="M217" i="74"/>
  <c r="K217" i="74"/>
  <c r="I217" i="74"/>
  <c r="G217" i="74"/>
  <c r="E217" i="74"/>
  <c r="C217" i="74"/>
  <c r="R216" i="74"/>
  <c r="S216" i="74"/>
  <c r="Q216" i="74"/>
  <c r="O216" i="74"/>
  <c r="M216" i="74"/>
  <c r="K216" i="74"/>
  <c r="I216" i="74"/>
  <c r="G216" i="74"/>
  <c r="E216" i="74"/>
  <c r="C216" i="74"/>
  <c r="R215" i="74"/>
  <c r="S215" i="74"/>
  <c r="Q215" i="74"/>
  <c r="O215" i="74"/>
  <c r="M215" i="74"/>
  <c r="K215" i="74"/>
  <c r="I215" i="74"/>
  <c r="G215" i="74"/>
  <c r="E215" i="74"/>
  <c r="C215" i="74"/>
  <c r="R214" i="74"/>
  <c r="S214" i="74"/>
  <c r="Q214" i="74"/>
  <c r="O214" i="74"/>
  <c r="M214" i="74"/>
  <c r="K214" i="74"/>
  <c r="I214" i="74"/>
  <c r="G214" i="74"/>
  <c r="E214" i="74"/>
  <c r="C214" i="74"/>
  <c r="R213" i="74"/>
  <c r="S213" i="74"/>
  <c r="Q213" i="74"/>
  <c r="O213" i="74"/>
  <c r="M213" i="74"/>
  <c r="K213" i="74"/>
  <c r="I213" i="74"/>
  <c r="G213" i="74"/>
  <c r="E213" i="74"/>
  <c r="C213" i="74"/>
  <c r="R212" i="74"/>
  <c r="S212" i="74"/>
  <c r="Q212" i="74"/>
  <c r="O212" i="74"/>
  <c r="M212" i="74"/>
  <c r="K212" i="74"/>
  <c r="I212" i="74"/>
  <c r="G212" i="74"/>
  <c r="E212" i="74"/>
  <c r="C212" i="74"/>
  <c r="R211" i="74"/>
  <c r="S211" i="74"/>
  <c r="Q211" i="74"/>
  <c r="O211" i="74"/>
  <c r="M211" i="74"/>
  <c r="K211" i="74"/>
  <c r="I211" i="74"/>
  <c r="G211" i="74"/>
  <c r="E211" i="74"/>
  <c r="C211" i="74"/>
  <c r="R210" i="74"/>
  <c r="S210" i="74"/>
  <c r="Q210" i="74"/>
  <c r="O210" i="74"/>
  <c r="M210" i="74"/>
  <c r="K210" i="74"/>
  <c r="I210" i="74"/>
  <c r="G210" i="74"/>
  <c r="E210" i="74"/>
  <c r="C210" i="74"/>
  <c r="R209" i="74"/>
  <c r="S209" i="74"/>
  <c r="Q209" i="74"/>
  <c r="O209" i="74"/>
  <c r="M209" i="74"/>
  <c r="K209" i="74"/>
  <c r="I209" i="74"/>
  <c r="G209" i="74"/>
  <c r="E209" i="74"/>
  <c r="C209" i="74"/>
  <c r="R208" i="74"/>
  <c r="S208" i="74"/>
  <c r="Q208" i="74"/>
  <c r="O208" i="74"/>
  <c r="M208" i="74"/>
  <c r="K208" i="74"/>
  <c r="I208" i="74"/>
  <c r="G208" i="74"/>
  <c r="E208" i="74"/>
  <c r="C208" i="74"/>
  <c r="R207" i="74"/>
  <c r="S207" i="74"/>
  <c r="Q207" i="74"/>
  <c r="O207" i="74"/>
  <c r="M207" i="74"/>
  <c r="K207" i="74"/>
  <c r="I207" i="74"/>
  <c r="G207" i="74"/>
  <c r="E207" i="74"/>
  <c r="C207" i="74"/>
  <c r="R206" i="74"/>
  <c r="S206" i="74"/>
  <c r="Q206" i="74"/>
  <c r="O206" i="74"/>
  <c r="M206" i="74"/>
  <c r="K206" i="74"/>
  <c r="I206" i="74"/>
  <c r="G206" i="74"/>
  <c r="E206" i="74"/>
  <c r="C206" i="74"/>
  <c r="R205" i="74"/>
  <c r="S205" i="74"/>
  <c r="Q205" i="74"/>
  <c r="O205" i="74"/>
  <c r="M205" i="74"/>
  <c r="K205" i="74"/>
  <c r="I205" i="74"/>
  <c r="G205" i="74"/>
  <c r="E205" i="74"/>
  <c r="C205" i="74"/>
  <c r="R204" i="74"/>
  <c r="S204" i="74"/>
  <c r="Q204" i="74"/>
  <c r="O204" i="74"/>
  <c r="M204" i="74"/>
  <c r="K204" i="74"/>
  <c r="I204" i="74"/>
  <c r="G204" i="74"/>
  <c r="E204" i="74"/>
  <c r="C204" i="74"/>
  <c r="R203" i="74"/>
  <c r="S203" i="74"/>
  <c r="Q203" i="74"/>
  <c r="O203" i="74"/>
  <c r="M203" i="74"/>
  <c r="K203" i="74"/>
  <c r="I203" i="74"/>
  <c r="G203" i="74"/>
  <c r="E203" i="74"/>
  <c r="C203" i="74"/>
  <c r="R202" i="74"/>
  <c r="S202" i="74"/>
  <c r="Q202" i="74"/>
  <c r="O202" i="74"/>
  <c r="M202" i="74"/>
  <c r="K202" i="74"/>
  <c r="I202" i="74"/>
  <c r="G202" i="74"/>
  <c r="E202" i="74"/>
  <c r="C202" i="74"/>
  <c r="R201" i="74"/>
  <c r="S201" i="74"/>
  <c r="Q201" i="74"/>
  <c r="O201" i="74"/>
  <c r="M201" i="74"/>
  <c r="K201" i="74"/>
  <c r="I201" i="74"/>
  <c r="G201" i="74"/>
  <c r="E201" i="74"/>
  <c r="C201" i="74"/>
  <c r="R200" i="74"/>
  <c r="S200" i="74"/>
  <c r="Q200" i="74"/>
  <c r="O200" i="74"/>
  <c r="M200" i="74"/>
  <c r="K200" i="74"/>
  <c r="I200" i="74"/>
  <c r="G200" i="74"/>
  <c r="E200" i="74"/>
  <c r="C200" i="74"/>
  <c r="R199" i="74"/>
  <c r="S199" i="74"/>
  <c r="Q199" i="74"/>
  <c r="O199" i="74"/>
  <c r="M199" i="74"/>
  <c r="K199" i="74"/>
  <c r="I199" i="74"/>
  <c r="G199" i="74"/>
  <c r="E199" i="74"/>
  <c r="C199" i="74"/>
  <c r="R198" i="74"/>
  <c r="S198" i="74"/>
  <c r="Q198" i="74"/>
  <c r="O198" i="74"/>
  <c r="M198" i="74"/>
  <c r="K198" i="74"/>
  <c r="I198" i="74"/>
  <c r="G198" i="74"/>
  <c r="E198" i="74"/>
  <c r="C198" i="74"/>
  <c r="R197" i="74"/>
  <c r="S197" i="74"/>
  <c r="Q197" i="74"/>
  <c r="O197" i="74"/>
  <c r="M197" i="74"/>
  <c r="K197" i="74"/>
  <c r="I197" i="74"/>
  <c r="G197" i="74"/>
  <c r="E197" i="74"/>
  <c r="C197" i="74"/>
  <c r="R196" i="74"/>
  <c r="S196" i="74"/>
  <c r="Q196" i="74"/>
  <c r="O196" i="74"/>
  <c r="M196" i="74"/>
  <c r="K196" i="74"/>
  <c r="I196" i="74"/>
  <c r="G196" i="74"/>
  <c r="E196" i="74"/>
  <c r="C196" i="74"/>
  <c r="R195" i="74"/>
  <c r="S195" i="74"/>
  <c r="Q195" i="74"/>
  <c r="O195" i="74"/>
  <c r="M195" i="74"/>
  <c r="K195" i="74"/>
  <c r="I195" i="74"/>
  <c r="G195" i="74"/>
  <c r="E195" i="74"/>
  <c r="C195" i="74"/>
  <c r="R194" i="74"/>
  <c r="S194" i="74"/>
  <c r="Q194" i="74"/>
  <c r="O194" i="74"/>
  <c r="M194" i="74"/>
  <c r="K194" i="74"/>
  <c r="I194" i="74"/>
  <c r="G194" i="74"/>
  <c r="E194" i="74"/>
  <c r="C194" i="74"/>
  <c r="R193" i="74"/>
  <c r="S193" i="74"/>
  <c r="Q193" i="74"/>
  <c r="O193" i="74"/>
  <c r="M193" i="74"/>
  <c r="K193" i="74"/>
  <c r="I193" i="74"/>
  <c r="G193" i="74"/>
  <c r="E193" i="74"/>
  <c r="C193" i="74"/>
  <c r="R192" i="74"/>
  <c r="S192" i="74"/>
  <c r="Q192" i="74"/>
  <c r="O192" i="74"/>
  <c r="M192" i="74"/>
  <c r="K192" i="74"/>
  <c r="I192" i="74"/>
  <c r="G192" i="74"/>
  <c r="E192" i="74"/>
  <c r="C192" i="74"/>
  <c r="R191" i="74"/>
  <c r="S191" i="74"/>
  <c r="Q191" i="74"/>
  <c r="O191" i="74"/>
  <c r="M191" i="74"/>
  <c r="K191" i="74"/>
  <c r="I191" i="74"/>
  <c r="G191" i="74"/>
  <c r="E191" i="74"/>
  <c r="C191" i="74"/>
  <c r="R190" i="74"/>
  <c r="S190" i="74"/>
  <c r="Q190" i="74"/>
  <c r="O190" i="74"/>
  <c r="M190" i="74"/>
  <c r="K190" i="74"/>
  <c r="I190" i="74"/>
  <c r="G190" i="74"/>
  <c r="E190" i="74"/>
  <c r="C190" i="74"/>
  <c r="R189" i="74"/>
  <c r="S189" i="74"/>
  <c r="Q189" i="74"/>
  <c r="O189" i="74"/>
  <c r="M189" i="74"/>
  <c r="K189" i="74"/>
  <c r="I189" i="74"/>
  <c r="G189" i="74"/>
  <c r="E189" i="74"/>
  <c r="C189" i="74"/>
  <c r="R188" i="74"/>
  <c r="S188" i="74"/>
  <c r="Q188" i="74"/>
  <c r="O188" i="74"/>
  <c r="M188" i="74"/>
  <c r="K188" i="74"/>
  <c r="I188" i="74"/>
  <c r="G188" i="74"/>
  <c r="E188" i="74"/>
  <c r="C188" i="74"/>
  <c r="R187" i="74"/>
  <c r="S187" i="74"/>
  <c r="Q187" i="74"/>
  <c r="O187" i="74"/>
  <c r="M187" i="74"/>
  <c r="K187" i="74"/>
  <c r="I187" i="74"/>
  <c r="G187" i="74"/>
  <c r="E187" i="74"/>
  <c r="C187" i="74"/>
  <c r="R186" i="74"/>
  <c r="S186" i="74"/>
  <c r="Q186" i="74"/>
  <c r="O186" i="74"/>
  <c r="M186" i="74"/>
  <c r="K186" i="74"/>
  <c r="I186" i="74"/>
  <c r="G186" i="74"/>
  <c r="E186" i="74"/>
  <c r="C186" i="74"/>
  <c r="R185" i="74"/>
  <c r="S185" i="74"/>
  <c r="Q185" i="74"/>
  <c r="O185" i="74"/>
  <c r="M185" i="74"/>
  <c r="K185" i="74"/>
  <c r="I185" i="74"/>
  <c r="G185" i="74"/>
  <c r="E185" i="74"/>
  <c r="C185" i="74"/>
  <c r="R184" i="74"/>
  <c r="S184" i="74"/>
  <c r="Q184" i="74"/>
  <c r="O184" i="74"/>
  <c r="M184" i="74"/>
  <c r="K184" i="74"/>
  <c r="I184" i="74"/>
  <c r="G184" i="74"/>
  <c r="E184" i="74"/>
  <c r="C184" i="74"/>
  <c r="R183" i="74"/>
  <c r="S183" i="74"/>
  <c r="Q183" i="74"/>
  <c r="O183" i="74"/>
  <c r="M183" i="74"/>
  <c r="K183" i="74"/>
  <c r="I183" i="74"/>
  <c r="G183" i="74"/>
  <c r="E183" i="74"/>
  <c r="C183" i="74"/>
  <c r="R182" i="74"/>
  <c r="S182" i="74"/>
  <c r="Q182" i="74"/>
  <c r="O182" i="74"/>
  <c r="M182" i="74"/>
  <c r="K182" i="74"/>
  <c r="I182" i="74"/>
  <c r="G182" i="74"/>
  <c r="E182" i="74"/>
  <c r="C182" i="74"/>
  <c r="R181" i="74"/>
  <c r="S181" i="74"/>
  <c r="Q181" i="74"/>
  <c r="O181" i="74"/>
  <c r="M181" i="74"/>
  <c r="K181" i="74"/>
  <c r="I181" i="74"/>
  <c r="G181" i="74"/>
  <c r="E181" i="74"/>
  <c r="C181" i="74"/>
  <c r="R180" i="74"/>
  <c r="S180" i="74"/>
  <c r="Q180" i="74"/>
  <c r="O180" i="74"/>
  <c r="M180" i="74"/>
  <c r="K180" i="74"/>
  <c r="I180" i="74"/>
  <c r="G180" i="74"/>
  <c r="E180" i="74"/>
  <c r="C180" i="74"/>
  <c r="R179" i="74"/>
  <c r="S179" i="74"/>
  <c r="Q179" i="74"/>
  <c r="O179" i="74"/>
  <c r="M179" i="74"/>
  <c r="K179" i="74"/>
  <c r="I179" i="74"/>
  <c r="G179" i="74"/>
  <c r="E179" i="74"/>
  <c r="C179" i="74"/>
  <c r="R178" i="74"/>
  <c r="S178" i="74"/>
  <c r="Q178" i="74"/>
  <c r="O178" i="74"/>
  <c r="M178" i="74"/>
  <c r="K178" i="74"/>
  <c r="I178" i="74"/>
  <c r="G178" i="74"/>
  <c r="E178" i="74"/>
  <c r="C178" i="74"/>
  <c r="R177" i="74"/>
  <c r="S177" i="74"/>
  <c r="Q177" i="74"/>
  <c r="O177" i="74"/>
  <c r="M177" i="74"/>
  <c r="K177" i="74"/>
  <c r="I177" i="74"/>
  <c r="G177" i="74"/>
  <c r="E177" i="74"/>
  <c r="C177" i="74"/>
  <c r="R176" i="74"/>
  <c r="S176" i="74"/>
  <c r="Q176" i="74"/>
  <c r="O176" i="74"/>
  <c r="M176" i="74"/>
  <c r="K176" i="74"/>
  <c r="I176" i="74"/>
  <c r="G176" i="74"/>
  <c r="E176" i="74"/>
  <c r="C176" i="74"/>
  <c r="R175" i="74"/>
  <c r="S175" i="74"/>
  <c r="Q175" i="74"/>
  <c r="O175" i="74"/>
  <c r="M175" i="74"/>
  <c r="K175" i="74"/>
  <c r="I175" i="74"/>
  <c r="G175" i="74"/>
  <c r="E175" i="74"/>
  <c r="C175" i="74"/>
  <c r="R174" i="74"/>
  <c r="S174" i="74"/>
  <c r="Q174" i="74"/>
  <c r="O174" i="74"/>
  <c r="M174" i="74"/>
  <c r="K174" i="74"/>
  <c r="I174" i="74"/>
  <c r="G174" i="74"/>
  <c r="E174" i="74"/>
  <c r="C174" i="74"/>
  <c r="R173" i="74"/>
  <c r="S173" i="74"/>
  <c r="Q173" i="74"/>
  <c r="O173" i="74"/>
  <c r="M173" i="74"/>
  <c r="K173" i="74"/>
  <c r="I173" i="74"/>
  <c r="G173" i="74"/>
  <c r="E173" i="74"/>
  <c r="C173" i="74"/>
  <c r="R172" i="74"/>
  <c r="S172" i="74"/>
  <c r="Q172" i="74"/>
  <c r="O172" i="74"/>
  <c r="M172" i="74"/>
  <c r="K172" i="74"/>
  <c r="I172" i="74"/>
  <c r="G172" i="74"/>
  <c r="E172" i="74"/>
  <c r="C172" i="74"/>
  <c r="R171" i="74"/>
  <c r="S171" i="74"/>
  <c r="Q171" i="74"/>
  <c r="O171" i="74"/>
  <c r="M171" i="74"/>
  <c r="K171" i="74"/>
  <c r="I171" i="74"/>
  <c r="G171" i="74"/>
  <c r="E171" i="74"/>
  <c r="C171" i="74"/>
  <c r="R170" i="74"/>
  <c r="S170" i="74"/>
  <c r="Q170" i="74"/>
  <c r="O170" i="74"/>
  <c r="M170" i="74"/>
  <c r="K170" i="74"/>
  <c r="I170" i="74"/>
  <c r="G170" i="74"/>
  <c r="E170" i="74"/>
  <c r="C170" i="74"/>
  <c r="R169" i="74"/>
  <c r="S169" i="74"/>
  <c r="Q169" i="74"/>
  <c r="O169" i="74"/>
  <c r="M169" i="74"/>
  <c r="K169" i="74"/>
  <c r="I169" i="74"/>
  <c r="G169" i="74"/>
  <c r="E169" i="74"/>
  <c r="C169" i="74"/>
  <c r="R168" i="74"/>
  <c r="S168" i="74"/>
  <c r="Q168" i="74"/>
  <c r="O168" i="74"/>
  <c r="M168" i="74"/>
  <c r="K168" i="74"/>
  <c r="I168" i="74"/>
  <c r="G168" i="74"/>
  <c r="E168" i="74"/>
  <c r="C168" i="74"/>
  <c r="R167" i="74"/>
  <c r="S167" i="74"/>
  <c r="Q167" i="74"/>
  <c r="O167" i="74"/>
  <c r="M167" i="74"/>
  <c r="K167" i="74"/>
  <c r="I167" i="74"/>
  <c r="G167" i="74"/>
  <c r="E167" i="74"/>
  <c r="C167" i="74"/>
  <c r="R166" i="74"/>
  <c r="S166" i="74"/>
  <c r="Q166" i="74"/>
  <c r="O166" i="74"/>
  <c r="M166" i="74"/>
  <c r="K166" i="74"/>
  <c r="I166" i="74"/>
  <c r="G166" i="74"/>
  <c r="E166" i="74"/>
  <c r="C166" i="74"/>
  <c r="R165" i="74"/>
  <c r="S165" i="74"/>
  <c r="Q165" i="74"/>
  <c r="O165" i="74"/>
  <c r="M165" i="74"/>
  <c r="K165" i="74"/>
  <c r="I165" i="74"/>
  <c r="G165" i="74"/>
  <c r="E165" i="74"/>
  <c r="C165" i="74"/>
  <c r="R164" i="74"/>
  <c r="S164" i="74"/>
  <c r="Q164" i="74"/>
  <c r="O164" i="74"/>
  <c r="M164" i="74"/>
  <c r="K164" i="74"/>
  <c r="I164" i="74"/>
  <c r="G164" i="74"/>
  <c r="E164" i="74"/>
  <c r="C164" i="74"/>
  <c r="R163" i="74"/>
  <c r="S163" i="74"/>
  <c r="Q163" i="74"/>
  <c r="O163" i="74"/>
  <c r="M163" i="74"/>
  <c r="K163" i="74"/>
  <c r="I163" i="74"/>
  <c r="G163" i="74"/>
  <c r="E163" i="74"/>
  <c r="C163" i="74"/>
  <c r="R162" i="74"/>
  <c r="S162" i="74"/>
  <c r="Q162" i="74"/>
  <c r="O162" i="74"/>
  <c r="M162" i="74"/>
  <c r="K162" i="74"/>
  <c r="I162" i="74"/>
  <c r="G162" i="74"/>
  <c r="E162" i="74"/>
  <c r="C162" i="74"/>
  <c r="R161" i="74"/>
  <c r="S161" i="74"/>
  <c r="Q161" i="74"/>
  <c r="O161" i="74"/>
  <c r="M161" i="74"/>
  <c r="K161" i="74"/>
  <c r="I161" i="74"/>
  <c r="G161" i="74"/>
  <c r="E161" i="74"/>
  <c r="C161" i="74"/>
  <c r="R160" i="74"/>
  <c r="S160" i="74"/>
  <c r="Q160" i="74"/>
  <c r="O160" i="74"/>
  <c r="M160" i="74"/>
  <c r="K160" i="74"/>
  <c r="I160" i="74"/>
  <c r="G160" i="74"/>
  <c r="E160" i="74"/>
  <c r="C160" i="74"/>
  <c r="R159" i="74"/>
  <c r="S159" i="74"/>
  <c r="Q159" i="74"/>
  <c r="O159" i="74"/>
  <c r="M159" i="74"/>
  <c r="K159" i="74"/>
  <c r="I159" i="74"/>
  <c r="G159" i="74"/>
  <c r="E159" i="74"/>
  <c r="C159" i="74"/>
  <c r="R158" i="74"/>
  <c r="S158" i="74"/>
  <c r="Q158" i="74"/>
  <c r="O158" i="74"/>
  <c r="M158" i="74"/>
  <c r="K158" i="74"/>
  <c r="I158" i="74"/>
  <c r="G158" i="74"/>
  <c r="E158" i="74"/>
  <c r="C158" i="74"/>
  <c r="R157" i="74"/>
  <c r="S157" i="74"/>
  <c r="Q157" i="74"/>
  <c r="O157" i="74"/>
  <c r="M157" i="74"/>
  <c r="K157" i="74"/>
  <c r="I157" i="74"/>
  <c r="G157" i="74"/>
  <c r="E157" i="74"/>
  <c r="C157" i="74"/>
  <c r="R156" i="74"/>
  <c r="S156" i="74"/>
  <c r="Q156" i="74"/>
  <c r="O156" i="74"/>
  <c r="M156" i="74"/>
  <c r="K156" i="74"/>
  <c r="I156" i="74"/>
  <c r="G156" i="74"/>
  <c r="E156" i="74"/>
  <c r="C156" i="74"/>
  <c r="R155" i="74"/>
  <c r="S155" i="74"/>
  <c r="Q155" i="74"/>
  <c r="O155" i="74"/>
  <c r="M155" i="74"/>
  <c r="K155" i="74"/>
  <c r="I155" i="74"/>
  <c r="G155" i="74"/>
  <c r="E155" i="74"/>
  <c r="C155" i="74"/>
  <c r="R154" i="74"/>
  <c r="S154" i="74"/>
  <c r="Q154" i="74"/>
  <c r="O154" i="74"/>
  <c r="M154" i="74"/>
  <c r="K154" i="74"/>
  <c r="I154" i="74"/>
  <c r="G154" i="74"/>
  <c r="E154" i="74"/>
  <c r="C154" i="74"/>
  <c r="R153" i="74"/>
  <c r="S153" i="74"/>
  <c r="Q153" i="74"/>
  <c r="O153" i="74"/>
  <c r="M153" i="74"/>
  <c r="K153" i="74"/>
  <c r="I153" i="74"/>
  <c r="G153" i="74"/>
  <c r="E153" i="74"/>
  <c r="C153" i="74"/>
  <c r="R152" i="74"/>
  <c r="S152" i="74"/>
  <c r="Q152" i="74"/>
  <c r="O152" i="74"/>
  <c r="M152" i="74"/>
  <c r="K152" i="74"/>
  <c r="I152" i="74"/>
  <c r="G152" i="74"/>
  <c r="E152" i="74"/>
  <c r="C152" i="74"/>
  <c r="R151" i="74"/>
  <c r="S151" i="74"/>
  <c r="Q151" i="74"/>
  <c r="O151" i="74"/>
  <c r="M151" i="74"/>
  <c r="K151" i="74"/>
  <c r="I151" i="74"/>
  <c r="G151" i="74"/>
  <c r="E151" i="74"/>
  <c r="C151" i="74"/>
  <c r="R150" i="74"/>
  <c r="S150" i="74"/>
  <c r="Q150" i="74"/>
  <c r="O150" i="74"/>
  <c r="M150" i="74"/>
  <c r="K150" i="74"/>
  <c r="I150" i="74"/>
  <c r="G150" i="74"/>
  <c r="E150" i="74"/>
  <c r="C150" i="74"/>
  <c r="R149" i="74"/>
  <c r="S149" i="74"/>
  <c r="Q149" i="74"/>
  <c r="O149" i="74"/>
  <c r="M149" i="74"/>
  <c r="K149" i="74"/>
  <c r="I149" i="74"/>
  <c r="G149" i="74"/>
  <c r="E149" i="74"/>
  <c r="C149" i="74"/>
  <c r="R148" i="74"/>
  <c r="S148" i="74"/>
  <c r="Q148" i="74"/>
  <c r="O148" i="74"/>
  <c r="M148" i="74"/>
  <c r="K148" i="74"/>
  <c r="I148" i="74"/>
  <c r="G148" i="74"/>
  <c r="E148" i="74"/>
  <c r="C148" i="74"/>
  <c r="R147" i="74"/>
  <c r="S147" i="74"/>
  <c r="Q147" i="74"/>
  <c r="O147" i="74"/>
  <c r="M147" i="74"/>
  <c r="K147" i="74"/>
  <c r="I147" i="74"/>
  <c r="G147" i="74"/>
  <c r="E147" i="74"/>
  <c r="C147" i="74"/>
  <c r="R146" i="74"/>
  <c r="S146" i="74"/>
  <c r="Q146" i="74"/>
  <c r="O146" i="74"/>
  <c r="M146" i="74"/>
  <c r="K146" i="74"/>
  <c r="I146" i="74"/>
  <c r="G146" i="74"/>
  <c r="E146" i="74"/>
  <c r="C146" i="74"/>
  <c r="R145" i="74"/>
  <c r="S145" i="74"/>
  <c r="Q145" i="74"/>
  <c r="O145" i="74"/>
  <c r="M145" i="74"/>
  <c r="K145" i="74"/>
  <c r="I145" i="74"/>
  <c r="G145" i="74"/>
  <c r="E145" i="74"/>
  <c r="C145" i="74"/>
  <c r="R144" i="74"/>
  <c r="S144" i="74"/>
  <c r="Q144" i="74"/>
  <c r="O144" i="74"/>
  <c r="M144" i="74"/>
  <c r="K144" i="74"/>
  <c r="I144" i="74"/>
  <c r="G144" i="74"/>
  <c r="E144" i="74"/>
  <c r="C144" i="74"/>
  <c r="R143" i="74"/>
  <c r="S143" i="74"/>
  <c r="Q143" i="74"/>
  <c r="O143" i="74"/>
  <c r="M143" i="74"/>
  <c r="K143" i="74"/>
  <c r="I143" i="74"/>
  <c r="G143" i="74"/>
  <c r="E143" i="74"/>
  <c r="C143" i="74"/>
  <c r="R142" i="74"/>
  <c r="S142" i="74"/>
  <c r="Q142" i="74"/>
  <c r="O142" i="74"/>
  <c r="M142" i="74"/>
  <c r="K142" i="74"/>
  <c r="I142" i="74"/>
  <c r="G142" i="74"/>
  <c r="E142" i="74"/>
  <c r="C142" i="74"/>
  <c r="R141" i="74"/>
  <c r="S141" i="74"/>
  <c r="Q141" i="74"/>
  <c r="O141" i="74"/>
  <c r="M141" i="74"/>
  <c r="K141" i="74"/>
  <c r="I141" i="74"/>
  <c r="G141" i="74"/>
  <c r="E141" i="74"/>
  <c r="C141" i="74"/>
  <c r="R140" i="74"/>
  <c r="S140" i="74"/>
  <c r="Q140" i="74"/>
  <c r="O140" i="74"/>
  <c r="M140" i="74"/>
  <c r="K140" i="74"/>
  <c r="I140" i="74"/>
  <c r="G140" i="74"/>
  <c r="E140" i="74"/>
  <c r="C140" i="74"/>
  <c r="R139" i="74"/>
  <c r="S139" i="74"/>
  <c r="Q139" i="74"/>
  <c r="O139" i="74"/>
  <c r="M139" i="74"/>
  <c r="K139" i="74"/>
  <c r="I139" i="74"/>
  <c r="G139" i="74"/>
  <c r="E139" i="74"/>
  <c r="C139" i="74"/>
  <c r="R138" i="74"/>
  <c r="S138" i="74"/>
  <c r="Q138" i="74"/>
  <c r="O138" i="74"/>
  <c r="M138" i="74"/>
  <c r="K138" i="74"/>
  <c r="I138" i="74"/>
  <c r="G138" i="74"/>
  <c r="E138" i="74"/>
  <c r="C138" i="74"/>
  <c r="R137" i="74"/>
  <c r="S137" i="74"/>
  <c r="Q137" i="74"/>
  <c r="O137" i="74"/>
  <c r="M137" i="74"/>
  <c r="K137" i="74"/>
  <c r="I137" i="74"/>
  <c r="G137" i="74"/>
  <c r="E137" i="74"/>
  <c r="C137" i="74"/>
  <c r="R136" i="74"/>
  <c r="S136" i="74"/>
  <c r="Q136" i="74"/>
  <c r="O136" i="74"/>
  <c r="M136" i="74"/>
  <c r="K136" i="74"/>
  <c r="I136" i="74"/>
  <c r="G136" i="74"/>
  <c r="E136" i="74"/>
  <c r="C136" i="74"/>
  <c r="R135" i="74"/>
  <c r="S135" i="74"/>
  <c r="Q135" i="74"/>
  <c r="O135" i="74"/>
  <c r="M135" i="74"/>
  <c r="K135" i="74"/>
  <c r="I135" i="74"/>
  <c r="G135" i="74"/>
  <c r="E135" i="74"/>
  <c r="C135" i="74"/>
  <c r="R134" i="74"/>
  <c r="S134" i="74"/>
  <c r="Q134" i="74"/>
  <c r="O134" i="74"/>
  <c r="M134" i="74"/>
  <c r="K134" i="74"/>
  <c r="I134" i="74"/>
  <c r="G134" i="74"/>
  <c r="E134" i="74"/>
  <c r="C134" i="74"/>
  <c r="R133" i="74"/>
  <c r="S133" i="74"/>
  <c r="Q133" i="74"/>
  <c r="O133" i="74"/>
  <c r="M133" i="74"/>
  <c r="K133" i="74"/>
  <c r="I133" i="74"/>
  <c r="G133" i="74"/>
  <c r="E133" i="74"/>
  <c r="C133" i="74"/>
  <c r="R132" i="74"/>
  <c r="S132" i="74"/>
  <c r="Q132" i="74"/>
  <c r="O132" i="74"/>
  <c r="M132" i="74"/>
  <c r="K132" i="74"/>
  <c r="I132" i="74"/>
  <c r="G132" i="74"/>
  <c r="E132" i="74"/>
  <c r="C132" i="74"/>
  <c r="R131" i="74"/>
  <c r="S131" i="74"/>
  <c r="Q131" i="74"/>
  <c r="O131" i="74"/>
  <c r="M131" i="74"/>
  <c r="K131" i="74"/>
  <c r="I131" i="74"/>
  <c r="G131" i="74"/>
  <c r="E131" i="74"/>
  <c r="C131" i="74"/>
  <c r="R130" i="74"/>
  <c r="S130" i="74"/>
  <c r="Q130" i="74"/>
  <c r="O130" i="74"/>
  <c r="M130" i="74"/>
  <c r="K130" i="74"/>
  <c r="I130" i="74"/>
  <c r="G130" i="74"/>
  <c r="E130" i="74"/>
  <c r="C130" i="74"/>
  <c r="R129" i="74"/>
  <c r="S129" i="74"/>
  <c r="Q129" i="74"/>
  <c r="O129" i="74"/>
  <c r="M129" i="74"/>
  <c r="K129" i="74"/>
  <c r="I129" i="74"/>
  <c r="G129" i="74"/>
  <c r="E129" i="74"/>
  <c r="C129" i="74"/>
  <c r="R128" i="74"/>
  <c r="S128" i="74"/>
  <c r="Q128" i="74"/>
  <c r="O128" i="74"/>
  <c r="M128" i="74"/>
  <c r="K128" i="74"/>
  <c r="I128" i="74"/>
  <c r="G128" i="74"/>
  <c r="E128" i="74"/>
  <c r="C128" i="74"/>
  <c r="R127" i="74"/>
  <c r="S127" i="74"/>
  <c r="Q127" i="74"/>
  <c r="O127" i="74"/>
  <c r="M127" i="74"/>
  <c r="K127" i="74"/>
  <c r="I127" i="74"/>
  <c r="G127" i="74"/>
  <c r="E127" i="74"/>
  <c r="C127" i="74"/>
  <c r="R126" i="74"/>
  <c r="S126" i="74"/>
  <c r="Q126" i="74"/>
  <c r="O126" i="74"/>
  <c r="M126" i="74"/>
  <c r="K126" i="74"/>
  <c r="I126" i="74"/>
  <c r="G126" i="74"/>
  <c r="E126" i="74"/>
  <c r="C126" i="74"/>
  <c r="R125" i="74"/>
  <c r="S125" i="74"/>
  <c r="Q125" i="74"/>
  <c r="O125" i="74"/>
  <c r="M125" i="74"/>
  <c r="K125" i="74"/>
  <c r="I125" i="74"/>
  <c r="G125" i="74"/>
  <c r="E125" i="74"/>
  <c r="C125" i="74"/>
  <c r="R124" i="74"/>
  <c r="S124" i="74"/>
  <c r="Q124" i="74"/>
  <c r="O124" i="74"/>
  <c r="M124" i="74"/>
  <c r="K124" i="74"/>
  <c r="I124" i="74"/>
  <c r="G124" i="74"/>
  <c r="E124" i="74"/>
  <c r="C124" i="74"/>
  <c r="R123" i="74"/>
  <c r="S123" i="74"/>
  <c r="Q123" i="74"/>
  <c r="O123" i="74"/>
  <c r="M123" i="74"/>
  <c r="K123" i="74"/>
  <c r="I123" i="74"/>
  <c r="G123" i="74"/>
  <c r="E123" i="74"/>
  <c r="C123" i="74"/>
  <c r="R122" i="74"/>
  <c r="S122" i="74"/>
  <c r="Q122" i="74"/>
  <c r="O122" i="74"/>
  <c r="M122" i="74"/>
  <c r="K122" i="74"/>
  <c r="I122" i="74"/>
  <c r="G122" i="74"/>
  <c r="E122" i="74"/>
  <c r="C122" i="74"/>
  <c r="R121" i="74"/>
  <c r="S121" i="74"/>
  <c r="Q121" i="74"/>
  <c r="O121" i="74"/>
  <c r="M121" i="74"/>
  <c r="K121" i="74"/>
  <c r="I121" i="74"/>
  <c r="G121" i="74"/>
  <c r="E121" i="74"/>
  <c r="C121" i="74"/>
  <c r="R120" i="74"/>
  <c r="S120" i="74"/>
  <c r="Q120" i="74"/>
  <c r="O120" i="74"/>
  <c r="M120" i="74"/>
  <c r="K120" i="74"/>
  <c r="I120" i="74"/>
  <c r="G120" i="74"/>
  <c r="E120" i="74"/>
  <c r="C120" i="74"/>
  <c r="R119" i="74"/>
  <c r="S119" i="74"/>
  <c r="Q119" i="74"/>
  <c r="O119" i="74"/>
  <c r="M119" i="74"/>
  <c r="K119" i="74"/>
  <c r="I119" i="74"/>
  <c r="G119" i="74"/>
  <c r="E119" i="74"/>
  <c r="C119" i="74"/>
  <c r="R118" i="74"/>
  <c r="S118" i="74"/>
  <c r="Q118" i="74"/>
  <c r="O118" i="74"/>
  <c r="M118" i="74"/>
  <c r="K118" i="74"/>
  <c r="I118" i="74"/>
  <c r="G118" i="74"/>
  <c r="E118" i="74"/>
  <c r="C118" i="74"/>
  <c r="R117" i="74"/>
  <c r="S117" i="74"/>
  <c r="Q117" i="74"/>
  <c r="O117" i="74"/>
  <c r="M117" i="74"/>
  <c r="K117" i="74"/>
  <c r="I117" i="74"/>
  <c r="G117" i="74"/>
  <c r="E117" i="74"/>
  <c r="C117" i="74"/>
  <c r="R116" i="74"/>
  <c r="S116" i="74"/>
  <c r="Q116" i="74"/>
  <c r="O116" i="74"/>
  <c r="M116" i="74"/>
  <c r="K116" i="74"/>
  <c r="I116" i="74"/>
  <c r="G116" i="74"/>
  <c r="E116" i="74"/>
  <c r="C116" i="74"/>
  <c r="R115" i="74"/>
  <c r="S115" i="74"/>
  <c r="Q115" i="74"/>
  <c r="O115" i="74"/>
  <c r="M115" i="74"/>
  <c r="K115" i="74"/>
  <c r="I115" i="74"/>
  <c r="G115" i="74"/>
  <c r="E115" i="74"/>
  <c r="C115" i="74"/>
  <c r="R114" i="74"/>
  <c r="S114" i="74"/>
  <c r="Q114" i="74"/>
  <c r="O114" i="74"/>
  <c r="M114" i="74"/>
  <c r="K114" i="74"/>
  <c r="I114" i="74"/>
  <c r="G114" i="74"/>
  <c r="E114" i="74"/>
  <c r="C114" i="74"/>
  <c r="R113" i="74"/>
  <c r="S113" i="74"/>
  <c r="Q113" i="74"/>
  <c r="O113" i="74"/>
  <c r="M113" i="74"/>
  <c r="K113" i="74"/>
  <c r="I113" i="74"/>
  <c r="G113" i="74"/>
  <c r="E113" i="74"/>
  <c r="C113" i="74"/>
  <c r="R112" i="74"/>
  <c r="S112" i="74"/>
  <c r="Q112" i="74"/>
  <c r="O112" i="74"/>
  <c r="M112" i="74"/>
  <c r="K112" i="74"/>
  <c r="I112" i="74"/>
  <c r="G112" i="74"/>
  <c r="E112" i="74"/>
  <c r="C112" i="74"/>
  <c r="R111" i="74"/>
  <c r="S111" i="74"/>
  <c r="Q111" i="74"/>
  <c r="O111" i="74"/>
  <c r="M111" i="74"/>
  <c r="K111" i="74"/>
  <c r="I111" i="74"/>
  <c r="G111" i="74"/>
  <c r="E111" i="74"/>
  <c r="C111" i="74"/>
  <c r="R110" i="74"/>
  <c r="S110" i="74"/>
  <c r="Q110" i="74"/>
  <c r="O110" i="74"/>
  <c r="M110" i="74"/>
  <c r="K110" i="74"/>
  <c r="I110" i="74"/>
  <c r="G110" i="74"/>
  <c r="E110" i="74"/>
  <c r="C110" i="74"/>
  <c r="R109" i="74"/>
  <c r="S109" i="74"/>
  <c r="Q109" i="74"/>
  <c r="O109" i="74"/>
  <c r="M109" i="74"/>
  <c r="K109" i="74"/>
  <c r="I109" i="74"/>
  <c r="G109" i="74"/>
  <c r="E109" i="74"/>
  <c r="C109" i="74"/>
  <c r="R108" i="74"/>
  <c r="S108" i="74"/>
  <c r="Q108" i="74"/>
  <c r="O108" i="74"/>
  <c r="M108" i="74"/>
  <c r="K108" i="74"/>
  <c r="I108" i="74"/>
  <c r="G108" i="74"/>
  <c r="E108" i="74"/>
  <c r="C108" i="74"/>
  <c r="R107" i="74"/>
  <c r="S107" i="74"/>
  <c r="Q107" i="74"/>
  <c r="O107" i="74"/>
  <c r="M107" i="74"/>
  <c r="K107" i="74"/>
  <c r="I107" i="74"/>
  <c r="G107" i="74"/>
  <c r="E107" i="74"/>
  <c r="C107" i="74"/>
  <c r="R106" i="74"/>
  <c r="S106" i="74"/>
  <c r="Q106" i="74"/>
  <c r="O106" i="74"/>
  <c r="M106" i="74"/>
  <c r="K106" i="74"/>
  <c r="I106" i="74"/>
  <c r="G106" i="74"/>
  <c r="E106" i="74"/>
  <c r="C106" i="74"/>
  <c r="R105" i="74"/>
  <c r="S105" i="74"/>
  <c r="Q105" i="74"/>
  <c r="O105" i="74"/>
  <c r="M105" i="74"/>
  <c r="K105" i="74"/>
  <c r="I105" i="74"/>
  <c r="G105" i="74"/>
  <c r="E105" i="74"/>
  <c r="C105" i="74"/>
  <c r="R104" i="74"/>
  <c r="S104" i="74"/>
  <c r="Q104" i="74"/>
  <c r="O104" i="74"/>
  <c r="M104" i="74"/>
  <c r="K104" i="74"/>
  <c r="I104" i="74"/>
  <c r="G104" i="74"/>
  <c r="E104" i="74"/>
  <c r="C104" i="74"/>
  <c r="R103" i="74"/>
  <c r="S103" i="74"/>
  <c r="Q103" i="74"/>
  <c r="O103" i="74"/>
  <c r="M103" i="74"/>
  <c r="K103" i="74"/>
  <c r="I103" i="74"/>
  <c r="G103" i="74"/>
  <c r="E103" i="74"/>
  <c r="C103" i="74"/>
  <c r="R102" i="74"/>
  <c r="S102" i="74"/>
  <c r="Q102" i="74"/>
  <c r="O102" i="74"/>
  <c r="M102" i="74"/>
  <c r="K102" i="74"/>
  <c r="I102" i="74"/>
  <c r="G102" i="74"/>
  <c r="E102" i="74"/>
  <c r="C102" i="74"/>
  <c r="R101" i="74"/>
  <c r="S101" i="74"/>
  <c r="Q101" i="74"/>
  <c r="O101" i="74"/>
  <c r="M101" i="74"/>
  <c r="K101" i="74"/>
  <c r="I101" i="74"/>
  <c r="G101" i="74"/>
  <c r="E101" i="74"/>
  <c r="C101" i="74"/>
  <c r="R100" i="74"/>
  <c r="S100" i="74"/>
  <c r="Q100" i="74"/>
  <c r="O100" i="74"/>
  <c r="M100" i="74"/>
  <c r="K100" i="74"/>
  <c r="I100" i="74"/>
  <c r="G100" i="74"/>
  <c r="E100" i="74"/>
  <c r="C100" i="74"/>
  <c r="R99" i="74"/>
  <c r="S99" i="74"/>
  <c r="Q99" i="74"/>
  <c r="O99" i="74"/>
  <c r="M99" i="74"/>
  <c r="K99" i="74"/>
  <c r="I99" i="74"/>
  <c r="G99" i="74"/>
  <c r="E99" i="74"/>
  <c r="C99" i="74"/>
  <c r="R98" i="74"/>
  <c r="S98" i="74"/>
  <c r="Q98" i="74"/>
  <c r="O98" i="74"/>
  <c r="M98" i="74"/>
  <c r="K98" i="74"/>
  <c r="I98" i="74"/>
  <c r="G98" i="74"/>
  <c r="E98" i="74"/>
  <c r="C98" i="74"/>
  <c r="R97" i="74"/>
  <c r="S97" i="74"/>
  <c r="Q97" i="74"/>
  <c r="O97" i="74"/>
  <c r="M97" i="74"/>
  <c r="K97" i="74"/>
  <c r="I97" i="74"/>
  <c r="G97" i="74"/>
  <c r="E97" i="74"/>
  <c r="C97" i="74"/>
  <c r="R96" i="74"/>
  <c r="S96" i="74"/>
  <c r="Q96" i="74"/>
  <c r="O96" i="74"/>
  <c r="M96" i="74"/>
  <c r="K96" i="74"/>
  <c r="I96" i="74"/>
  <c r="G96" i="74"/>
  <c r="E96" i="74"/>
  <c r="C96" i="74"/>
  <c r="R95" i="74"/>
  <c r="S95" i="74"/>
  <c r="Q95" i="74"/>
  <c r="O95" i="74"/>
  <c r="M95" i="74"/>
  <c r="K95" i="74"/>
  <c r="I95" i="74"/>
  <c r="G95" i="74"/>
  <c r="E95" i="74"/>
  <c r="C95" i="74"/>
  <c r="R94" i="74"/>
  <c r="S94" i="74"/>
  <c r="Q94" i="74"/>
  <c r="O94" i="74"/>
  <c r="M94" i="74"/>
  <c r="K94" i="74"/>
  <c r="I94" i="74"/>
  <c r="G94" i="74"/>
  <c r="E94" i="74"/>
  <c r="C94" i="74"/>
  <c r="R93" i="74"/>
  <c r="S93" i="74"/>
  <c r="Q93" i="74"/>
  <c r="O93" i="74"/>
  <c r="M93" i="74"/>
  <c r="K93" i="74"/>
  <c r="I93" i="74"/>
  <c r="G93" i="74"/>
  <c r="E93" i="74"/>
  <c r="C93" i="74"/>
  <c r="R92" i="74"/>
  <c r="S92" i="74"/>
  <c r="Q92" i="74"/>
  <c r="O92" i="74"/>
  <c r="M92" i="74"/>
  <c r="K92" i="74"/>
  <c r="I92" i="74"/>
  <c r="G92" i="74"/>
  <c r="E92" i="74"/>
  <c r="C92" i="74"/>
  <c r="R91" i="74"/>
  <c r="S91" i="74"/>
  <c r="Q91" i="74"/>
  <c r="O91" i="74"/>
  <c r="M91" i="74"/>
  <c r="K91" i="74"/>
  <c r="I91" i="74"/>
  <c r="G91" i="74"/>
  <c r="E91" i="74"/>
  <c r="C91" i="74"/>
  <c r="R90" i="74"/>
  <c r="S90" i="74"/>
  <c r="Q90" i="74"/>
  <c r="O90" i="74"/>
  <c r="M90" i="74"/>
  <c r="K90" i="74"/>
  <c r="I90" i="74"/>
  <c r="G90" i="74"/>
  <c r="E90" i="74"/>
  <c r="C90" i="74"/>
  <c r="R89" i="74"/>
  <c r="S89" i="74"/>
  <c r="Q89" i="74"/>
  <c r="O89" i="74"/>
  <c r="M89" i="74"/>
  <c r="K89" i="74"/>
  <c r="I89" i="74"/>
  <c r="G89" i="74"/>
  <c r="E89" i="74"/>
  <c r="C89" i="74"/>
  <c r="R88" i="74"/>
  <c r="S88" i="74"/>
  <c r="Q88" i="74"/>
  <c r="O88" i="74"/>
  <c r="M88" i="74"/>
  <c r="K88" i="74"/>
  <c r="I88" i="74"/>
  <c r="G88" i="74"/>
  <c r="E88" i="74"/>
  <c r="C88" i="74"/>
  <c r="R87" i="74"/>
  <c r="S87" i="74"/>
  <c r="Q87" i="74"/>
  <c r="O87" i="74"/>
  <c r="M87" i="74"/>
  <c r="K87" i="74"/>
  <c r="I87" i="74"/>
  <c r="G87" i="74"/>
  <c r="E87" i="74"/>
  <c r="C87" i="74"/>
  <c r="R86" i="74"/>
  <c r="S86" i="74"/>
  <c r="Q86" i="74"/>
  <c r="O86" i="74"/>
  <c r="M86" i="74"/>
  <c r="K86" i="74"/>
  <c r="I86" i="74"/>
  <c r="G86" i="74"/>
  <c r="E86" i="74"/>
  <c r="C86" i="74"/>
  <c r="R85" i="74"/>
  <c r="S85" i="74"/>
  <c r="Q85" i="74"/>
  <c r="O85" i="74"/>
  <c r="M85" i="74"/>
  <c r="K85" i="74"/>
  <c r="I85" i="74"/>
  <c r="G85" i="74"/>
  <c r="E85" i="74"/>
  <c r="C85" i="74"/>
  <c r="R84" i="74"/>
  <c r="S84" i="74"/>
  <c r="Q84" i="74"/>
  <c r="O84" i="74"/>
  <c r="M84" i="74"/>
  <c r="K84" i="74"/>
  <c r="I84" i="74"/>
  <c r="G84" i="74"/>
  <c r="E84" i="74"/>
  <c r="C84" i="74"/>
  <c r="R83" i="74"/>
  <c r="S83" i="74"/>
  <c r="Q83" i="74"/>
  <c r="O83" i="74"/>
  <c r="M83" i="74"/>
  <c r="K83" i="74"/>
  <c r="I83" i="74"/>
  <c r="G83" i="74"/>
  <c r="E83" i="74"/>
  <c r="C83" i="74"/>
  <c r="R82" i="74"/>
  <c r="S82" i="74"/>
  <c r="Q82" i="74"/>
  <c r="O82" i="74"/>
  <c r="M82" i="74"/>
  <c r="K82" i="74"/>
  <c r="I82" i="74"/>
  <c r="G82" i="74"/>
  <c r="E82" i="74"/>
  <c r="C82" i="74"/>
  <c r="R81" i="74"/>
  <c r="S81" i="74"/>
  <c r="Q81" i="74"/>
  <c r="O81" i="74"/>
  <c r="M81" i="74"/>
  <c r="K81" i="74"/>
  <c r="I81" i="74"/>
  <c r="G81" i="74"/>
  <c r="E81" i="74"/>
  <c r="C81" i="74"/>
  <c r="R80" i="74"/>
  <c r="S80" i="74"/>
  <c r="Q80" i="74"/>
  <c r="O80" i="74"/>
  <c r="M80" i="74"/>
  <c r="K80" i="74"/>
  <c r="I80" i="74"/>
  <c r="G80" i="74"/>
  <c r="E80" i="74"/>
  <c r="C80" i="74"/>
  <c r="R79" i="74"/>
  <c r="S79" i="74"/>
  <c r="Q79" i="74"/>
  <c r="O79" i="74"/>
  <c r="M79" i="74"/>
  <c r="K79" i="74"/>
  <c r="I79" i="74"/>
  <c r="G79" i="74"/>
  <c r="E79" i="74"/>
  <c r="C79" i="74"/>
  <c r="R78" i="74"/>
  <c r="S78" i="74"/>
  <c r="Q78" i="74"/>
  <c r="O78" i="74"/>
  <c r="M78" i="74"/>
  <c r="K78" i="74"/>
  <c r="I78" i="74"/>
  <c r="G78" i="74"/>
  <c r="E78" i="74"/>
  <c r="C78" i="74"/>
  <c r="R77" i="74"/>
  <c r="S77" i="74"/>
  <c r="Q77" i="74"/>
  <c r="O77" i="74"/>
  <c r="M77" i="74"/>
  <c r="K77" i="74"/>
  <c r="I77" i="74"/>
  <c r="G77" i="74"/>
  <c r="E77" i="74"/>
  <c r="C77" i="74"/>
  <c r="R76" i="74"/>
  <c r="S76" i="74"/>
  <c r="Q76" i="74"/>
  <c r="O76" i="74"/>
  <c r="M76" i="74"/>
  <c r="K76" i="74"/>
  <c r="I76" i="74"/>
  <c r="G76" i="74"/>
  <c r="E76" i="74"/>
  <c r="C76" i="74"/>
  <c r="R75" i="74"/>
  <c r="S75" i="74"/>
  <c r="Q75" i="74"/>
  <c r="O75" i="74"/>
  <c r="M75" i="74"/>
  <c r="K75" i="74"/>
  <c r="I75" i="74"/>
  <c r="G75" i="74"/>
  <c r="E75" i="74"/>
  <c r="C75" i="74"/>
  <c r="R74" i="74"/>
  <c r="S74" i="74"/>
  <c r="Q74" i="74"/>
  <c r="O74" i="74"/>
  <c r="M74" i="74"/>
  <c r="K74" i="74"/>
  <c r="I74" i="74"/>
  <c r="G74" i="74"/>
  <c r="E74" i="74"/>
  <c r="C74" i="74"/>
  <c r="R73" i="74"/>
  <c r="S73" i="74"/>
  <c r="Q73" i="74"/>
  <c r="O73" i="74"/>
  <c r="M73" i="74"/>
  <c r="K73" i="74"/>
  <c r="I73" i="74"/>
  <c r="G73" i="74"/>
  <c r="E73" i="74"/>
  <c r="C73" i="74"/>
  <c r="R72" i="74"/>
  <c r="S72" i="74"/>
  <c r="Q72" i="74"/>
  <c r="O72" i="74"/>
  <c r="M72" i="74"/>
  <c r="K72" i="74"/>
  <c r="I72" i="74"/>
  <c r="G72" i="74"/>
  <c r="E72" i="74"/>
  <c r="C72" i="74"/>
  <c r="R71" i="74"/>
  <c r="S71" i="74"/>
  <c r="Q71" i="74"/>
  <c r="O71" i="74"/>
  <c r="M71" i="74"/>
  <c r="K71" i="74"/>
  <c r="I71" i="74"/>
  <c r="G71" i="74"/>
  <c r="E71" i="74"/>
  <c r="C71" i="74"/>
  <c r="R70" i="74"/>
  <c r="S70" i="74"/>
  <c r="Q70" i="74"/>
  <c r="O70" i="74"/>
  <c r="M70" i="74"/>
  <c r="K70" i="74"/>
  <c r="I70" i="74"/>
  <c r="G70" i="74"/>
  <c r="E70" i="74"/>
  <c r="C70" i="74"/>
  <c r="R69" i="74"/>
  <c r="S69" i="74"/>
  <c r="Q69" i="74"/>
  <c r="O69" i="74"/>
  <c r="M69" i="74"/>
  <c r="K69" i="74"/>
  <c r="I69" i="74"/>
  <c r="G69" i="74"/>
  <c r="E69" i="74"/>
  <c r="C69" i="74"/>
  <c r="R68" i="74"/>
  <c r="S68" i="74"/>
  <c r="Q68" i="74"/>
  <c r="O68" i="74"/>
  <c r="M68" i="74"/>
  <c r="K68" i="74"/>
  <c r="I68" i="74"/>
  <c r="G68" i="74"/>
  <c r="E68" i="74"/>
  <c r="C68" i="74"/>
  <c r="R67" i="74"/>
  <c r="S67" i="74"/>
  <c r="Q67" i="74"/>
  <c r="O67" i="74"/>
  <c r="M67" i="74"/>
  <c r="K67" i="74"/>
  <c r="I67" i="74"/>
  <c r="G67" i="74"/>
  <c r="E67" i="74"/>
  <c r="C67" i="74"/>
  <c r="R66" i="74"/>
  <c r="S66" i="74"/>
  <c r="Q66" i="74"/>
  <c r="O66" i="74"/>
  <c r="M66" i="74"/>
  <c r="K66" i="74"/>
  <c r="I66" i="74"/>
  <c r="G66" i="74"/>
  <c r="E66" i="74"/>
  <c r="C66" i="74"/>
  <c r="R65" i="74"/>
  <c r="S65" i="74"/>
  <c r="Q65" i="74"/>
  <c r="O65" i="74"/>
  <c r="M65" i="74"/>
  <c r="K65" i="74"/>
  <c r="I65" i="74"/>
  <c r="G65" i="74"/>
  <c r="E65" i="74"/>
  <c r="C65" i="74"/>
  <c r="R64" i="74"/>
  <c r="S64" i="74"/>
  <c r="Q64" i="74"/>
  <c r="O64" i="74"/>
  <c r="M64" i="74"/>
  <c r="K64" i="74"/>
  <c r="I64" i="74"/>
  <c r="G64" i="74"/>
  <c r="E64" i="74"/>
  <c r="C64" i="74"/>
  <c r="R63" i="74"/>
  <c r="S63" i="74"/>
  <c r="Q63" i="74"/>
  <c r="O63" i="74"/>
  <c r="M63" i="74"/>
  <c r="K63" i="74"/>
  <c r="I63" i="74"/>
  <c r="G63" i="74"/>
  <c r="E63" i="74"/>
  <c r="C63" i="74"/>
  <c r="R62" i="74"/>
  <c r="S62" i="74"/>
  <c r="Q62" i="74"/>
  <c r="O62" i="74"/>
  <c r="M62" i="74"/>
  <c r="K62" i="74"/>
  <c r="I62" i="74"/>
  <c r="G62" i="74"/>
  <c r="E62" i="74"/>
  <c r="C62" i="74"/>
  <c r="R61" i="74"/>
  <c r="S61" i="74"/>
  <c r="Q61" i="74"/>
  <c r="O61" i="74"/>
  <c r="M61" i="74"/>
  <c r="K61" i="74"/>
  <c r="I61" i="74"/>
  <c r="G61" i="74"/>
  <c r="E61" i="74"/>
  <c r="C61" i="74"/>
  <c r="R60" i="74"/>
  <c r="S60" i="74"/>
  <c r="Q60" i="74"/>
  <c r="O60" i="74"/>
  <c r="M60" i="74"/>
  <c r="K60" i="74"/>
  <c r="I60" i="74"/>
  <c r="G60" i="74"/>
  <c r="E60" i="74"/>
  <c r="C60" i="74"/>
  <c r="R59" i="74"/>
  <c r="S59" i="74"/>
  <c r="Q59" i="74"/>
  <c r="O59" i="74"/>
  <c r="M59" i="74"/>
  <c r="K59" i="74"/>
  <c r="I59" i="74"/>
  <c r="G59" i="74"/>
  <c r="E59" i="74"/>
  <c r="C59" i="74"/>
  <c r="R58" i="74"/>
  <c r="S58" i="74"/>
  <c r="Q58" i="74"/>
  <c r="O58" i="74"/>
  <c r="M58" i="74"/>
  <c r="K58" i="74"/>
  <c r="I58" i="74"/>
  <c r="G58" i="74"/>
  <c r="E58" i="74"/>
  <c r="C58" i="74"/>
  <c r="R57" i="74"/>
  <c r="S57" i="74"/>
  <c r="Q57" i="74"/>
  <c r="O57" i="74"/>
  <c r="M57" i="74"/>
  <c r="K57" i="74"/>
  <c r="I57" i="74"/>
  <c r="G57" i="74"/>
  <c r="E57" i="74"/>
  <c r="C57" i="74"/>
  <c r="R56" i="74"/>
  <c r="S56" i="74"/>
  <c r="Q56" i="74"/>
  <c r="O56" i="74"/>
  <c r="M56" i="74"/>
  <c r="K56" i="74"/>
  <c r="I56" i="74"/>
  <c r="G56" i="74"/>
  <c r="E56" i="74"/>
  <c r="C56" i="74"/>
  <c r="R55" i="74"/>
  <c r="S55" i="74"/>
  <c r="Q55" i="74"/>
  <c r="O55" i="74"/>
  <c r="M55" i="74"/>
  <c r="K55" i="74"/>
  <c r="I55" i="74"/>
  <c r="G55" i="74"/>
  <c r="E55" i="74"/>
  <c r="C55" i="74"/>
  <c r="R54" i="74"/>
  <c r="S54" i="74"/>
  <c r="Q54" i="74"/>
  <c r="O54" i="74"/>
  <c r="M54" i="74"/>
  <c r="K54" i="74"/>
  <c r="I54" i="74"/>
  <c r="G54" i="74"/>
  <c r="E54" i="74"/>
  <c r="C54" i="74"/>
  <c r="R53" i="74"/>
  <c r="S53" i="74"/>
  <c r="Q53" i="74"/>
  <c r="O53" i="74"/>
  <c r="M53" i="74"/>
  <c r="K53" i="74"/>
  <c r="I53" i="74"/>
  <c r="G53" i="74"/>
  <c r="E53" i="74"/>
  <c r="C53" i="74"/>
  <c r="R52" i="74"/>
  <c r="S52" i="74"/>
  <c r="Q52" i="74"/>
  <c r="O52" i="74"/>
  <c r="M52" i="74"/>
  <c r="K52" i="74"/>
  <c r="I52" i="74"/>
  <c r="G52" i="74"/>
  <c r="E52" i="74"/>
  <c r="C52" i="74"/>
  <c r="R51" i="74"/>
  <c r="S51" i="74"/>
  <c r="Q51" i="74"/>
  <c r="O51" i="74"/>
  <c r="M51" i="74"/>
  <c r="K51" i="74"/>
  <c r="I51" i="74"/>
  <c r="G51" i="74"/>
  <c r="E51" i="74"/>
  <c r="C51" i="74"/>
  <c r="R50" i="74"/>
  <c r="S50" i="74"/>
  <c r="Q50" i="74"/>
  <c r="O50" i="74"/>
  <c r="M50" i="74"/>
  <c r="K50" i="74"/>
  <c r="I50" i="74"/>
  <c r="G50" i="74"/>
  <c r="E50" i="74"/>
  <c r="C50" i="74"/>
  <c r="R49" i="74"/>
  <c r="S49" i="74"/>
  <c r="Q49" i="74"/>
  <c r="O49" i="74"/>
  <c r="M49" i="74"/>
  <c r="K49" i="74"/>
  <c r="I49" i="74"/>
  <c r="G49" i="74"/>
  <c r="E49" i="74"/>
  <c r="C49" i="74"/>
  <c r="R48" i="74"/>
  <c r="S48" i="74"/>
  <c r="Q48" i="74"/>
  <c r="O48" i="74"/>
  <c r="M48" i="74"/>
  <c r="K48" i="74"/>
  <c r="I48" i="74"/>
  <c r="G48" i="74"/>
  <c r="E48" i="74"/>
  <c r="C48" i="74"/>
  <c r="R47" i="74"/>
  <c r="S47" i="74"/>
  <c r="Q47" i="74"/>
  <c r="O47" i="74"/>
  <c r="M47" i="74"/>
  <c r="K47" i="74"/>
  <c r="I47" i="74"/>
  <c r="G47" i="74"/>
  <c r="E47" i="74"/>
  <c r="C47" i="74"/>
  <c r="R46" i="74"/>
  <c r="S46" i="74"/>
  <c r="Q46" i="74"/>
  <c r="O46" i="74"/>
  <c r="M46" i="74"/>
  <c r="K46" i="74"/>
  <c r="I46" i="74"/>
  <c r="G46" i="74"/>
  <c r="E46" i="74"/>
  <c r="C46" i="74"/>
  <c r="R45" i="74"/>
  <c r="S45" i="74"/>
  <c r="Q45" i="74"/>
  <c r="O45" i="74"/>
  <c r="M45" i="74"/>
  <c r="K45" i="74"/>
  <c r="I45" i="74"/>
  <c r="G45" i="74"/>
  <c r="E45" i="74"/>
  <c r="C45" i="74"/>
  <c r="R44" i="74"/>
  <c r="S44" i="74"/>
  <c r="Q44" i="74"/>
  <c r="O44" i="74"/>
  <c r="M44" i="74"/>
  <c r="K44" i="74"/>
  <c r="I44" i="74"/>
  <c r="G44" i="74"/>
  <c r="E44" i="74"/>
  <c r="C44" i="74"/>
  <c r="R43" i="74"/>
  <c r="S43" i="74"/>
  <c r="Q43" i="74"/>
  <c r="O43" i="74"/>
  <c r="M43" i="74"/>
  <c r="K43" i="74"/>
  <c r="I43" i="74"/>
  <c r="G43" i="74"/>
  <c r="E43" i="74"/>
  <c r="C43" i="74"/>
  <c r="R42" i="74"/>
  <c r="S42" i="74"/>
  <c r="Q42" i="74"/>
  <c r="O42" i="74"/>
  <c r="M42" i="74"/>
  <c r="K42" i="74"/>
  <c r="I42" i="74"/>
  <c r="G42" i="74"/>
  <c r="E42" i="74"/>
  <c r="C42" i="74"/>
  <c r="R41" i="74"/>
  <c r="S41" i="74"/>
  <c r="Q41" i="74"/>
  <c r="O41" i="74"/>
  <c r="M41" i="74"/>
  <c r="K41" i="74"/>
  <c r="I41" i="74"/>
  <c r="G41" i="74"/>
  <c r="E41" i="74"/>
  <c r="C41" i="74"/>
  <c r="R40" i="74"/>
  <c r="S40" i="74"/>
  <c r="Q40" i="74"/>
  <c r="O40" i="74"/>
  <c r="M40" i="74"/>
  <c r="K40" i="74"/>
  <c r="I40" i="74"/>
  <c r="G40" i="74"/>
  <c r="E40" i="74"/>
  <c r="C40" i="74"/>
  <c r="R39" i="74"/>
  <c r="S39" i="74"/>
  <c r="Q39" i="74"/>
  <c r="O39" i="74"/>
  <c r="M39" i="74"/>
  <c r="K39" i="74"/>
  <c r="I39" i="74"/>
  <c r="G39" i="74"/>
  <c r="E39" i="74"/>
  <c r="C39" i="74"/>
  <c r="R38" i="74"/>
  <c r="S38" i="74"/>
  <c r="Q38" i="74"/>
  <c r="O38" i="74"/>
  <c r="M38" i="74"/>
  <c r="K38" i="74"/>
  <c r="I38" i="74"/>
  <c r="G38" i="74"/>
  <c r="E38" i="74"/>
  <c r="C38" i="74"/>
  <c r="R37" i="74"/>
  <c r="S37" i="74"/>
  <c r="Q37" i="74"/>
  <c r="O37" i="74"/>
  <c r="M37" i="74"/>
  <c r="K37" i="74"/>
  <c r="I37" i="74"/>
  <c r="G37" i="74"/>
  <c r="E37" i="74"/>
  <c r="C37" i="74"/>
  <c r="R36" i="74"/>
  <c r="S36" i="74"/>
  <c r="Q36" i="74"/>
  <c r="O36" i="74"/>
  <c r="M36" i="74"/>
  <c r="K36" i="74"/>
  <c r="I36" i="74"/>
  <c r="G36" i="74"/>
  <c r="E36" i="74"/>
  <c r="C36" i="74"/>
  <c r="R35" i="74"/>
  <c r="S35" i="74"/>
  <c r="Q35" i="74"/>
  <c r="O35" i="74"/>
  <c r="M35" i="74"/>
  <c r="K35" i="74"/>
  <c r="I35" i="74"/>
  <c r="G35" i="74"/>
  <c r="E35" i="74"/>
  <c r="C35" i="74"/>
  <c r="R34" i="74"/>
  <c r="S34" i="74"/>
  <c r="Q34" i="74"/>
  <c r="O34" i="74"/>
  <c r="M34" i="74"/>
  <c r="K34" i="74"/>
  <c r="I34" i="74"/>
  <c r="G34" i="74"/>
  <c r="E34" i="74"/>
  <c r="C34" i="74"/>
  <c r="R33" i="74"/>
  <c r="S33" i="74"/>
  <c r="Q33" i="74"/>
  <c r="O33" i="74"/>
  <c r="M33" i="74"/>
  <c r="K33" i="74"/>
  <c r="I33" i="74"/>
  <c r="G33" i="74"/>
  <c r="E33" i="74"/>
  <c r="C33" i="74"/>
  <c r="R32" i="74"/>
  <c r="S32" i="74"/>
  <c r="Q32" i="74"/>
  <c r="O32" i="74"/>
  <c r="M32" i="74"/>
  <c r="K32" i="74"/>
  <c r="I32" i="74"/>
  <c r="G32" i="74"/>
  <c r="E32" i="74"/>
  <c r="C32" i="74"/>
  <c r="R31" i="74"/>
  <c r="S31" i="74"/>
  <c r="Q31" i="74"/>
  <c r="O31" i="74"/>
  <c r="M31" i="74"/>
  <c r="K31" i="74"/>
  <c r="I31" i="74"/>
  <c r="G31" i="74"/>
  <c r="E31" i="74"/>
  <c r="C31" i="74"/>
  <c r="R30" i="74"/>
  <c r="S30" i="74"/>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c r="F12" i="74"/>
  <c r="G12" i="74"/>
  <c r="H12" i="74"/>
  <c r="I12" i="74"/>
  <c r="J12" i="74"/>
  <c r="K12" i="74"/>
  <c r="L12" i="74"/>
  <c r="M12" i="74"/>
  <c r="N12" i="74"/>
  <c r="O12" i="74"/>
  <c r="P12" i="74"/>
  <c r="Q12" i="74"/>
  <c r="R12" i="74"/>
  <c r="S12" i="74"/>
  <c r="D10" i="74"/>
  <c r="E10" i="74"/>
  <c r="F10" i="74"/>
  <c r="G10" i="74"/>
  <c r="H10" i="74"/>
  <c r="I10" i="74"/>
  <c r="J10" i="74"/>
  <c r="K10" i="74"/>
  <c r="L10" i="74"/>
  <c r="M10" i="74"/>
  <c r="N10" i="74"/>
  <c r="O10" i="74"/>
  <c r="P10" i="74"/>
  <c r="Q10" i="74"/>
  <c r="R10" i="74"/>
  <c r="S10" i="74"/>
  <c r="D8" i="74"/>
  <c r="E8" i="74"/>
  <c r="F8" i="74"/>
  <c r="G8" i="74"/>
  <c r="H8" i="74"/>
  <c r="I8" i="74"/>
  <c r="J8" i="74"/>
  <c r="K8" i="74"/>
  <c r="L8" i="74"/>
  <c r="M8" i="74"/>
  <c r="N8" i="74"/>
  <c r="O8" i="74"/>
  <c r="P8" i="74"/>
  <c r="Q8" i="74"/>
  <c r="R8" i="74"/>
  <c r="S8" i="74"/>
  <c r="D6" i="74"/>
  <c r="E28" i="74"/>
  <c r="S2" i="74"/>
  <c r="R2" i="74"/>
  <c r="Q2" i="74"/>
  <c r="P2" i="74"/>
  <c r="O2" i="74"/>
  <c r="N2" i="74"/>
  <c r="M2" i="74"/>
  <c r="L2" i="74"/>
  <c r="K2" i="74"/>
  <c r="J2" i="74"/>
  <c r="I2" i="74"/>
  <c r="H2" i="74"/>
  <c r="G2" i="74"/>
  <c r="F2" i="74"/>
  <c r="E2" i="74"/>
  <c r="D2" i="74"/>
  <c r="C2" i="74"/>
  <c r="E18" i="73"/>
  <c r="C18" i="73"/>
  <c r="D18" i="73"/>
  <c r="E17" i="73"/>
  <c r="C17" i="73"/>
  <c r="C20" i="73"/>
  <c r="G8" i="73"/>
  <c r="H8" i="73"/>
  <c r="H7" i="73"/>
  <c r="H6" i="73"/>
  <c r="H5" i="73"/>
  <c r="G5" i="73"/>
  <c r="H4" i="73"/>
  <c r="G4" i="73"/>
  <c r="F11" i="73"/>
  <c r="D11" i="73"/>
  <c r="H10" i="73"/>
  <c r="E10" i="73"/>
  <c r="E11" i="73"/>
  <c r="H9" i="73"/>
  <c r="Q73" i="72"/>
  <c r="Q60" i="72"/>
  <c r="D60" i="72"/>
  <c r="Q59" i="72"/>
  <c r="K59" i="72"/>
  <c r="P75" i="72"/>
  <c r="Q52" i="72"/>
  <c r="J50" i="72"/>
  <c r="M47" i="72"/>
  <c r="F33" i="72"/>
  <c r="F60" i="72"/>
  <c r="F23" i="72"/>
  <c r="D24" i="72"/>
  <c r="F21" i="72"/>
  <c r="F20" i="72"/>
  <c r="M19" i="72"/>
  <c r="F18" i="72"/>
  <c r="F17" i="72"/>
  <c r="F15" i="72"/>
  <c r="Q73" i="71"/>
  <c r="Q60" i="71"/>
  <c r="D60" i="71"/>
  <c r="Q59" i="71"/>
  <c r="K59" i="71"/>
  <c r="P75" i="71"/>
  <c r="Q52" i="71"/>
  <c r="J50" i="71"/>
  <c r="M47" i="71"/>
  <c r="F33" i="71"/>
  <c r="F60" i="71"/>
  <c r="F23" i="71"/>
  <c r="D24" i="71"/>
  <c r="F21" i="71"/>
  <c r="F20" i="71"/>
  <c r="M19" i="71"/>
  <c r="F18" i="71"/>
  <c r="F17" i="71"/>
  <c r="F15" i="71"/>
  <c r="D22" i="72"/>
  <c r="D22" i="71"/>
  <c r="D23" i="71"/>
  <c r="D23" i="72"/>
  <c r="G11" i="73"/>
  <c r="E20" i="73"/>
  <c r="B27" i="74"/>
  <c r="B24" i="74"/>
  <c r="B25" i="74"/>
  <c r="P62" i="72"/>
  <c r="H11" i="73"/>
  <c r="D17" i="73"/>
  <c r="D20" i="73"/>
  <c r="E6" i="74"/>
  <c r="F6" i="74"/>
  <c r="G6" i="74"/>
  <c r="H6" i="74"/>
  <c r="I6" i="74"/>
  <c r="J6" i="74"/>
  <c r="K6" i="74"/>
  <c r="L6" i="74"/>
  <c r="M6" i="74"/>
  <c r="N6" i="74"/>
  <c r="O6" i="74"/>
  <c r="P6" i="74"/>
  <c r="Q6" i="74"/>
  <c r="R6" i="74"/>
  <c r="S6" i="74"/>
  <c r="C28" i="74"/>
  <c r="C25" i="74"/>
  <c r="P62" i="71"/>
  <c r="C27" i="74"/>
  <c r="C29" i="74"/>
  <c r="B26" i="74"/>
  <c r="C26" i="74"/>
  <c r="E73" i="39"/>
  <c r="F73" i="39"/>
  <c r="G73" i="39"/>
  <c r="H73" i="39"/>
  <c r="I73" i="39"/>
  <c r="J73" i="39"/>
  <c r="K73" i="39"/>
  <c r="L73" i="39"/>
  <c r="M73" i="39"/>
  <c r="N73" i="39"/>
  <c r="I40" i="39"/>
  <c r="G40" i="39"/>
  <c r="E40" i="39"/>
  <c r="C40" i="39"/>
  <c r="I9" i="39"/>
  <c r="G9" i="39"/>
  <c r="E9" i="39"/>
  <c r="I7" i="39"/>
  <c r="G7" i="39"/>
  <c r="E7" i="39"/>
  <c r="L18" i="69"/>
  <c r="L19" i="69"/>
  <c r="L20" i="69"/>
  <c r="L21" i="69"/>
  <c r="L22" i="69"/>
  <c r="L23" i="69"/>
  <c r="L24" i="69"/>
  <c r="L25" i="69"/>
  <c r="L26" i="69"/>
  <c r="L27" i="69"/>
  <c r="L28" i="69"/>
  <c r="L17" i="69"/>
  <c r="L3" i="69"/>
  <c r="F28" i="69"/>
  <c r="F27" i="69"/>
  <c r="F26" i="69"/>
  <c r="I13" i="39"/>
  <c r="F25" i="69"/>
  <c r="F24" i="69"/>
  <c r="F23" i="69"/>
  <c r="F22" i="69"/>
  <c r="F21" i="69"/>
  <c r="F20" i="69"/>
  <c r="F19" i="69"/>
  <c r="G13" i="39"/>
  <c r="F18" i="69"/>
  <c r="F17" i="69"/>
  <c r="L6" i="69"/>
  <c r="L4" i="69"/>
  <c r="L5" i="69"/>
  <c r="L7" i="69"/>
  <c r="L8" i="69"/>
  <c r="L9" i="69"/>
  <c r="L10" i="69"/>
  <c r="L11" i="69"/>
  <c r="F11" i="69"/>
  <c r="F10" i="69"/>
  <c r="F9" i="69"/>
  <c r="F8" i="69"/>
  <c r="F7" i="69"/>
  <c r="E13" i="39"/>
  <c r="F6" i="69"/>
  <c r="F5" i="69"/>
  <c r="F4" i="69"/>
  <c r="F3" i="69"/>
  <c r="B22" i="74"/>
  <c r="D3" i="4"/>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M24" i="68"/>
  <c r="F9" i="68"/>
  <c r="C76" i="68"/>
  <c r="F38" i="68"/>
  <c r="F13" i="68"/>
  <c r="F16" i="68"/>
  <c r="M9" i="68"/>
  <c r="F36" i="68"/>
  <c r="J15" i="68"/>
  <c r="F37" i="68"/>
  <c r="M28" i="68"/>
  <c r="F42" i="68"/>
  <c r="F6" i="68"/>
  <c r="M26" i="68"/>
  <c r="F26" i="68"/>
  <c r="F8" i="68"/>
  <c r="F40" i="68"/>
  <c r="M23" i="68"/>
  <c r="M8" i="68"/>
  <c r="M22" i="68"/>
  <c r="F64" i="68"/>
  <c r="F70" i="68"/>
  <c r="Q71" i="68"/>
  <c r="F68" i="68"/>
  <c r="F51" i="68"/>
  <c r="F66" i="68"/>
  <c r="C27" i="68"/>
  <c r="F65"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Q7" i="59"/>
  <c r="O7" i="59"/>
  <c r="N8" i="59"/>
  <c r="O8" i="59"/>
  <c r="P8" i="59"/>
  <c r="Q8" i="59"/>
  <c r="N7" i="59"/>
  <c r="P7" i="59"/>
  <c r="B13" i="67"/>
  <c r="E14" i="67"/>
  <c r="E9" i="67"/>
  <c r="F9" i="67"/>
  <c r="E12" i="67"/>
  <c r="F10" i="67"/>
  <c r="F14" i="67"/>
  <c r="F11" i="67"/>
  <c r="B10" i="67"/>
  <c r="B12" i="67"/>
  <c r="E13" i="67"/>
  <c r="B14" i="67"/>
  <c r="E8" i="67"/>
  <c r="B11" i="67"/>
  <c r="F12" i="67"/>
  <c r="B8" i="67"/>
  <c r="E11" i="67"/>
  <c r="B9" i="67"/>
  <c r="E10" i="67"/>
  <c r="F13" i="67"/>
  <c r="F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C1" i="65"/>
  <c r="N1" i="65"/>
  <c r="N7" i="65"/>
  <c r="H1" i="65"/>
  <c r="B76" i="63"/>
  <c r="N6" i="65"/>
  <c r="N3" i="65"/>
  <c r="N5" i="65"/>
  <c r="N4" i="65"/>
  <c r="J5" i="65"/>
  <c r="C4" i="65"/>
  <c r="B39" i="1"/>
  <c r="I6" i="65"/>
  <c r="I3" i="65"/>
  <c r="I7" i="65"/>
  <c r="I5" i="65"/>
  <c r="I4" i="65"/>
  <c r="J4" i="65"/>
  <c r="J7" i="65"/>
  <c r="J3" i="65"/>
  <c r="J6" i="65"/>
  <c r="E20" i="46"/>
  <c r="J1" i="65"/>
  <c r="M11" i="72"/>
  <c r="J10" i="72"/>
  <c r="F11" i="72"/>
  <c r="F11" i="71"/>
  <c r="M11" i="71"/>
  <c r="J10" i="71"/>
  <c r="M5" i="54"/>
  <c r="A23" i="51"/>
  <c r="E3" i="65"/>
  <c r="F17" i="11"/>
  <c r="C52" i="72"/>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B13"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21" i="59"/>
  <c r="M19" i="46"/>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L21" i="6"/>
  <c r="P20" i="6"/>
  <c r="P19" i="6"/>
  <c r="P27" i="6"/>
  <c r="D6" i="59"/>
  <c r="C5" i="59"/>
  <c r="D5"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D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D75" i="46"/>
  <c r="J50" i="46"/>
  <c r="D50"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D10" i="1"/>
  <c r="B2" i="1"/>
  <c r="A12" i="1"/>
  <c r="R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M20"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19" i="4"/>
  <c r="F11" i="1"/>
  <c r="AP11" i="1"/>
  <c r="E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K9" i="1"/>
  <c r="M9" i="1"/>
  <c r="E23" i="6"/>
  <c r="E24" i="6"/>
  <c r="D3" i="21"/>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c r="AC549" i="3"/>
  <c r="BB549" i="3"/>
  <c r="BC549" i="3"/>
  <c r="BD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E101" i="37"/>
  <c r="F34" i="37"/>
  <c r="D99" i="37"/>
  <c r="E99" i="37"/>
  <c r="H42" i="34"/>
  <c r="J42" i="34"/>
  <c r="W42" i="34"/>
  <c r="F42" i="34"/>
  <c r="J38" i="34"/>
  <c r="W38" i="34"/>
  <c r="D114" i="34"/>
  <c r="F38" i="34"/>
  <c r="S38" i="34"/>
  <c r="D112" i="34"/>
  <c r="E112" i="34"/>
  <c r="F112" i="34"/>
  <c r="G112" i="34"/>
  <c r="H112" i="34"/>
  <c r="I112" i="34"/>
  <c r="J112" i="34"/>
  <c r="K112" i="34"/>
  <c r="L112" i="34"/>
  <c r="M112" i="34"/>
  <c r="F40" i="33"/>
  <c r="S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H38" i="37"/>
  <c r="AB38" i="37"/>
  <c r="C23" i="37"/>
  <c r="C19" i="37"/>
  <c r="C17" i="37"/>
  <c r="C15" i="37"/>
  <c r="B112" i="37"/>
  <c r="D107" i="37"/>
  <c r="E107" i="37"/>
  <c r="F107" i="37"/>
  <c r="D105" i="37"/>
  <c r="E105" i="37"/>
  <c r="F105" i="37"/>
  <c r="H36" i="37"/>
  <c r="D103" i="37"/>
  <c r="J35" i="37"/>
  <c r="AC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AC16" i="36"/>
  <c r="D62" i="36"/>
  <c r="E62" i="36"/>
  <c r="B59" i="36"/>
  <c r="J13" i="36"/>
  <c r="W13"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J34" i="35"/>
  <c r="AC34" i="35"/>
  <c r="B77" i="35"/>
  <c r="F25" i="35"/>
  <c r="B75" i="35"/>
  <c r="J24" i="35"/>
  <c r="AC24" i="35"/>
  <c r="B73" i="35"/>
  <c r="B57" i="35"/>
  <c r="B61" i="35"/>
  <c r="B59" i="35"/>
  <c r="H12" i="35"/>
  <c r="B131" i="34"/>
  <c r="F47" i="34"/>
  <c r="AA47" i="34"/>
  <c r="B129" i="34"/>
  <c r="B127" i="34"/>
  <c r="B99" i="34"/>
  <c r="B97" i="34"/>
  <c r="H31" i="34"/>
  <c r="B95" i="34"/>
  <c r="B93" i="34"/>
  <c r="B75" i="34"/>
  <c r="B73" i="34"/>
  <c r="J13" i="34"/>
  <c r="W13" i="34"/>
  <c r="B71" i="34"/>
  <c r="B130" i="33"/>
  <c r="B128" i="33"/>
  <c r="H45" i="33"/>
  <c r="B126" i="33"/>
  <c r="J44" i="33"/>
  <c r="AC44" i="33"/>
  <c r="B98" i="33"/>
  <c r="F31" i="33"/>
  <c r="B96" i="33"/>
  <c r="B94" i="33"/>
  <c r="B74" i="33"/>
  <c r="F14" i="33"/>
  <c r="AA14" i="33"/>
  <c r="B72" i="33"/>
  <c r="B70" i="33"/>
  <c r="D96" i="35"/>
  <c r="E96" i="35"/>
  <c r="F96" i="35"/>
  <c r="G96" i="35"/>
  <c r="D94" i="35"/>
  <c r="E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H8" i="35"/>
  <c r="U8" i="35"/>
  <c r="F8" i="35"/>
  <c r="AA8" i="35"/>
  <c r="C7" i="35"/>
  <c r="D120" i="34"/>
  <c r="E120" i="34"/>
  <c r="F120" i="34"/>
  <c r="G120" i="34"/>
  <c r="H120" i="34"/>
  <c r="I120" i="34"/>
  <c r="J120" i="34"/>
  <c r="K120" i="34"/>
  <c r="L120" i="34"/>
  <c r="M120" i="34"/>
  <c r="D90" i="34"/>
  <c r="C15" i="34"/>
  <c r="F67" i="34"/>
  <c r="G67" i="34"/>
  <c r="H67" i="34"/>
  <c r="I67"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Q11" i="33"/>
  <c r="Z11" i="33"/>
  <c r="Q10" i="33"/>
  <c r="Z10" i="33"/>
  <c r="Q9" i="33"/>
  <c r="Z9" i="33"/>
  <c r="J9" i="33"/>
  <c r="AC9" i="33"/>
  <c r="H9" i="33"/>
  <c r="AB9" i="33"/>
  <c r="F9" i="33"/>
  <c r="AA9" i="33"/>
  <c r="J8" i="33"/>
  <c r="W8" i="33"/>
  <c r="H8" i="33"/>
  <c r="F8" i="33"/>
  <c r="S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J46" i="21"/>
  <c r="W46" i="21"/>
  <c r="B128" i="21"/>
  <c r="F45" i="21"/>
  <c r="AA45" i="21"/>
  <c r="B126" i="21"/>
  <c r="H44" i="21"/>
  <c r="U44" i="21"/>
  <c r="B98" i="21"/>
  <c r="B96" i="21"/>
  <c r="B94" i="21"/>
  <c r="H29" i="21"/>
  <c r="U29" i="21"/>
  <c r="B92" i="21"/>
  <c r="F28" i="21"/>
  <c r="S28" i="21"/>
  <c r="B90" i="21"/>
  <c r="B74" i="21"/>
  <c r="F14" i="21"/>
  <c r="B72" i="21"/>
  <c r="J13" i="21"/>
  <c r="AC13"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H13" i="3"/>
  <c r="BI13" i="3"/>
  <c r="BJ13" i="3"/>
  <c r="BJ5" i="3"/>
  <c r="BK13" i="3"/>
  <c r="BM13" i="3"/>
  <c r="BN13" i="3"/>
  <c r="BO13" i="3"/>
  <c r="BP13" i="3"/>
  <c r="BS13" i="3"/>
  <c r="BT13" i="3"/>
  <c r="BB570" i="3"/>
  <c r="BB5" i="3"/>
  <c r="BC570" i="3"/>
  <c r="BD570" i="3"/>
  <c r="BE570" i="3"/>
  <c r="BF570" i="3"/>
  <c r="BG570" i="3"/>
  <c r="BH570" i="3"/>
  <c r="BI570" i="3"/>
  <c r="BJ570" i="3"/>
  <c r="BK570" i="3"/>
  <c r="BM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c r="H34" i="21"/>
  <c r="U34" i="21"/>
  <c r="H38" i="21"/>
  <c r="AB38" i="21"/>
  <c r="F32" i="21"/>
  <c r="F38" i="21"/>
  <c r="S38" i="21"/>
  <c r="F36" i="21"/>
  <c r="F39" i="21"/>
  <c r="AA39" i="21"/>
  <c r="J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H19" i="21"/>
  <c r="AB19" i="21"/>
  <c r="J12" i="21"/>
  <c r="AC12" i="21"/>
  <c r="J26" i="21"/>
  <c r="W26" i="21"/>
  <c r="F26" i="21"/>
  <c r="AA26" i="21"/>
  <c r="AB41" i="21"/>
  <c r="AA41" i="21"/>
  <c r="W41" i="21"/>
  <c r="S10" i="39"/>
  <c r="E103" i="37"/>
  <c r="F103" i="37"/>
  <c r="G103" i="37"/>
  <c r="H103" i="37"/>
  <c r="I103" i="37"/>
  <c r="J103" i="37"/>
  <c r="K103" i="37"/>
  <c r="L103" i="37"/>
  <c r="M103" i="37"/>
  <c r="F39" i="37"/>
  <c r="S39" i="37"/>
  <c r="F29" i="36"/>
  <c r="AA29" i="36"/>
  <c r="F16" i="36"/>
  <c r="AA16" i="36"/>
  <c r="U22" i="36"/>
  <c r="W22" i="36"/>
  <c r="AC31" i="36"/>
  <c r="J33" i="36"/>
  <c r="W33" i="36"/>
  <c r="AC27" i="35"/>
  <c r="W24" i="35"/>
  <c r="S31" i="35"/>
  <c r="W31" i="35"/>
  <c r="F36" i="34"/>
  <c r="S36" i="34"/>
  <c r="H39" i="33"/>
  <c r="AB39" i="33"/>
  <c r="F26" i="33"/>
  <c r="AA26" i="33"/>
  <c r="W38" i="33"/>
  <c r="S33" i="33"/>
  <c r="U38" i="33"/>
  <c r="H39" i="37"/>
  <c r="AB39" i="37"/>
  <c r="AB27" i="35"/>
  <c r="S10" i="40"/>
  <c r="W10" i="40"/>
  <c r="S11" i="40"/>
  <c r="U11" i="40"/>
  <c r="S36" i="40"/>
  <c r="U36" i="40"/>
  <c r="S40" i="39"/>
  <c r="S36" i="39"/>
  <c r="F11" i="21"/>
  <c r="S11" i="21"/>
  <c r="AA38" i="21"/>
  <c r="C23" i="39"/>
  <c r="U36" i="39"/>
  <c r="S42" i="39"/>
  <c r="H11" i="21"/>
  <c r="U11" i="21"/>
  <c r="J11" i="21"/>
  <c r="W11" i="21"/>
  <c r="F86" i="40"/>
  <c r="G86" i="40"/>
  <c r="J27" i="36"/>
  <c r="W27" i="36"/>
  <c r="J34" i="36"/>
  <c r="J30" i="35"/>
  <c r="W30" i="35"/>
  <c r="F22" i="35"/>
  <c r="AA22" i="35"/>
  <c r="H10" i="35"/>
  <c r="U10" i="35"/>
  <c r="U29" i="36"/>
  <c r="J29" i="36"/>
  <c r="AC29" i="36"/>
  <c r="F12" i="36"/>
  <c r="S12" i="36"/>
  <c r="F24" i="36"/>
  <c r="F34" i="36"/>
  <c r="S34" i="36"/>
  <c r="S10" i="36"/>
  <c r="H16" i="35"/>
  <c r="U16" i="35"/>
  <c r="H33" i="35"/>
  <c r="AB33" i="35"/>
  <c r="W8" i="35"/>
  <c r="AC8" i="35"/>
  <c r="F35" i="37"/>
  <c r="AA35" i="37"/>
  <c r="F101" i="37"/>
  <c r="G101" i="37"/>
  <c r="H101" i="37"/>
  <c r="I101" i="37"/>
  <c r="J101" i="37"/>
  <c r="K101" i="37"/>
  <c r="L101" i="37"/>
  <c r="M101" i="37"/>
  <c r="J34" i="37"/>
  <c r="W34" i="37"/>
  <c r="AA39" i="37"/>
  <c r="H43" i="34"/>
  <c r="AB43" i="34"/>
  <c r="U42" i="34"/>
  <c r="E114" i="34"/>
  <c r="H36" i="34"/>
  <c r="U36" i="34"/>
  <c r="F37" i="34"/>
  <c r="AA37" i="34"/>
  <c r="F33" i="34"/>
  <c r="S33" i="34"/>
  <c r="J10" i="34"/>
  <c r="AC10" i="34"/>
  <c r="W8" i="34"/>
  <c r="J28" i="34"/>
  <c r="F36" i="33"/>
  <c r="S36" i="33"/>
  <c r="F19" i="33"/>
  <c r="S19" i="33"/>
  <c r="J19" i="33"/>
  <c r="AB30" i="36"/>
  <c r="S22" i="35"/>
  <c r="H29" i="35"/>
  <c r="AB29" i="35"/>
  <c r="U34" i="37"/>
  <c r="S34" i="37"/>
  <c r="AA34" i="37"/>
  <c r="AB42" i="34"/>
  <c r="J19" i="34"/>
  <c r="AC19" i="34"/>
  <c r="H37" i="33"/>
  <c r="AB37" i="33"/>
  <c r="S37" i="33"/>
  <c r="AC42" i="34"/>
  <c r="AA42" i="34"/>
  <c r="S42" i="34"/>
  <c r="AC38" i="34"/>
  <c r="AA38" i="34"/>
  <c r="J37" i="33"/>
  <c r="W37" i="33"/>
  <c r="J44" i="34"/>
  <c r="AC44" i="34"/>
  <c r="F44" i="34"/>
  <c r="S44" i="34"/>
  <c r="J10" i="35"/>
  <c r="W10" i="35"/>
  <c r="AL5" i="3"/>
  <c r="BQ13" i="3"/>
  <c r="BL13" i="3"/>
  <c r="H28" i="21"/>
  <c r="F30" i="21"/>
  <c r="S30" i="21"/>
  <c r="F44" i="21"/>
  <c r="AA44"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F13" i="21"/>
  <c r="AA13" i="21"/>
  <c r="J27" i="21"/>
  <c r="W27" i="21"/>
  <c r="J29" i="21"/>
  <c r="AC29" i="21"/>
  <c r="F29" i="21"/>
  <c r="S29" i="21"/>
  <c r="H31" i="21"/>
  <c r="J45" i="21"/>
  <c r="H45" i="21"/>
  <c r="U45" i="21"/>
  <c r="F27" i="33"/>
  <c r="F13" i="33"/>
  <c r="S13" i="33"/>
  <c r="J29" i="33"/>
  <c r="W29" i="33"/>
  <c r="J31" i="33"/>
  <c r="AC31" i="33"/>
  <c r="H31" i="33"/>
  <c r="J45" i="33"/>
  <c r="W45" i="33"/>
  <c r="F45" i="33"/>
  <c r="F11" i="35"/>
  <c r="S11" i="35"/>
  <c r="H28" i="36"/>
  <c r="U28" i="36"/>
  <c r="J32" i="36"/>
  <c r="AC32" i="36"/>
  <c r="H13" i="36"/>
  <c r="AB13" i="36"/>
  <c r="F13" i="36"/>
  <c r="S13" i="36"/>
  <c r="J29" i="37"/>
  <c r="F29" i="37"/>
  <c r="AA29" i="37"/>
  <c r="AB36" i="37"/>
  <c r="J37" i="37"/>
  <c r="AC37" i="37"/>
  <c r="H37" i="37"/>
  <c r="U37" i="37"/>
  <c r="H40" i="37"/>
  <c r="U40" i="37"/>
  <c r="J40" i="37"/>
  <c r="W40" i="37"/>
  <c r="F40" i="37"/>
  <c r="AA40" i="37"/>
  <c r="H14" i="33"/>
  <c r="U14" i="33"/>
  <c r="J14" i="33"/>
  <c r="AC14" i="33"/>
  <c r="F30" i="33"/>
  <c r="S30" i="33"/>
  <c r="H44" i="33"/>
  <c r="F44" i="33"/>
  <c r="S44" i="33"/>
  <c r="F46" i="33"/>
  <c r="AA46" i="33"/>
  <c r="H13" i="34"/>
  <c r="U13" i="34"/>
  <c r="F13" i="34"/>
  <c r="AA13" i="34"/>
  <c r="F29" i="34"/>
  <c r="S29" i="34"/>
  <c r="J31" i="34"/>
  <c r="F31" i="34"/>
  <c r="S31" i="34"/>
  <c r="J45" i="34"/>
  <c r="W45" i="34"/>
  <c r="H47" i="34"/>
  <c r="U47" i="34"/>
  <c r="J47" i="34"/>
  <c r="AC47" i="34"/>
  <c r="J13" i="35"/>
  <c r="AC13" i="35"/>
  <c r="J25" i="35"/>
  <c r="H25" i="35"/>
  <c r="F35" i="35"/>
  <c r="S35" i="35"/>
  <c r="J25" i="36"/>
  <c r="W25" i="36"/>
  <c r="F25" i="36"/>
  <c r="AA25" i="36"/>
  <c r="H25" i="36"/>
  <c r="AB25" i="36"/>
  <c r="F13" i="37"/>
  <c r="S13" i="37"/>
  <c r="F28" i="37"/>
  <c r="AA28" i="37"/>
  <c r="J28" i="37"/>
  <c r="AC28" i="37"/>
  <c r="H28" i="37"/>
  <c r="U28" i="37"/>
  <c r="J38" i="37"/>
  <c r="AC38" i="37"/>
  <c r="F14" i="37"/>
  <c r="AA14" i="37"/>
  <c r="J14" i="37"/>
  <c r="J36" i="37"/>
  <c r="AC36" i="37"/>
  <c r="G105" i="37"/>
  <c r="AA28" i="21"/>
  <c r="U36" i="37"/>
  <c r="S45" i="21"/>
  <c r="G529" i="3"/>
  <c r="G517" i="3"/>
  <c r="G508" i="3"/>
  <c r="G493" i="3"/>
  <c r="G565" i="3"/>
  <c r="G557" i="3"/>
  <c r="G545" i="3"/>
  <c r="BL569" i="3"/>
  <c r="BL557" i="3"/>
  <c r="BL545" i="3"/>
  <c r="BL527" i="3"/>
  <c r="BL511" i="3"/>
  <c r="BL491" i="3"/>
  <c r="G16" i="3"/>
  <c r="BL559" i="3"/>
  <c r="BL551" i="3"/>
  <c r="BL533" i="3"/>
  <c r="G518" i="3"/>
  <c r="G510" i="3"/>
  <c r="BL495" i="3"/>
  <c r="G18" i="3"/>
  <c r="BA565" i="3"/>
  <c r="BA559" i="3"/>
  <c r="AZ559" i="3"/>
  <c r="BA555" i="3"/>
  <c r="BA543" i="3"/>
  <c r="BA531" i="3"/>
  <c r="BA509" i="3"/>
  <c r="BA501" i="3"/>
  <c r="BA487" i="3"/>
  <c r="BA562" i="3"/>
  <c r="BA558" i="3"/>
  <c r="BA554" i="3"/>
  <c r="BA544" i="3"/>
  <c r="BA536" i="3"/>
  <c r="BA528" i="3"/>
  <c r="BA520" i="3"/>
  <c r="BA512" i="3"/>
  <c r="BA502" i="3"/>
  <c r="BA492" i="3"/>
  <c r="BA484" i="3"/>
  <c r="G562" i="3"/>
  <c r="G558" i="3"/>
  <c r="G554" i="3"/>
  <c r="G546" i="3"/>
  <c r="AC542" i="3"/>
  <c r="G542" i="3"/>
  <c r="BQ542" i="3"/>
  <c r="BQ568" i="3"/>
  <c r="BL568" i="3"/>
  <c r="BQ566" i="3"/>
  <c r="BQ564" i="3"/>
  <c r="BL564" i="3"/>
  <c r="BQ562" i="3"/>
  <c r="BL562" i="3"/>
  <c r="BQ560" i="3"/>
  <c r="BQ558" i="3"/>
  <c r="BL558" i="3"/>
  <c r="BQ556" i="3"/>
  <c r="BQ554" i="3"/>
  <c r="BQ552" i="3"/>
  <c r="BL552" i="3"/>
  <c r="BQ550" i="3"/>
  <c r="BQ548" i="3"/>
  <c r="BL548" i="3"/>
  <c r="BQ546" i="3"/>
  <c r="BL546" i="3"/>
  <c r="BQ544" i="3"/>
  <c r="BL544" i="3"/>
  <c r="G538" i="3"/>
  <c r="G530" i="3"/>
  <c r="G522" i="3"/>
  <c r="BQ540" i="3"/>
  <c r="BQ538" i="3"/>
  <c r="BL538" i="3"/>
  <c r="BQ536" i="3"/>
  <c r="BQ534" i="3"/>
  <c r="BL534" i="3"/>
  <c r="BQ532" i="3"/>
  <c r="BQ530" i="3"/>
  <c r="BL530" i="3"/>
  <c r="BQ528" i="3"/>
  <c r="BQ526" i="3"/>
  <c r="BL526" i="3"/>
  <c r="BQ524" i="3"/>
  <c r="BQ522" i="3"/>
  <c r="BQ520" i="3"/>
  <c r="BQ518" i="3"/>
  <c r="BQ516" i="3"/>
  <c r="BL516" i="3"/>
  <c r="BQ514" i="3"/>
  <c r="BL514" i="3"/>
  <c r="AZ514" i="3"/>
  <c r="BQ512" i="3"/>
  <c r="BL512" i="3"/>
  <c r="BQ510" i="3"/>
  <c r="BL510" i="3"/>
  <c r="BQ508" i="3"/>
  <c r="AC506" i="3"/>
  <c r="G506" i="3"/>
  <c r="BQ506" i="3"/>
  <c r="BL506" i="3"/>
  <c r="G502" i="3"/>
  <c r="BQ504" i="3"/>
  <c r="BQ502" i="3"/>
  <c r="BQ500" i="3"/>
  <c r="BL500" i="3"/>
  <c r="BQ498" i="3"/>
  <c r="BQ496" i="3"/>
  <c r="BL496" i="3"/>
  <c r="AC494" i="3"/>
  <c r="BQ494" i="3"/>
  <c r="BL494" i="3"/>
  <c r="G492" i="3"/>
  <c r="G484" i="3"/>
  <c r="BQ492" i="3"/>
  <c r="BL492" i="3"/>
  <c r="BQ490" i="3"/>
  <c r="BL490" i="3"/>
  <c r="BQ488" i="3"/>
  <c r="BL488" i="3"/>
  <c r="BQ486" i="3"/>
  <c r="BL486" i="3"/>
  <c r="AZ486" i="3"/>
  <c r="BQ484" i="3"/>
  <c r="BQ482" i="3"/>
  <c r="BQ20" i="3"/>
  <c r="BL20" i="3"/>
  <c r="BQ18" i="3"/>
  <c r="S505" i="31"/>
  <c r="S503" i="31"/>
  <c r="S501" i="31"/>
  <c r="S499" i="31"/>
  <c r="O27" i="31"/>
  <c r="O28" i="31"/>
  <c r="O26" i="31"/>
  <c r="M27" i="31"/>
  <c r="M28" i="31"/>
  <c r="M26" i="31"/>
  <c r="I26" i="31"/>
  <c r="I25" i="31"/>
  <c r="Q26" i="31"/>
  <c r="K26" i="31"/>
  <c r="I27" i="31"/>
  <c r="Q27" i="31"/>
  <c r="K27" i="31"/>
  <c r="I28" i="31"/>
  <c r="Q28" i="31"/>
  <c r="K28" i="31"/>
  <c r="H25" i="21"/>
  <c r="U25" i="21"/>
  <c r="F25" i="21"/>
  <c r="S25" i="21"/>
  <c r="J25" i="21"/>
  <c r="AC25" i="21"/>
  <c r="E125" i="33"/>
  <c r="F125" i="33"/>
  <c r="G125" i="33"/>
  <c r="H43" i="33"/>
  <c r="U43" i="33"/>
  <c r="H17" i="37"/>
  <c r="F23" i="37"/>
  <c r="S23" i="37"/>
  <c r="F79" i="37"/>
  <c r="G79"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AC33" i="36"/>
  <c r="AC12" i="35"/>
  <c r="U39" i="37"/>
  <c r="AA13" i="33"/>
  <c r="AC33" i="21"/>
  <c r="F43" i="33"/>
  <c r="AA43" i="33"/>
  <c r="AA23" i="37"/>
  <c r="S10" i="35"/>
  <c r="G107" i="37"/>
  <c r="H107" i="37"/>
  <c r="I107" i="37"/>
  <c r="J107" i="37"/>
  <c r="K107" i="37"/>
  <c r="L107" i="37"/>
  <c r="M107" i="37"/>
  <c r="H19" i="34"/>
  <c r="AB19" i="34"/>
  <c r="J10" i="37"/>
  <c r="W10" i="37"/>
  <c r="F36" i="35"/>
  <c r="H9" i="37"/>
  <c r="U9" i="37"/>
  <c r="F11" i="37"/>
  <c r="S11" i="37"/>
  <c r="J12" i="37"/>
  <c r="AC12" i="37"/>
  <c r="H12" i="37"/>
  <c r="AB12" i="37"/>
  <c r="F12" i="37"/>
  <c r="AA12" i="37"/>
  <c r="H15" i="37"/>
  <c r="F31" i="37"/>
  <c r="S31" i="37"/>
  <c r="H31" i="37"/>
  <c r="AB31" i="37"/>
  <c r="J15" i="37"/>
  <c r="W15" i="37"/>
  <c r="U12" i="37"/>
  <c r="AB10" i="37"/>
  <c r="J11" i="37"/>
  <c r="W11" i="37"/>
  <c r="E90" i="40"/>
  <c r="F21" i="40"/>
  <c r="S21" i="40"/>
  <c r="W36" i="40"/>
  <c r="U40" i="39"/>
  <c r="F90" i="40"/>
  <c r="J21" i="40"/>
  <c r="AC21" i="40"/>
  <c r="G90" i="40"/>
  <c r="AZ558" i="3"/>
  <c r="G483" i="3"/>
  <c r="G515" i="3"/>
  <c r="G507" i="3"/>
  <c r="G501" i="3"/>
  <c r="BA15" i="3"/>
  <c r="BL17" i="3"/>
  <c r="BL15" i="3"/>
  <c r="BA14" i="3"/>
  <c r="AZ14" i="3"/>
  <c r="J57" i="39"/>
  <c r="H13" i="40"/>
  <c r="U13" i="40"/>
  <c r="H12" i="48"/>
  <c r="I4" i="4"/>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c r="BL127" i="3"/>
  <c r="G128" i="3"/>
  <c r="BA130" i="3"/>
  <c r="AZ130" i="3"/>
  <c r="BL131" i="3"/>
  <c r="G132" i="3"/>
  <c r="BA134" i="3"/>
  <c r="BL135" i="3"/>
  <c r="AZ135" i="3"/>
  <c r="G136" i="3"/>
  <c r="BA138" i="3"/>
  <c r="BL139" i="3"/>
  <c r="AZ139" i="3"/>
  <c r="G140" i="3"/>
  <c r="BA142" i="3"/>
  <c r="BL143" i="3"/>
  <c r="AZ143" i="3"/>
  <c r="G144" i="3"/>
  <c r="BA146" i="3"/>
  <c r="BL147" i="3"/>
  <c r="AZ147" i="3"/>
  <c r="G148" i="3"/>
  <c r="BA150" i="3"/>
  <c r="BL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BL174" i="3"/>
  <c r="AZ174" i="3"/>
  <c r="G175" i="3"/>
  <c r="BA178" i="3"/>
  <c r="AZ178" i="3"/>
  <c r="BL179" i="3"/>
  <c r="G180" i="3"/>
  <c r="AZ27" i="3"/>
  <c r="AZ43" i="3"/>
  <c r="G537" i="3"/>
  <c r="BL181" i="3"/>
  <c r="G182" i="3"/>
  <c r="BA184" i="3"/>
  <c r="BL185" i="3"/>
  <c r="G186" i="3"/>
  <c r="BA188" i="3"/>
  <c r="BL189" i="3"/>
  <c r="G190" i="3"/>
  <c r="BA192" i="3"/>
  <c r="AZ192" i="3"/>
  <c r="BL193" i="3"/>
  <c r="G194" i="3"/>
  <c r="BA196" i="3"/>
  <c r="BL197" i="3"/>
  <c r="G198" i="3"/>
  <c r="BA200" i="3"/>
  <c r="AZ200" i="3"/>
  <c r="BL201"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AZ347" i="3"/>
  <c r="BL347" i="3"/>
  <c r="G348" i="3"/>
  <c r="G351" i="3"/>
  <c r="BL352" i="3"/>
  <c r="BA354" i="3"/>
  <c r="BA355" i="3"/>
  <c r="AZ355" i="3"/>
  <c r="BL355" i="3"/>
  <c r="G356" i="3"/>
  <c r="AZ127" i="3"/>
  <c r="BA358" i="3"/>
  <c r="AZ358" i="3"/>
  <c r="BA359" i="3"/>
  <c r="BL359" i="3"/>
  <c r="AZ359" i="3"/>
  <c r="G360" i="3"/>
  <c r="G361" i="3"/>
  <c r="BL362" i="3"/>
  <c r="BA364" i="3"/>
  <c r="BA365" i="3"/>
  <c r="BL365" i="3"/>
  <c r="G366" i="3"/>
  <c r="G369" i="3"/>
  <c r="BL370" i="3"/>
  <c r="BA372" i="3"/>
  <c r="AZ372" i="3"/>
  <c r="BA373" i="3"/>
  <c r="BL373" i="3"/>
  <c r="AZ373" i="3"/>
  <c r="G374" i="3"/>
  <c r="G377" i="3"/>
  <c r="BL378" i="3"/>
  <c r="BA380" i="3"/>
  <c r="BA381" i="3"/>
  <c r="BL381" i="3"/>
  <c r="G382" i="3"/>
  <c r="G385" i="3"/>
  <c r="AZ170" i="3"/>
  <c r="AZ179" i="3"/>
  <c r="G523" i="3"/>
  <c r="BL297" i="3"/>
  <c r="G298" i="3"/>
  <c r="BA300" i="3"/>
  <c r="BL301" i="3"/>
  <c r="G302" i="3"/>
  <c r="BA304" i="3"/>
  <c r="BL305" i="3"/>
  <c r="G306" i="3"/>
  <c r="BA308" i="3"/>
  <c r="BL309" i="3"/>
  <c r="G310" i="3"/>
  <c r="BA310" i="3"/>
  <c r="AZ310" i="3"/>
  <c r="BL311" i="3"/>
  <c r="G312" i="3"/>
  <c r="BA312" i="3"/>
  <c r="AZ312" i="3"/>
  <c r="BL313" i="3"/>
  <c r="G314" i="3"/>
  <c r="BA314" i="3"/>
  <c r="AZ314" i="3"/>
  <c r="BL315" i="3"/>
  <c r="AZ315" i="3"/>
  <c r="G316" i="3"/>
  <c r="BA316" i="3"/>
  <c r="BL317" i="3"/>
  <c r="G318" i="3"/>
  <c r="BA320" i="3"/>
  <c r="AZ320" i="3"/>
  <c r="BL321" i="3"/>
  <c r="G322" i="3"/>
  <c r="BA324" i="3"/>
  <c r="BL325" i="3"/>
  <c r="AZ325" i="3"/>
  <c r="G326" i="3"/>
  <c r="BA328" i="3"/>
  <c r="AZ328" i="3"/>
  <c r="BL329" i="3"/>
  <c r="AZ329" i="3"/>
  <c r="G330" i="3"/>
  <c r="BA332" i="3"/>
  <c r="BL333" i="3"/>
  <c r="G334" i="3"/>
  <c r="BA336" i="3"/>
  <c r="AZ336" i="3"/>
  <c r="BL337" i="3"/>
  <c r="G338" i="3"/>
  <c r="BA340" i="3"/>
  <c r="AZ340" i="3"/>
  <c r="BL341" i="3"/>
  <c r="G342" i="3"/>
  <c r="BA344" i="3"/>
  <c r="BL345" i="3"/>
  <c r="G346" i="3"/>
  <c r="BA348" i="3"/>
  <c r="BL349" i="3"/>
  <c r="G350" i="3"/>
  <c r="BA352" i="3"/>
  <c r="BL353" i="3"/>
  <c r="G354" i="3"/>
  <c r="BA356" i="3"/>
  <c r="BL357" i="3"/>
  <c r="AZ357" i="3"/>
  <c r="G358" i="3"/>
  <c r="BA362" i="3"/>
  <c r="AZ362" i="3"/>
  <c r="BL363" i="3"/>
  <c r="G364" i="3"/>
  <c r="BA366" i="3"/>
  <c r="BL367" i="3"/>
  <c r="AZ205" i="3"/>
  <c r="AZ213" i="3"/>
  <c r="AZ217" i="3"/>
  <c r="AZ321" i="3"/>
  <c r="AZ363" i="3"/>
  <c r="G368" i="3"/>
  <c r="BA370" i="3"/>
  <c r="AZ370" i="3"/>
  <c r="BL371" i="3"/>
  <c r="G372" i="3"/>
  <c r="BA374" i="3"/>
  <c r="AZ374" i="3"/>
  <c r="BL375" i="3"/>
  <c r="G376" i="3"/>
  <c r="BA378" i="3"/>
  <c r="AZ378" i="3"/>
  <c r="BL379" i="3"/>
  <c r="G380" i="3"/>
  <c r="BA382" i="3"/>
  <c r="AZ382" i="3"/>
  <c r="BL383" i="3"/>
  <c r="G384" i="3"/>
  <c r="AZ274" i="3"/>
  <c r="AZ278" i="3"/>
  <c r="AZ313" i="3"/>
  <c r="AZ414" i="3"/>
  <c r="AZ422" i="3"/>
  <c r="AZ434" i="3"/>
  <c r="AZ438" i="3"/>
  <c r="H7" i="48"/>
  <c r="H113" i="46"/>
  <c r="H17" i="46"/>
  <c r="F33" i="46"/>
  <c r="F35" i="46"/>
  <c r="F37" i="46"/>
  <c r="H16" i="48"/>
  <c r="H9" i="48"/>
  <c r="H8" i="48"/>
  <c r="C12" i="46"/>
  <c r="AB16" i="35"/>
  <c r="AA13" i="40"/>
  <c r="E78" i="40"/>
  <c r="F78" i="40"/>
  <c r="G78" i="40"/>
  <c r="H78" i="40"/>
  <c r="I78" i="40"/>
  <c r="J78" i="40"/>
  <c r="K78" i="40"/>
  <c r="L78" i="40"/>
  <c r="M78" i="40"/>
  <c r="BH5" i="3"/>
  <c r="R16" i="4"/>
  <c r="P16" i="4"/>
  <c r="D3" i="35"/>
  <c r="G4" i="4"/>
  <c r="S37" i="34"/>
  <c r="J16" i="35"/>
  <c r="W16" i="35"/>
  <c r="AC26" i="36"/>
  <c r="AZ322" i="3"/>
  <c r="H11" i="37"/>
  <c r="AB11" i="37"/>
  <c r="W37" i="37"/>
  <c r="AA36" i="37"/>
  <c r="AC29" i="33"/>
  <c r="W44" i="33"/>
  <c r="W32" i="36"/>
  <c r="AB28" i="33"/>
  <c r="J33" i="34"/>
  <c r="AC33" i="34"/>
  <c r="J40" i="34"/>
  <c r="W40" i="34"/>
  <c r="F16" i="35"/>
  <c r="AA16" i="35"/>
  <c r="W42" i="33"/>
  <c r="J35" i="34"/>
  <c r="W35" i="34"/>
  <c r="S30" i="36"/>
  <c r="H16" i="36"/>
  <c r="AB16" i="36"/>
  <c r="H35" i="37"/>
  <c r="AB35" i="37"/>
  <c r="S26" i="21"/>
  <c r="H32" i="21"/>
  <c r="U32" i="21"/>
  <c r="AB26" i="21"/>
  <c r="AA33" i="21"/>
  <c r="U39" i="21"/>
  <c r="J32" i="21"/>
  <c r="AC32" i="21"/>
  <c r="F17" i="21"/>
  <c r="S17" i="21"/>
  <c r="J17" i="21"/>
  <c r="AC17" i="21"/>
  <c r="F40" i="21"/>
  <c r="S40" i="21"/>
  <c r="H40" i="21"/>
  <c r="AB40" i="21"/>
  <c r="AA8" i="33"/>
  <c r="F10" i="33"/>
  <c r="AA10" i="33"/>
  <c r="F11" i="33"/>
  <c r="S11" i="33"/>
  <c r="J15" i="33"/>
  <c r="W15" i="33"/>
  <c r="H19" i="33"/>
  <c r="AB19" i="33"/>
  <c r="F32" i="33"/>
  <c r="AA32" i="33"/>
  <c r="J32" i="33"/>
  <c r="AC32" i="33"/>
  <c r="F35" i="33"/>
  <c r="AA35" i="33"/>
  <c r="F11" i="34"/>
  <c r="S11" i="34"/>
  <c r="E80" i="34"/>
  <c r="F80" i="34"/>
  <c r="G80" i="34"/>
  <c r="AB28" i="35"/>
  <c r="U28" i="35"/>
  <c r="J13" i="33"/>
  <c r="W13" i="33"/>
  <c r="H13" i="33"/>
  <c r="U13" i="33"/>
  <c r="H29" i="33"/>
  <c r="AB29" i="33"/>
  <c r="F29" i="33"/>
  <c r="AA29" i="33"/>
  <c r="J12" i="34"/>
  <c r="AC12" i="34"/>
  <c r="H12" i="34"/>
  <c r="F12" i="34"/>
  <c r="S12" i="34"/>
  <c r="J14" i="34"/>
  <c r="W14" i="34"/>
  <c r="F14" i="34"/>
  <c r="S14" i="34"/>
  <c r="H14" i="34"/>
  <c r="H30" i="34"/>
  <c r="AB30" i="34"/>
  <c r="F30" i="34"/>
  <c r="S30" i="34"/>
  <c r="J30" i="34"/>
  <c r="W30" i="34"/>
  <c r="H32" i="34"/>
  <c r="AB32" i="34"/>
  <c r="F32" i="34"/>
  <c r="AA32" i="34"/>
  <c r="J32" i="34"/>
  <c r="W32" i="34"/>
  <c r="H46" i="34"/>
  <c r="AB46" i="34"/>
  <c r="F46" i="34"/>
  <c r="J46" i="34"/>
  <c r="AC46" i="34"/>
  <c r="H11" i="35"/>
  <c r="U11" i="35"/>
  <c r="J11" i="35"/>
  <c r="AC11" i="35"/>
  <c r="H32" i="37"/>
  <c r="AB32" i="37"/>
  <c r="H19" i="39"/>
  <c r="U19" i="39"/>
  <c r="F43" i="39"/>
  <c r="S43" i="39"/>
  <c r="H43" i="39"/>
  <c r="U43" i="39"/>
  <c r="J43" i="39"/>
  <c r="W43" i="39"/>
  <c r="F99" i="37"/>
  <c r="S28" i="33"/>
  <c r="AA44" i="34"/>
  <c r="U29" i="35"/>
  <c r="U43" i="34"/>
  <c r="AC34" i="37"/>
  <c r="S35" i="37"/>
  <c r="AB34" i="21"/>
  <c r="BE5" i="3"/>
  <c r="F42" i="21"/>
  <c r="AA42" i="21"/>
  <c r="AB40" i="33"/>
  <c r="U40" i="33"/>
  <c r="AA35" i="34"/>
  <c r="S35" i="34"/>
  <c r="E90" i="34"/>
  <c r="F90" i="34"/>
  <c r="G90" i="34"/>
  <c r="H90" i="34"/>
  <c r="I90" i="34"/>
  <c r="J90" i="34"/>
  <c r="K90" i="34"/>
  <c r="L90" i="34"/>
  <c r="M90" i="34"/>
  <c r="AB8" i="35"/>
  <c r="J14" i="35"/>
  <c r="AC14" i="35"/>
  <c r="F14" i="35"/>
  <c r="H14" i="35"/>
  <c r="U14" i="35"/>
  <c r="E80" i="35"/>
  <c r="F80" i="35"/>
  <c r="G80" i="35"/>
  <c r="H80" i="35"/>
  <c r="I80" i="35"/>
  <c r="J80" i="35"/>
  <c r="K80" i="35"/>
  <c r="L80" i="35"/>
  <c r="M80" i="35"/>
  <c r="F94" i="35"/>
  <c r="G94" i="35"/>
  <c r="H94" i="35"/>
  <c r="I94" i="35"/>
  <c r="J94" i="35"/>
  <c r="K94" i="35"/>
  <c r="L94" i="35"/>
  <c r="M94" i="35"/>
  <c r="J32" i="35"/>
  <c r="AC32" i="35"/>
  <c r="H11" i="36"/>
  <c r="AB11" i="36"/>
  <c r="W16" i="36"/>
  <c r="E78" i="36"/>
  <c r="F78" i="36"/>
  <c r="G78" i="36"/>
  <c r="H78" i="36"/>
  <c r="I78" i="36"/>
  <c r="J78" i="36"/>
  <c r="K78" i="36"/>
  <c r="L78" i="36"/>
  <c r="M78" i="36"/>
  <c r="F26" i="36"/>
  <c r="S26" i="36"/>
  <c r="U34" i="36"/>
  <c r="AB34" i="36"/>
  <c r="H33" i="36"/>
  <c r="F33" i="36"/>
  <c r="AA33" i="36"/>
  <c r="H27" i="36"/>
  <c r="AB27" i="36"/>
  <c r="AC25" i="37"/>
  <c r="AB29" i="37"/>
  <c r="AA30" i="37"/>
  <c r="S30" i="37"/>
  <c r="AC30" i="37"/>
  <c r="AC31" i="37"/>
  <c r="W31" i="37"/>
  <c r="AB14" i="37"/>
  <c r="F17" i="39"/>
  <c r="AA17" i="39"/>
  <c r="H17" i="39"/>
  <c r="U17" i="39"/>
  <c r="J17" i="39"/>
  <c r="W17" i="39"/>
  <c r="F21" i="39"/>
  <c r="S21" i="39"/>
  <c r="H21" i="39"/>
  <c r="U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F29" i="39"/>
  <c r="AA29" i="39"/>
  <c r="E103" i="39"/>
  <c r="F103" i="39"/>
  <c r="G103" i="39"/>
  <c r="H29" i="39"/>
  <c r="U29" i="39"/>
  <c r="F34" i="39"/>
  <c r="AA34" i="39"/>
  <c r="J34" i="39"/>
  <c r="AC34" i="39"/>
  <c r="F39" i="39"/>
  <c r="S39" i="39"/>
  <c r="H39" i="39"/>
  <c r="J39" i="39"/>
  <c r="W39" i="39"/>
  <c r="J29" i="35"/>
  <c r="AC29" i="35"/>
  <c r="F29" i="35"/>
  <c r="S29" i="35"/>
  <c r="W30" i="36"/>
  <c r="AC30" i="36"/>
  <c r="F37" i="39"/>
  <c r="H37" i="39"/>
  <c r="U37" i="39"/>
  <c r="J37" i="39"/>
  <c r="W37" i="39"/>
  <c r="BA568" i="3"/>
  <c r="BL567" i="3"/>
  <c r="BA567" i="3"/>
  <c r="BL566" i="3"/>
  <c r="BL565" i="3"/>
  <c r="BA564" i="3"/>
  <c r="BA563" i="3"/>
  <c r="BL554" i="3"/>
  <c r="BA553" i="3"/>
  <c r="BA552" i="3"/>
  <c r="BL549" i="3"/>
  <c r="BA549" i="3"/>
  <c r="BA548" i="3"/>
  <c r="AZ548" i="3"/>
  <c r="BL547" i="3"/>
  <c r="BA547" i="3"/>
  <c r="BL539" i="3"/>
  <c r="BA539" i="3"/>
  <c r="AZ539" i="3"/>
  <c r="BA538" i="3"/>
  <c r="AZ538" i="3"/>
  <c r="BL537" i="3"/>
  <c r="AZ537" i="3"/>
  <c r="BA537" i="3"/>
  <c r="BL536" i="3"/>
  <c r="BA535" i="3"/>
  <c r="BA534" i="3"/>
  <c r="BA533" i="3"/>
  <c r="AZ533" i="3"/>
  <c r="BL531" i="3"/>
  <c r="AZ531" i="3"/>
  <c r="BA530" i="3"/>
  <c r="AZ530" i="3"/>
  <c r="BL529" i="3"/>
  <c r="BA529" i="3"/>
  <c r="BL528" i="3"/>
  <c r="AZ528" i="3"/>
  <c r="BA527" i="3"/>
  <c r="AZ527" i="3"/>
  <c r="BA526" i="3"/>
  <c r="BA525" i="3"/>
  <c r="BL523" i="3"/>
  <c r="BA523" i="3"/>
  <c r="BL522" i="3"/>
  <c r="BA522" i="3"/>
  <c r="BL521" i="3"/>
  <c r="BA519" i="3"/>
  <c r="BL518" i="3"/>
  <c r="BA518" i="3"/>
  <c r="BL517" i="3"/>
  <c r="AZ517" i="3"/>
  <c r="BA517" i="3"/>
  <c r="BL515" i="3"/>
  <c r="BA515" i="3"/>
  <c r="AZ515" i="3"/>
  <c r="BA514" i="3"/>
  <c r="BL513" i="3"/>
  <c r="BA513" i="3"/>
  <c r="AZ513" i="3"/>
  <c r="BA511" i="3"/>
  <c r="AZ511" i="3"/>
  <c r="BA510" i="3"/>
  <c r="BL509" i="3"/>
  <c r="AZ509" i="3"/>
  <c r="BL507" i="3"/>
  <c r="BA507" i="3"/>
  <c r="AZ507" i="3"/>
  <c r="BA506" i="3"/>
  <c r="BL505" i="3"/>
  <c r="BL504" i="3"/>
  <c r="BA504" i="3"/>
  <c r="BA503" i="3"/>
  <c r="BA500" i="3"/>
  <c r="BL499" i="3"/>
  <c r="BA499" i="3"/>
  <c r="BL498" i="3"/>
  <c r="BL497" i="3"/>
  <c r="BA497" i="3"/>
  <c r="BA496" i="3"/>
  <c r="BA495" i="3"/>
  <c r="BA494" i="3"/>
  <c r="G494" i="3"/>
  <c r="BA491" i="3"/>
  <c r="BA490" i="3"/>
  <c r="AZ490" i="3"/>
  <c r="BL489" i="3"/>
  <c r="BA489" i="3"/>
  <c r="BL487" i="3"/>
  <c r="BA486" i="3"/>
  <c r="BA485" i="3"/>
  <c r="BA483" i="3"/>
  <c r="BA482" i="3"/>
  <c r="BL481" i="3"/>
  <c r="BA481" i="3"/>
  <c r="AZ481" i="3"/>
  <c r="BA18" i="3"/>
  <c r="F36" i="44"/>
  <c r="F114" i="34"/>
  <c r="G114" i="34"/>
  <c r="H114" i="34"/>
  <c r="I114" i="34"/>
  <c r="J114" i="34"/>
  <c r="K114" i="34"/>
  <c r="L114" i="34"/>
  <c r="M114" i="34"/>
  <c r="H38" i="34"/>
  <c r="U38" i="34"/>
  <c r="H30" i="40"/>
  <c r="AB30" i="40"/>
  <c r="G100" i="40"/>
  <c r="J30" i="40"/>
  <c r="AC30" i="40"/>
  <c r="F38" i="40"/>
  <c r="AA38" i="40"/>
  <c r="W12" i="21"/>
  <c r="AB33" i="21"/>
  <c r="S34" i="21"/>
  <c r="AB8" i="33"/>
  <c r="U8" i="33"/>
  <c r="H34" i="33"/>
  <c r="U34" i="33"/>
  <c r="F34" i="33"/>
  <c r="S34" i="33"/>
  <c r="E121" i="33"/>
  <c r="F121" i="33"/>
  <c r="G121" i="33"/>
  <c r="H121" i="33"/>
  <c r="I121" i="33"/>
  <c r="J121" i="33"/>
  <c r="K121" i="33"/>
  <c r="L121" i="33"/>
  <c r="M121" i="33"/>
  <c r="F41" i="33"/>
  <c r="S41" i="33"/>
  <c r="AC34" i="34"/>
  <c r="AA39" i="34"/>
  <c r="S43" i="34"/>
  <c r="E78" i="34"/>
  <c r="F15" i="34"/>
  <c r="AA15" i="34"/>
  <c r="W28" i="35"/>
  <c r="J20" i="35"/>
  <c r="AC20" i="35"/>
  <c r="E72" i="35"/>
  <c r="F72" i="35"/>
  <c r="G72" i="35"/>
  <c r="H22" i="35"/>
  <c r="AB22" i="35"/>
  <c r="H23" i="35"/>
  <c r="U23" i="35"/>
  <c r="W12" i="36"/>
  <c r="AC12" i="36"/>
  <c r="U31" i="36"/>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H42" i="40"/>
  <c r="H40" i="40"/>
  <c r="U40" i="40"/>
  <c r="H34" i="40"/>
  <c r="U34" i="40"/>
  <c r="AZ415" i="3"/>
  <c r="AZ431" i="3"/>
  <c r="AZ439" i="3"/>
  <c r="B41" i="1"/>
  <c r="J42" i="40"/>
  <c r="AC42" i="40"/>
  <c r="J40" i="40"/>
  <c r="AC40" i="40"/>
  <c r="J34" i="40"/>
  <c r="AC34" i="40"/>
  <c r="H16" i="40"/>
  <c r="H14" i="40"/>
  <c r="U14" i="40"/>
  <c r="F32" i="40"/>
  <c r="AA32" i="40"/>
  <c r="AZ433" i="3"/>
  <c r="AZ436" i="3"/>
  <c r="AZ441" i="3"/>
  <c r="M1" i="46"/>
  <c r="M6" i="46"/>
  <c r="M10" i="46"/>
  <c r="N2" i="46"/>
  <c r="N5" i="46"/>
  <c r="F58" i="46"/>
  <c r="F47" i="46"/>
  <c r="H49" i="46"/>
  <c r="N7" i="46"/>
  <c r="AZ388" i="3"/>
  <c r="AZ212" i="3"/>
  <c r="AZ215" i="3"/>
  <c r="AZ276" i="3"/>
  <c r="AZ124" i="3"/>
  <c r="M7" i="46"/>
  <c r="M11" i="46"/>
  <c r="N3" i="46"/>
  <c r="N6" i="46"/>
  <c r="N10" i="46"/>
  <c r="AZ164" i="3"/>
  <c r="AZ24" i="3"/>
  <c r="AZ40" i="3"/>
  <c r="H47" i="46"/>
  <c r="J13" i="40"/>
  <c r="W13" i="40"/>
  <c r="W40" i="40"/>
  <c r="AC47" i="39"/>
  <c r="S47" i="39"/>
  <c r="U37" i="34"/>
  <c r="AC41" i="40"/>
  <c r="W41" i="40"/>
  <c r="U41" i="40"/>
  <c r="J23" i="40"/>
  <c r="AC23" i="40"/>
  <c r="F23" i="40"/>
  <c r="S23" i="40"/>
  <c r="W15" i="40"/>
  <c r="W14" i="39"/>
  <c r="AB23" i="35"/>
  <c r="H20" i="35"/>
  <c r="F20" i="35"/>
  <c r="S20" i="35"/>
  <c r="H15" i="34"/>
  <c r="AB15" i="34"/>
  <c r="F78" i="34"/>
  <c r="G78" i="34"/>
  <c r="J15" i="34"/>
  <c r="AC15" i="34"/>
  <c r="H41" i="33"/>
  <c r="U41" i="33"/>
  <c r="F30" i="40"/>
  <c r="AA30" i="40"/>
  <c r="AZ504" i="3"/>
  <c r="AB37" i="39"/>
  <c r="J29" i="39"/>
  <c r="AC29" i="39"/>
  <c r="G99" i="37"/>
  <c r="F33" i="37"/>
  <c r="AA14" i="34"/>
  <c r="AA11" i="34"/>
  <c r="H15" i="33"/>
  <c r="U15" i="33"/>
  <c r="AA11" i="33"/>
  <c r="AB34" i="40"/>
  <c r="AB42" i="40"/>
  <c r="U42" i="40"/>
  <c r="AC16" i="40"/>
  <c r="W32" i="40"/>
  <c r="H25" i="40"/>
  <c r="AB25" i="40"/>
  <c r="F94" i="40"/>
  <c r="G94" i="40"/>
  <c r="J37" i="34"/>
  <c r="AC37" i="34"/>
  <c r="J36" i="33"/>
  <c r="W36" i="33"/>
  <c r="H23" i="39"/>
  <c r="AB23" i="39"/>
  <c r="J23" i="39"/>
  <c r="AC23" i="39"/>
  <c r="F97" i="39"/>
  <c r="G97" i="39"/>
  <c r="AA41" i="33"/>
  <c r="F106" i="33"/>
  <c r="G106" i="33"/>
  <c r="H106" i="33"/>
  <c r="I106" i="33"/>
  <c r="J106" i="33"/>
  <c r="K106" i="33"/>
  <c r="L106" i="33"/>
  <c r="M106" i="33"/>
  <c r="J34" i="33"/>
  <c r="AC34" i="33"/>
  <c r="W29" i="35"/>
  <c r="AC39" i="39"/>
  <c r="AA39" i="39"/>
  <c r="W14" i="35"/>
  <c r="F32" i="37"/>
  <c r="S32" i="37"/>
  <c r="AB11" i="35"/>
  <c r="U32" i="34"/>
  <c r="AC14" i="34"/>
  <c r="AB13" i="33"/>
  <c r="J17" i="34"/>
  <c r="AC17" i="34"/>
  <c r="H11" i="34"/>
  <c r="AB11" i="34"/>
  <c r="J35" i="33"/>
  <c r="W35" i="33"/>
  <c r="H11" i="33"/>
  <c r="U11" i="33"/>
  <c r="H10" i="33"/>
  <c r="U10" i="33"/>
  <c r="J10" i="33"/>
  <c r="AC10" i="33"/>
  <c r="U11" i="37"/>
  <c r="J11" i="34"/>
  <c r="W11" i="34"/>
  <c r="F25" i="40"/>
  <c r="AA25" i="40"/>
  <c r="J11" i="33"/>
  <c r="W11" i="33"/>
  <c r="H33" i="37"/>
  <c r="AB33" i="37"/>
  <c r="U20" i="35"/>
  <c r="AB20" i="35"/>
  <c r="W23" i="40"/>
  <c r="D73" i="9"/>
  <c r="N73" i="9"/>
  <c r="B11" i="1"/>
  <c r="E11" i="1"/>
  <c r="B9" i="1"/>
  <c r="E9" i="1"/>
  <c r="B7" i="1"/>
  <c r="E7" i="1"/>
  <c r="K7" i="1"/>
  <c r="L47" i="68"/>
  <c r="E2" i="65"/>
  <c r="AA14" i="21"/>
  <c r="S14" i="21"/>
  <c r="AZ568" i="3"/>
  <c r="AC16" i="35"/>
  <c r="U40" i="21"/>
  <c r="U30" i="40"/>
  <c r="S16" i="39"/>
  <c r="U47" i="39"/>
  <c r="W34" i="40"/>
  <c r="U29" i="33"/>
  <c r="U46" i="34"/>
  <c r="S33" i="40"/>
  <c r="AZ489" i="3"/>
  <c r="AZ529" i="3"/>
  <c r="AZ552" i="3"/>
  <c r="AZ554" i="3"/>
  <c r="AZ564" i="3"/>
  <c r="AB10" i="35"/>
  <c r="AC40" i="37"/>
  <c r="H17" i="21"/>
  <c r="AB17" i="21"/>
  <c r="AB36" i="34"/>
  <c r="S42" i="33"/>
  <c r="AA30" i="33"/>
  <c r="AZ371" i="3"/>
  <c r="AZ366" i="3"/>
  <c r="AZ379" i="3"/>
  <c r="AZ376" i="3"/>
  <c r="AA9" i="21"/>
  <c r="AZ526" i="3"/>
  <c r="AB44" i="21"/>
  <c r="J44" i="21"/>
  <c r="AC44" i="21"/>
  <c r="J28" i="21"/>
  <c r="AC28" i="21"/>
  <c r="J42" i="21"/>
  <c r="AC42" i="21"/>
  <c r="S38" i="33"/>
  <c r="F19" i="34"/>
  <c r="AA19" i="34"/>
  <c r="C29" i="39"/>
  <c r="S34" i="34"/>
  <c r="U34" i="35"/>
  <c r="J19" i="21"/>
  <c r="W19" i="21"/>
  <c r="F19" i="21"/>
  <c r="AA19" i="21"/>
  <c r="G572" i="3"/>
  <c r="G570" i="3"/>
  <c r="H10" i="34"/>
  <c r="AB10" i="34"/>
  <c r="F9" i="35"/>
  <c r="F12" i="35"/>
  <c r="BA569" i="3"/>
  <c r="BA566" i="3"/>
  <c r="AZ566" i="3"/>
  <c r="G566" i="3"/>
  <c r="G564" i="3"/>
  <c r="BL563" i="3"/>
  <c r="BL561" i="3"/>
  <c r="BA561" i="3"/>
  <c r="G561" i="3"/>
  <c r="BA560" i="3"/>
  <c r="G560" i="3"/>
  <c r="BA557" i="3"/>
  <c r="BA556" i="3"/>
  <c r="G556" i="3"/>
  <c r="BL555" i="3"/>
  <c r="G535" i="3"/>
  <c r="G534" i="3"/>
  <c r="BA532" i="3"/>
  <c r="G528" i="3"/>
  <c r="G526" i="3"/>
  <c r="BL525" i="3"/>
  <c r="AZ525" i="3"/>
  <c r="G525" i="3"/>
  <c r="BA524" i="3"/>
  <c r="G524" i="3"/>
  <c r="BA521" i="3"/>
  <c r="G521" i="3"/>
  <c r="BL519" i="3"/>
  <c r="BA516" i="3"/>
  <c r="AZ516" i="3"/>
  <c r="G514" i="3"/>
  <c r="G513" i="3"/>
  <c r="G504" i="3"/>
  <c r="BL503" i="3"/>
  <c r="AZ503" i="3"/>
  <c r="BL501" i="3"/>
  <c r="AZ501" i="3"/>
  <c r="G500" i="3"/>
  <c r="G499" i="3"/>
  <c r="BA498" i="3"/>
  <c r="AZ498" i="3"/>
  <c r="G498" i="3"/>
  <c r="G497" i="3"/>
  <c r="BL493" i="3"/>
  <c r="BA493" i="3"/>
  <c r="BA488" i="3"/>
  <c r="AZ488" i="3"/>
  <c r="G488" i="3"/>
  <c r="G391" i="3"/>
  <c r="G397" i="3"/>
  <c r="BL398" i="3"/>
  <c r="BA400" i="3"/>
  <c r="G401" i="3"/>
  <c r="BL402" i="3"/>
  <c r="BA404" i="3"/>
  <c r="G405" i="3"/>
  <c r="AZ521" i="3"/>
  <c r="AZ349" i="3"/>
  <c r="BL553" i="3"/>
  <c r="BA551" i="3"/>
  <c r="AZ551" i="3"/>
  <c r="BA550" i="3"/>
  <c r="BA546" i="3"/>
  <c r="BA545" i="3"/>
  <c r="AZ545" i="3"/>
  <c r="BL543" i="3"/>
  <c r="AZ543" i="3"/>
  <c r="BA542" i="3"/>
  <c r="BL541" i="3"/>
  <c r="AZ541" i="3"/>
  <c r="BA541" i="3"/>
  <c r="BA540" i="3"/>
  <c r="BL535" i="3"/>
  <c r="AZ535" i="3"/>
  <c r="BA508" i="3"/>
  <c r="BA505" i="3"/>
  <c r="BL485" i="3"/>
  <c r="AZ485" i="3"/>
  <c r="BL483" i="3"/>
  <c r="G410" i="3"/>
  <c r="G449" i="3"/>
  <c r="G451" i="3"/>
  <c r="BL452" i="3"/>
  <c r="G455" i="3"/>
  <c r="G457" i="3"/>
  <c r="BL458" i="3"/>
  <c r="BA460" i="3"/>
  <c r="G461" i="3"/>
  <c r="BL462" i="3"/>
  <c r="BA464" i="3"/>
  <c r="G465" i="3"/>
  <c r="BL466" i="3"/>
  <c r="G467" i="3"/>
  <c r="BA468" i="3"/>
  <c r="AZ468" i="3"/>
  <c r="BL468" i="3"/>
  <c r="BL470" i="3"/>
  <c r="G471" i="3"/>
  <c r="BA472" i="3"/>
  <c r="BL472" i="3"/>
  <c r="BA473" i="3"/>
  <c r="AZ473" i="3"/>
  <c r="BA474" i="3"/>
  <c r="AZ474" i="3"/>
  <c r="BA475" i="3"/>
  <c r="AZ475" i="3"/>
  <c r="BA477" i="3"/>
  <c r="BL477" i="3"/>
  <c r="BA478" i="3"/>
  <c r="AZ478" i="3"/>
  <c r="BA479" i="3"/>
  <c r="AZ479" i="3"/>
  <c r="BA297" i="3"/>
  <c r="AZ297" i="3"/>
  <c r="BA301" i="3"/>
  <c r="AZ301" i="3"/>
  <c r="BL318" i="3"/>
  <c r="G331" i="3"/>
  <c r="G333" i="3"/>
  <c r="BL334" i="3"/>
  <c r="G345" i="3"/>
  <c r="G347" i="3"/>
  <c r="BL348" i="3"/>
  <c r="AZ348" i="3"/>
  <c r="BA350" i="3"/>
  <c r="AZ350" i="3"/>
  <c r="BL360" i="3"/>
  <c r="AZ360" i="3"/>
  <c r="BL364" i="3"/>
  <c r="AZ364" i="3"/>
  <c r="G365" i="3"/>
  <c r="BA367" i="3"/>
  <c r="AZ367" i="3"/>
  <c r="BL369" i="3"/>
  <c r="G370" i="3"/>
  <c r="G223" i="3"/>
  <c r="G227" i="3"/>
  <c r="BL228" i="3"/>
  <c r="BA230" i="3"/>
  <c r="G231" i="3"/>
  <c r="BL232" i="3"/>
  <c r="BA234" i="3"/>
  <c r="G235" i="3"/>
  <c r="BL236" i="3"/>
  <c r="G237" i="3"/>
  <c r="BA238" i="3"/>
  <c r="BL238" i="3"/>
  <c r="BL240" i="3"/>
  <c r="G241" i="3"/>
  <c r="BA242" i="3"/>
  <c r="BL242" i="3"/>
  <c r="BA243" i="3"/>
  <c r="AZ243" i="3"/>
  <c r="BA244" i="3"/>
  <c r="AZ244" i="3"/>
  <c r="BA245" i="3"/>
  <c r="AZ245" i="3"/>
  <c r="BA247" i="3"/>
  <c r="AZ247" i="3"/>
  <c r="BL247" i="3"/>
  <c r="BA248" i="3"/>
  <c r="AZ248" i="3"/>
  <c r="BA249" i="3"/>
  <c r="AZ249" i="3"/>
  <c r="BL251" i="3"/>
  <c r="G252" i="3"/>
  <c r="BL253" i="3"/>
  <c r="G254" i="3"/>
  <c r="BA255" i="3"/>
  <c r="G256" i="3"/>
  <c r="BL257" i="3"/>
  <c r="G258" i="3"/>
  <c r="BL259" i="3"/>
  <c r="BL261" i="3"/>
  <c r="G264" i="3"/>
  <c r="BL265" i="3"/>
  <c r="G270" i="3"/>
  <c r="G284" i="3"/>
  <c r="G288" i="3"/>
  <c r="BL289" i="3"/>
  <c r="BA291" i="3"/>
  <c r="G292" i="3"/>
  <c r="BL293" i="3"/>
  <c r="G296" i="3"/>
  <c r="BA113" i="3"/>
  <c r="G114" i="3"/>
  <c r="G141" i="3"/>
  <c r="G143" i="3"/>
  <c r="BL144" i="3"/>
  <c r="BL148" i="3"/>
  <c r="G153" i="3"/>
  <c r="G172" i="3"/>
  <c r="BA175" i="3"/>
  <c r="AZ175" i="3"/>
  <c r="BA177" i="3"/>
  <c r="BL177" i="3"/>
  <c r="G178" i="3"/>
  <c r="BA182" i="3"/>
  <c r="G183" i="3"/>
  <c r="BL184" i="3"/>
  <c r="AZ184" i="3"/>
  <c r="BA186" i="3"/>
  <c r="BL186" i="3"/>
  <c r="BL188" i="3"/>
  <c r="AZ188" i="3"/>
  <c r="G189" i="3"/>
  <c r="BA191" i="3"/>
  <c r="BL191" i="3"/>
  <c r="BA193" i="3"/>
  <c r="AZ193" i="3"/>
  <c r="BA195" i="3"/>
  <c r="G196" i="3"/>
  <c r="G200" i="3"/>
  <c r="G202" i="3"/>
  <c r="BL203" i="3"/>
  <c r="G34" i="3"/>
  <c r="BL35" i="3"/>
  <c r="G50" i="3"/>
  <c r="BL51" i="3"/>
  <c r="BL54" i="3"/>
  <c r="BA56" i="3"/>
  <c r="AZ56" i="3"/>
  <c r="BL56" i="3"/>
  <c r="BA57" i="3"/>
  <c r="AZ57" i="3"/>
  <c r="BA59" i="3"/>
  <c r="BL59" i="3"/>
  <c r="BA60" i="3"/>
  <c r="AZ60" i="3"/>
  <c r="BL62" i="3"/>
  <c r="G63" i="3"/>
  <c r="BA64" i="3"/>
  <c r="BL64" i="3"/>
  <c r="BA65" i="3"/>
  <c r="AZ65" i="3"/>
  <c r="BA66" i="3"/>
  <c r="AZ66" i="3"/>
  <c r="BL68" i="3"/>
  <c r="G69" i="3"/>
  <c r="BA70" i="3"/>
  <c r="G71" i="3"/>
  <c r="BL72" i="3"/>
  <c r="G75" i="3"/>
  <c r="BA76" i="3"/>
  <c r="BL76" i="3"/>
  <c r="BL77" i="3"/>
  <c r="G78" i="3"/>
  <c r="BL79" i="3"/>
  <c r="G80" i="3"/>
  <c r="BL81" i="3"/>
  <c r="BA83" i="3"/>
  <c r="G84" i="3"/>
  <c r="BL85" i="3"/>
  <c r="BA87" i="3"/>
  <c r="G88" i="3"/>
  <c r="BA89" i="3"/>
  <c r="BL89" i="3"/>
  <c r="BA91" i="3"/>
  <c r="AZ91" i="3"/>
  <c r="BL91" i="3"/>
  <c r="BA92" i="3"/>
  <c r="AZ92" i="3"/>
  <c r="BA94" i="3"/>
  <c r="BL94" i="3"/>
  <c r="BA95" i="3"/>
  <c r="AZ95" i="3"/>
  <c r="BL97" i="3"/>
  <c r="G98" i="3"/>
  <c r="BL99" i="3"/>
  <c r="G100" i="3"/>
  <c r="BL101" i="3"/>
  <c r="BA103" i="3"/>
  <c r="G104" i="3"/>
  <c r="BA105" i="3"/>
  <c r="BL105" i="3"/>
  <c r="BA107" i="3"/>
  <c r="BL107" i="3"/>
  <c r="BA108" i="3"/>
  <c r="AZ108" i="3"/>
  <c r="BA110" i="3"/>
  <c r="AZ110" i="3"/>
  <c r="BL110" i="3"/>
  <c r="BA111" i="3"/>
  <c r="AZ111" i="3"/>
  <c r="BA112" i="3"/>
  <c r="AZ112" i="3"/>
  <c r="D3" i="34"/>
  <c r="G17" i="3"/>
  <c r="G13" i="3"/>
  <c r="BA20" i="3"/>
  <c r="BA19" i="3"/>
  <c r="AZ20" i="3"/>
  <c r="S37" i="39"/>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c r="H101" i="33"/>
  <c r="I101" i="33"/>
  <c r="J101" i="33"/>
  <c r="K101" i="33"/>
  <c r="L101" i="33"/>
  <c r="M101" i="33"/>
  <c r="H32" i="33"/>
  <c r="AB32" i="33"/>
  <c r="AB9" i="34"/>
  <c r="U9" i="34"/>
  <c r="AC39" i="34"/>
  <c r="W39" i="34"/>
  <c r="H36" i="35"/>
  <c r="J36" i="35"/>
  <c r="U8" i="36"/>
  <c r="AB8" i="36"/>
  <c r="AC23" i="36"/>
  <c r="W23" i="36"/>
  <c r="AB26" i="36"/>
  <c r="U26" i="36"/>
  <c r="W10" i="36"/>
  <c r="AC10" i="36"/>
  <c r="J11" i="36"/>
  <c r="F11" i="36"/>
  <c r="W24" i="36"/>
  <c r="AC24" i="36"/>
  <c r="F32" i="36"/>
  <c r="S32" i="36"/>
  <c r="H32" i="36"/>
  <c r="AB32" i="36"/>
  <c r="S31" i="36"/>
  <c r="AA31" i="36"/>
  <c r="AZ546" i="3"/>
  <c r="BL484" i="3"/>
  <c r="AZ484" i="3"/>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c r="BL570" i="3"/>
  <c r="BG5" i="3"/>
  <c r="H27" i="21"/>
  <c r="AB27" i="21"/>
  <c r="F27" i="21"/>
  <c r="AA27" i="21"/>
  <c r="J31" i="21"/>
  <c r="AC31" i="21"/>
  <c r="F31" i="21"/>
  <c r="S31" i="21"/>
  <c r="E125" i="21"/>
  <c r="F125" i="21"/>
  <c r="G125" i="21"/>
  <c r="J43" i="21"/>
  <c r="AC43" i="21"/>
  <c r="F43" i="21"/>
  <c r="S43" i="21"/>
  <c r="H43" i="21"/>
  <c r="H17" i="34"/>
  <c r="AB17" i="34"/>
  <c r="F17" i="34"/>
  <c r="AA17" i="34"/>
  <c r="J27" i="34"/>
  <c r="H27" i="34"/>
  <c r="AB27" i="34"/>
  <c r="F27" i="34"/>
  <c r="S27" i="34"/>
  <c r="H12" i="33"/>
  <c r="U12" i="33"/>
  <c r="F12" i="33"/>
  <c r="H30" i="33"/>
  <c r="J30" i="33"/>
  <c r="J46" i="33"/>
  <c r="H46" i="33"/>
  <c r="AB46" i="33"/>
  <c r="J29" i="34"/>
  <c r="AC29" i="34"/>
  <c r="H29" i="34"/>
  <c r="U29" i="34"/>
  <c r="AB31" i="34"/>
  <c r="U31" i="34"/>
  <c r="H45" i="34"/>
  <c r="F45" i="34"/>
  <c r="F13" i="35"/>
  <c r="S13" i="35"/>
  <c r="H13" i="35"/>
  <c r="J23" i="35"/>
  <c r="F23" i="35"/>
  <c r="AA23" i="35"/>
  <c r="AA25" i="35"/>
  <c r="S25" i="35"/>
  <c r="J35" i="35"/>
  <c r="AC35" i="35"/>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c r="AC8" i="37"/>
  <c r="BL502" i="3"/>
  <c r="BL508" i="3"/>
  <c r="AZ508" i="3"/>
  <c r="BL520" i="3"/>
  <c r="AZ520" i="3"/>
  <c r="BL524" i="3"/>
  <c r="AZ524" i="3"/>
  <c r="BL532" i="3"/>
  <c r="AZ532" i="3"/>
  <c r="BL540" i="3"/>
  <c r="AZ540" i="3"/>
  <c r="BL550" i="3"/>
  <c r="AZ550" i="3"/>
  <c r="BL556" i="3"/>
  <c r="AZ556" i="3"/>
  <c r="BL560" i="3"/>
  <c r="AZ560" i="3"/>
  <c r="BL542" i="3"/>
  <c r="AZ542" i="3"/>
  <c r="J27" i="37"/>
  <c r="F27" i="37"/>
  <c r="AA27" i="37"/>
  <c r="F38" i="37"/>
  <c r="J13" i="37"/>
  <c r="AC13" i="37"/>
  <c r="U31" i="35"/>
  <c r="U30" i="37"/>
  <c r="G571" i="3"/>
  <c r="F25" i="37"/>
  <c r="G567" i="3"/>
  <c r="G563" i="3"/>
  <c r="G559" i="3"/>
  <c r="G540" i="3"/>
  <c r="G536" i="3"/>
  <c r="G532" i="3"/>
  <c r="G516" i="3"/>
  <c r="G512" i="3"/>
  <c r="G505" i="3"/>
  <c r="G490" i="3"/>
  <c r="G489" i="3"/>
  <c r="BA390" i="3"/>
  <c r="BL390" i="3"/>
  <c r="BL392" i="3"/>
  <c r="G393" i="3"/>
  <c r="G395" i="3"/>
  <c r="BA396" i="3"/>
  <c r="AZ396" i="3"/>
  <c r="BL396" i="3"/>
  <c r="BA397" i="3"/>
  <c r="AZ397" i="3"/>
  <c r="BA398" i="3"/>
  <c r="AZ398" i="3"/>
  <c r="BA399" i="3"/>
  <c r="AZ399" i="3"/>
  <c r="BA401" i="3"/>
  <c r="BL401" i="3"/>
  <c r="BA402" i="3"/>
  <c r="AZ402" i="3"/>
  <c r="BA403" i="3"/>
  <c r="AZ403" i="3"/>
  <c r="BL405" i="3"/>
  <c r="BL19" i="3"/>
  <c r="AZ19" i="3"/>
  <c r="G406" i="3"/>
  <c r="G408" i="3"/>
  <c r="BA409" i="3"/>
  <c r="BL409" i="3"/>
  <c r="BL411" i="3"/>
  <c r="G412" i="3"/>
  <c r="G417" i="3"/>
  <c r="BL418" i="3"/>
  <c r="G419" i="3"/>
  <c r="G422" i="3"/>
  <c r="G424" i="3"/>
  <c r="BA425" i="3"/>
  <c r="BL425" i="3"/>
  <c r="G426" i="3"/>
  <c r="G427" i="3"/>
  <c r="BA428" i="3"/>
  <c r="AZ428" i="3"/>
  <c r="BL428" i="3"/>
  <c r="G429" i="3"/>
  <c r="G430" i="3"/>
  <c r="G431" i="3"/>
  <c r="G436" i="3"/>
  <c r="G441" i="3"/>
  <c r="G443" i="3"/>
  <c r="BL444" i="3"/>
  <c r="G445" i="3"/>
  <c r="G447" i="3"/>
  <c r="BA448" i="3"/>
  <c r="BL448" i="3"/>
  <c r="BA450" i="3"/>
  <c r="BL450" i="3"/>
  <c r="BA451" i="3"/>
  <c r="AZ451" i="3"/>
  <c r="BA452" i="3"/>
  <c r="AZ452" i="3"/>
  <c r="BA454" i="3"/>
  <c r="BL454" i="3"/>
  <c r="BA456" i="3"/>
  <c r="BL456" i="3"/>
  <c r="BA457" i="3"/>
  <c r="AZ457" i="3"/>
  <c r="BA458" i="3"/>
  <c r="AZ458" i="3"/>
  <c r="BA459" i="3"/>
  <c r="AZ459" i="3"/>
  <c r="BA461" i="3"/>
  <c r="AZ461" i="3"/>
  <c r="BL461" i="3"/>
  <c r="BA462" i="3"/>
  <c r="AZ462" i="3"/>
  <c r="BA463" i="3"/>
  <c r="AZ463" i="3"/>
  <c r="BL465" i="3"/>
  <c r="G466" i="3"/>
  <c r="BL467" i="3"/>
  <c r="G468" i="3"/>
  <c r="G470" i="3"/>
  <c r="BL471" i="3"/>
  <c r="G472" i="3"/>
  <c r="G477" i="3"/>
  <c r="G305" i="3"/>
  <c r="BL306" i="3"/>
  <c r="AZ306" i="3"/>
  <c r="BA309" i="3"/>
  <c r="AZ309" i="3"/>
  <c r="G317" i="3"/>
  <c r="BA318" i="3"/>
  <c r="AZ318" i="3"/>
  <c r="G329" i="3"/>
  <c r="BL330" i="3"/>
  <c r="AZ330" i="3"/>
  <c r="BA333" i="3"/>
  <c r="AZ333" i="3"/>
  <c r="BA335" i="3"/>
  <c r="AZ335" i="3"/>
  <c r="BL335" i="3"/>
  <c r="G341" i="3"/>
  <c r="BL342" i="3"/>
  <c r="AZ342" i="3"/>
  <c r="G352" i="3"/>
  <c r="BA353" i="3"/>
  <c r="AZ353" i="3"/>
  <c r="BA368" i="3"/>
  <c r="BL368" i="3"/>
  <c r="BL380" i="3"/>
  <c r="AZ380" i="3"/>
  <c r="G381" i="3"/>
  <c r="BA383" i="3"/>
  <c r="AZ383" i="3"/>
  <c r="BL385" i="3"/>
  <c r="G386" i="3"/>
  <c r="G207" i="3"/>
  <c r="G208" i="3"/>
  <c r="BL209" i="3"/>
  <c r="G210" i="3"/>
  <c r="G215" i="3"/>
  <c r="G219" i="3"/>
  <c r="BL220" i="3"/>
  <c r="G221" i="3"/>
  <c r="BA222" i="3"/>
  <c r="BL222" i="3"/>
  <c r="BL224" i="3"/>
  <c r="G225" i="3"/>
  <c r="BA226" i="3"/>
  <c r="BL226" i="3"/>
  <c r="BA227" i="3"/>
  <c r="AZ227" i="3"/>
  <c r="BA228" i="3"/>
  <c r="AZ228" i="3"/>
  <c r="BA229" i="3"/>
  <c r="AZ229" i="3"/>
  <c r="BA231" i="3"/>
  <c r="AZ231" i="3"/>
  <c r="BL231" i="3"/>
  <c r="BA232" i="3"/>
  <c r="AZ232" i="3"/>
  <c r="BA233" i="3"/>
  <c r="AZ233" i="3"/>
  <c r="BL235" i="3"/>
  <c r="G236" i="3"/>
  <c r="BL237" i="3"/>
  <c r="G238" i="3"/>
  <c r="G240" i="3"/>
  <c r="BL241" i="3"/>
  <c r="G242" i="3"/>
  <c r="G247" i="3"/>
  <c r="G251" i="3"/>
  <c r="BL252" i="3"/>
  <c r="G253" i="3"/>
  <c r="BA254" i="3"/>
  <c r="BL254" i="3"/>
  <c r="BL256" i="3"/>
  <c r="G257" i="3"/>
  <c r="BA258" i="3"/>
  <c r="BL258" i="3"/>
  <c r="BA259" i="3"/>
  <c r="AZ259" i="3"/>
  <c r="BA260" i="3"/>
  <c r="AZ260" i="3"/>
  <c r="BA261" i="3"/>
  <c r="AZ261" i="3"/>
  <c r="BA263" i="3"/>
  <c r="AZ263" i="3"/>
  <c r="BL263" i="3"/>
  <c r="BA264" i="3"/>
  <c r="AZ264" i="3"/>
  <c r="BA265" i="3"/>
  <c r="AZ265" i="3"/>
  <c r="BL267" i="3"/>
  <c r="G268" i="3"/>
  <c r="BA269" i="3"/>
  <c r="G177" i="3"/>
  <c r="BL180" i="3"/>
  <c r="G181" i="3"/>
  <c r="BA183" i="3"/>
  <c r="AZ183" i="3"/>
  <c r="BL183" i="3"/>
  <c r="BA185" i="3"/>
  <c r="AZ185" i="3"/>
  <c r="G188" i="3"/>
  <c r="G191" i="3"/>
  <c r="BA194" i="3"/>
  <c r="BL194" i="3"/>
  <c r="BL196" i="3"/>
  <c r="AZ196" i="3"/>
  <c r="G197" i="3"/>
  <c r="BA199" i="3"/>
  <c r="BL199" i="3"/>
  <c r="BA201" i="3"/>
  <c r="AZ201" i="3"/>
  <c r="BA202" i="3"/>
  <c r="AZ202" i="3"/>
  <c r="BA203" i="3"/>
  <c r="AZ203" i="3"/>
  <c r="BL21" i="3"/>
  <c r="G24" i="3"/>
  <c r="G27" i="3"/>
  <c r="G30" i="3"/>
  <c r="BL269" i="3"/>
  <c r="BL271" i="3"/>
  <c r="G272" i="3"/>
  <c r="G276" i="3"/>
  <c r="G280" i="3"/>
  <c r="BL281" i="3"/>
  <c r="G282" i="3"/>
  <c r="BA283" i="3"/>
  <c r="BL283" i="3"/>
  <c r="BL285" i="3"/>
  <c r="G286" i="3"/>
  <c r="BA287" i="3"/>
  <c r="BL287" i="3"/>
  <c r="BA288" i="3"/>
  <c r="AZ288" i="3"/>
  <c r="BA289" i="3"/>
  <c r="AZ289" i="3"/>
  <c r="BA290" i="3"/>
  <c r="AZ290" i="3"/>
  <c r="BA292" i="3"/>
  <c r="AZ292" i="3"/>
  <c r="BL292" i="3"/>
  <c r="BA293" i="3"/>
  <c r="AZ293" i="3"/>
  <c r="BA295" i="3"/>
  <c r="BL295" i="3"/>
  <c r="BA296" i="3"/>
  <c r="AZ296" i="3"/>
  <c r="BL114" i="3"/>
  <c r="AZ114" i="3"/>
  <c r="G115" i="3"/>
  <c r="BL117" i="3"/>
  <c r="G118" i="3"/>
  <c r="BA119" i="3"/>
  <c r="AZ119" i="3"/>
  <c r="BL121" i="3"/>
  <c r="G122" i="3"/>
  <c r="BA123" i="3"/>
  <c r="AZ123" i="3"/>
  <c r="G130" i="3"/>
  <c r="G133" i="3"/>
  <c r="G135" i="3"/>
  <c r="BL136" i="3"/>
  <c r="G137" i="3"/>
  <c r="G139" i="3"/>
  <c r="BA140" i="3"/>
  <c r="AZ140" i="3"/>
  <c r="BL140" i="3"/>
  <c r="BA141" i="3"/>
  <c r="AZ141" i="3"/>
  <c r="BL142" i="3"/>
  <c r="AZ142" i="3"/>
  <c r="BA144" i="3"/>
  <c r="AZ144" i="3"/>
  <c r="G147" i="3"/>
  <c r="BA148" i="3"/>
  <c r="AZ148" i="3"/>
  <c r="BL150" i="3"/>
  <c r="AZ150" i="3"/>
  <c r="G151" i="3"/>
  <c r="BA152" i="3"/>
  <c r="BL152" i="3"/>
  <c r="BA154" i="3"/>
  <c r="AZ154" i="3"/>
  <c r="G161" i="3"/>
  <c r="G164" i="3"/>
  <c r="BL167" i="3"/>
  <c r="G168" i="3"/>
  <c r="BA171" i="3"/>
  <c r="BL171" i="3"/>
  <c r="BA172" i="3"/>
  <c r="AZ172" i="3"/>
  <c r="BL173" i="3"/>
  <c r="AZ173" i="3"/>
  <c r="BL31" i="3"/>
  <c r="G32" i="3"/>
  <c r="BA33" i="3"/>
  <c r="BL33" i="3"/>
  <c r="BA34" i="3"/>
  <c r="AZ34" i="3"/>
  <c r="BA35" i="3"/>
  <c r="AZ35" i="3"/>
  <c r="BL37" i="3"/>
  <c r="G38" i="3"/>
  <c r="G40" i="3"/>
  <c r="G43" i="3"/>
  <c r="G46" i="3"/>
  <c r="BL47" i="3"/>
  <c r="G48" i="3"/>
  <c r="BA49" i="3"/>
  <c r="BL49" i="3"/>
  <c r="BA50" i="3"/>
  <c r="AZ50" i="3"/>
  <c r="BA51" i="3"/>
  <c r="AZ51" i="3"/>
  <c r="BL53" i="3"/>
  <c r="G54" i="3"/>
  <c r="G56" i="3"/>
  <c r="G59" i="3"/>
  <c r="G62" i="3"/>
  <c r="BL63" i="3"/>
  <c r="G64" i="3"/>
  <c r="G68" i="3"/>
  <c r="BA69" i="3"/>
  <c r="BL69" i="3"/>
  <c r="BA71" i="3"/>
  <c r="BL71" i="3"/>
  <c r="BA72" i="3"/>
  <c r="AZ72" i="3"/>
  <c r="BA74" i="3"/>
  <c r="AZ74" i="3"/>
  <c r="BL74" i="3"/>
  <c r="BL75" i="3"/>
  <c r="G76" i="3"/>
  <c r="BL78" i="3"/>
  <c r="G79" i="3"/>
  <c r="BA80" i="3"/>
  <c r="BL80" i="3"/>
  <c r="BA81" i="3"/>
  <c r="AZ81" i="3"/>
  <c r="BA82" i="3"/>
  <c r="AZ82" i="3"/>
  <c r="BA84" i="3"/>
  <c r="AZ84" i="3"/>
  <c r="BL84" i="3"/>
  <c r="BA85" i="3"/>
  <c r="AZ85" i="3"/>
  <c r="BA86" i="3"/>
  <c r="AZ86" i="3"/>
  <c r="BL88" i="3"/>
  <c r="G89" i="3"/>
  <c r="G91" i="3"/>
  <c r="G94" i="3"/>
  <c r="G97" i="3"/>
  <c r="BL98" i="3"/>
  <c r="G99" i="3"/>
  <c r="BA100" i="3"/>
  <c r="BL100" i="3"/>
  <c r="BA101" i="3"/>
  <c r="AZ101" i="3"/>
  <c r="BA102" i="3"/>
  <c r="AZ102" i="3"/>
  <c r="BL104" i="3"/>
  <c r="G105" i="3"/>
  <c r="G107" i="3"/>
  <c r="G110" i="3"/>
  <c r="U33" i="33"/>
  <c r="K11" i="1"/>
  <c r="M11" i="1"/>
  <c r="AC5" i="3"/>
  <c r="D9" i="12"/>
  <c r="AC27" i="34"/>
  <c r="W27" i="34"/>
  <c r="U27" i="37"/>
  <c r="AB27" i="37"/>
  <c r="U27" i="33"/>
  <c r="AB27" i="33"/>
  <c r="S28" i="34"/>
  <c r="AA28" i="34"/>
  <c r="U45" i="33"/>
  <c r="AB45" i="33"/>
  <c r="AC26" i="37"/>
  <c r="W26" i="37"/>
  <c r="K141" i="21"/>
  <c r="K144" i="21"/>
  <c r="K143" i="21"/>
  <c r="F34" i="44"/>
  <c r="F28" i="72"/>
  <c r="M18" i="72"/>
  <c r="F32" i="72"/>
  <c r="F59" i="72"/>
  <c r="F32" i="71"/>
  <c r="F59" i="7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c r="BI5" i="3"/>
  <c r="H42" i="21"/>
  <c r="AB42" i="21"/>
  <c r="F26" i="37"/>
  <c r="AA26" i="37"/>
  <c r="G568" i="3"/>
  <c r="G553" i="3"/>
  <c r="G548" i="3"/>
  <c r="G541" i="3"/>
  <c r="G533" i="3"/>
  <c r="G527" i="3"/>
  <c r="G519" i="3"/>
  <c r="G509" i="3"/>
  <c r="G503" i="3"/>
  <c r="G495" i="3"/>
  <c r="G486" i="3"/>
  <c r="G15" i="3"/>
  <c r="F34" i="15"/>
  <c r="F61" i="15"/>
  <c r="F34" i="72"/>
  <c r="F61" i="72"/>
  <c r="M20" i="72"/>
  <c r="F34" i="71"/>
  <c r="F61" i="71"/>
  <c r="M20" i="71"/>
  <c r="A14" i="55"/>
  <c r="B65" i="63"/>
  <c r="A2" i="55"/>
  <c r="B55" i="63"/>
  <c r="A11" i="55"/>
  <c r="B62" i="63"/>
  <c r="G389" i="3"/>
  <c r="BL389" i="3"/>
  <c r="BL391" i="3"/>
  <c r="AZ391" i="3"/>
  <c r="BA392" i="3"/>
  <c r="AZ392" i="3"/>
  <c r="BL394" i="3"/>
  <c r="AZ394" i="3"/>
  <c r="BA395" i="3"/>
  <c r="AZ395" i="3"/>
  <c r="G398" i="3"/>
  <c r="G399" i="3"/>
  <c r="G400" i="3"/>
  <c r="BL400" i="3"/>
  <c r="G403" i="3"/>
  <c r="G404" i="3"/>
  <c r="BL404" i="3"/>
  <c r="BA405" i="3"/>
  <c r="AZ405" i="3"/>
  <c r="BL407" i="3"/>
  <c r="AZ407" i="3"/>
  <c r="BA408" i="3"/>
  <c r="AZ408" i="3"/>
  <c r="BL410" i="3"/>
  <c r="AZ410" i="3"/>
  <c r="BA411" i="3"/>
  <c r="AZ411" i="3"/>
  <c r="G414" i="3"/>
  <c r="G415" i="3"/>
  <c r="G416" i="3"/>
  <c r="BL416" i="3"/>
  <c r="BA417" i="3"/>
  <c r="AZ417" i="3"/>
  <c r="BA418" i="3"/>
  <c r="AZ418" i="3"/>
  <c r="G421" i="3"/>
  <c r="BL421" i="3"/>
  <c r="AZ421" i="3"/>
  <c r="BL423" i="3"/>
  <c r="AZ423" i="3"/>
  <c r="BA424" i="3"/>
  <c r="AZ424" i="3"/>
  <c r="BL426" i="3"/>
  <c r="AZ426" i="3"/>
  <c r="BA427" i="3"/>
  <c r="AZ427" i="3"/>
  <c r="BL430" i="3"/>
  <c r="AZ430" i="3"/>
  <c r="G433" i="3"/>
  <c r="G434" i="3"/>
  <c r="G435" i="3"/>
  <c r="BL435" i="3"/>
  <c r="AZ435" i="3"/>
  <c r="G438" i="3"/>
  <c r="G439" i="3"/>
  <c r="G440" i="3"/>
  <c r="BL440" i="3"/>
  <c r="BL442" i="3"/>
  <c r="AZ442" i="3"/>
  <c r="BA443" i="3"/>
  <c r="AZ443" i="3"/>
  <c r="BA444" i="3"/>
  <c r="AZ444" i="3"/>
  <c r="BL446" i="3"/>
  <c r="AZ446" i="3"/>
  <c r="BA447" i="3"/>
  <c r="AZ447" i="3"/>
  <c r="BL449" i="3"/>
  <c r="AZ449" i="3"/>
  <c r="G452" i="3"/>
  <c r="G453" i="3"/>
  <c r="BL453" i="3"/>
  <c r="BL455" i="3"/>
  <c r="AZ455" i="3"/>
  <c r="G458" i="3"/>
  <c r="G459" i="3"/>
  <c r="G460" i="3"/>
  <c r="BL460" i="3"/>
  <c r="AZ460" i="3"/>
  <c r="G463" i="3"/>
  <c r="G464" i="3"/>
  <c r="BL464" i="3"/>
  <c r="BA465" i="3"/>
  <c r="AZ465" i="3"/>
  <c r="BA466" i="3"/>
  <c r="AZ466" i="3"/>
  <c r="BA467" i="3"/>
  <c r="AZ467" i="3"/>
  <c r="BL469" i="3"/>
  <c r="AZ469" i="3"/>
  <c r="BA470" i="3"/>
  <c r="AZ470" i="3"/>
  <c r="BA471" i="3"/>
  <c r="AZ471" i="3"/>
  <c r="G474" i="3"/>
  <c r="G475" i="3"/>
  <c r="G476" i="3"/>
  <c r="BL476" i="3"/>
  <c r="G479" i="3"/>
  <c r="G480" i="3"/>
  <c r="BL480" i="3"/>
  <c r="AZ480" i="3"/>
  <c r="G301" i="3"/>
  <c r="BL302" i="3"/>
  <c r="AZ302" i="3"/>
  <c r="BL308" i="3"/>
  <c r="AZ308" i="3"/>
  <c r="BA311" i="3"/>
  <c r="AZ311" i="3"/>
  <c r="G315" i="3"/>
  <c r="BL316" i="3"/>
  <c r="AZ316" i="3"/>
  <c r="BA317" i="3"/>
  <c r="AZ317" i="3"/>
  <c r="BL319" i="3"/>
  <c r="AZ319" i="3"/>
  <c r="G325" i="3"/>
  <c r="BL326" i="3"/>
  <c r="AZ326" i="3"/>
  <c r="BL332" i="3"/>
  <c r="AZ332" i="3"/>
  <c r="BA334" i="3"/>
  <c r="AZ334" i="3"/>
  <c r="BA337" i="3"/>
  <c r="AZ337" i="3"/>
  <c r="BA341" i="3"/>
  <c r="AZ341" i="3"/>
  <c r="BL346" i="3"/>
  <c r="AZ346" i="3"/>
  <c r="BL351" i="3"/>
  <c r="AZ351" i="3"/>
  <c r="G363" i="3"/>
  <c r="G367" i="3"/>
  <c r="BA369" i="3"/>
  <c r="AZ369" i="3"/>
  <c r="G379" i="3"/>
  <c r="G383" i="3"/>
  <c r="BA385" i="3"/>
  <c r="AZ385" i="3"/>
  <c r="G388" i="3"/>
  <c r="G205" i="3"/>
  <c r="G206" i="3"/>
  <c r="BL206" i="3"/>
  <c r="AZ206" i="3"/>
  <c r="AZ416" i="3"/>
  <c r="BL429" i="3"/>
  <c r="AZ453" i="3"/>
  <c r="AZ476" i="3"/>
  <c r="BL207" i="3"/>
  <c r="AZ207" i="3"/>
  <c r="BA208" i="3"/>
  <c r="AZ208" i="3"/>
  <c r="BA209" i="3"/>
  <c r="AZ209" i="3"/>
  <c r="G212" i="3"/>
  <c r="G213" i="3"/>
  <c r="G214" i="3"/>
  <c r="BL214" i="3"/>
  <c r="G217" i="3"/>
  <c r="G218" i="3"/>
  <c r="BL218" i="3"/>
  <c r="BA219" i="3"/>
  <c r="AZ219" i="3"/>
  <c r="BA220" i="3"/>
  <c r="AZ220" i="3"/>
  <c r="BA221" i="3"/>
  <c r="AZ221" i="3"/>
  <c r="BL223" i="3"/>
  <c r="AZ223" i="3"/>
  <c r="BA224" i="3"/>
  <c r="AZ224" i="3"/>
  <c r="BA225" i="3"/>
  <c r="AZ225" i="3"/>
  <c r="G228" i="3"/>
  <c r="G229" i="3"/>
  <c r="G230" i="3"/>
  <c r="BL230" i="3"/>
  <c r="G233" i="3"/>
  <c r="G234" i="3"/>
  <c r="BL234" i="3"/>
  <c r="BA235" i="3"/>
  <c r="AZ235" i="3"/>
  <c r="BA236" i="3"/>
  <c r="AZ236" i="3"/>
  <c r="BA237" i="3"/>
  <c r="AZ237" i="3"/>
  <c r="BL239" i="3"/>
  <c r="AZ239" i="3"/>
  <c r="BA240" i="3"/>
  <c r="AZ240" i="3"/>
  <c r="BA241" i="3"/>
  <c r="AZ241" i="3"/>
  <c r="G244" i="3"/>
  <c r="G245" i="3"/>
  <c r="G246" i="3"/>
  <c r="BL246" i="3"/>
  <c r="G249" i="3"/>
  <c r="G250" i="3"/>
  <c r="BL250" i="3"/>
  <c r="BA251" i="3"/>
  <c r="AZ251" i="3"/>
  <c r="BA252" i="3"/>
  <c r="AZ252" i="3"/>
  <c r="BA253" i="3"/>
  <c r="AZ253" i="3"/>
  <c r="BL255" i="3"/>
  <c r="AZ255" i="3"/>
  <c r="BA256" i="3"/>
  <c r="AZ256" i="3"/>
  <c r="BA257" i="3"/>
  <c r="AZ257" i="3"/>
  <c r="G260" i="3"/>
  <c r="G261" i="3"/>
  <c r="G262" i="3"/>
  <c r="BL262" i="3"/>
  <c r="G265" i="3"/>
  <c r="G266" i="3"/>
  <c r="BL266" i="3"/>
  <c r="BA267" i="3"/>
  <c r="AZ267" i="3"/>
  <c r="BA268" i="3"/>
  <c r="AZ268" i="3"/>
  <c r="BL270" i="3"/>
  <c r="AZ270" i="3"/>
  <c r="BA271" i="3"/>
  <c r="AZ271" i="3"/>
  <c r="BL273" i="3"/>
  <c r="AZ273" i="3"/>
  <c r="G274" i="3"/>
  <c r="G275" i="3"/>
  <c r="BL275" i="3"/>
  <c r="AZ275" i="3"/>
  <c r="G278" i="3"/>
  <c r="G279" i="3"/>
  <c r="BL279" i="3"/>
  <c r="AZ279" i="3"/>
  <c r="BA280" i="3"/>
  <c r="AZ280" i="3"/>
  <c r="BA281" i="3"/>
  <c r="AZ281" i="3"/>
  <c r="BA282" i="3"/>
  <c r="AZ282" i="3"/>
  <c r="BL284" i="3"/>
  <c r="AZ284" i="3"/>
  <c r="BA285" i="3"/>
  <c r="AZ285" i="3"/>
  <c r="BA286" i="3"/>
  <c r="AZ286" i="3"/>
  <c r="G289" i="3"/>
  <c r="G290" i="3"/>
  <c r="G291" i="3"/>
  <c r="BL291" i="3"/>
  <c r="AZ291" i="3"/>
  <c r="G294" i="3"/>
  <c r="BL294" i="3"/>
  <c r="AZ294" i="3"/>
  <c r="G113" i="3"/>
  <c r="BL113" i="3"/>
  <c r="AZ113" i="3"/>
  <c r="BA115" i="3"/>
  <c r="AZ115" i="3"/>
  <c r="BL116" i="3"/>
  <c r="AZ116" i="3"/>
  <c r="BA117" i="3"/>
  <c r="AZ117" i="3"/>
  <c r="BL118" i="3"/>
  <c r="AZ118" i="3"/>
  <c r="BA120" i="3"/>
  <c r="AZ120" i="3"/>
  <c r="BA121" i="3"/>
  <c r="AZ121" i="3"/>
  <c r="BL122" i="3"/>
  <c r="AZ122" i="3"/>
  <c r="G126" i="3"/>
  <c r="G129" i="3"/>
  <c r="BL129" i="3"/>
  <c r="AZ129" i="3"/>
  <c r="BA131" i="3"/>
  <c r="AZ131" i="3"/>
  <c r="BL132" i="3"/>
  <c r="AZ132" i="3"/>
  <c r="BA133" i="3"/>
  <c r="AZ133" i="3"/>
  <c r="BL134" i="3"/>
  <c r="AZ134" i="3"/>
  <c r="BA136" i="3"/>
  <c r="AZ136" i="3"/>
  <c r="BA137" i="3"/>
  <c r="AZ137" i="3"/>
  <c r="BL138" i="3"/>
  <c r="AZ138" i="3"/>
  <c r="G142" i="3"/>
  <c r="G145" i="3"/>
  <c r="BL145" i="3"/>
  <c r="BL146" i="3"/>
  <c r="AZ146" i="3"/>
  <c r="G149" i="3"/>
  <c r="BL149" i="3"/>
  <c r="AZ149" i="3"/>
  <c r="BA151" i="3"/>
  <c r="AZ151" i="3"/>
  <c r="G154" i="3"/>
  <c r="G157" i="3"/>
  <c r="G160" i="3"/>
  <c r="BL160" i="3"/>
  <c r="AZ160" i="3"/>
  <c r="BA162" i="3"/>
  <c r="AZ162" i="3"/>
  <c r="BL163" i="3"/>
  <c r="AZ163" i="3"/>
  <c r="G166" i="3"/>
  <c r="BA167" i="3"/>
  <c r="AZ167" i="3"/>
  <c r="G170" i="3"/>
  <c r="G173" i="3"/>
  <c r="G176" i="3"/>
  <c r="BL176" i="3"/>
  <c r="AZ176" i="3"/>
  <c r="G179" i="3"/>
  <c r="BA180" i="3"/>
  <c r="AZ180" i="3"/>
  <c r="BA181" i="3"/>
  <c r="AZ181" i="3"/>
  <c r="BL182" i="3"/>
  <c r="AZ182" i="3"/>
  <c r="G185" i="3"/>
  <c r="BL187" i="3"/>
  <c r="AZ187" i="3"/>
  <c r="BA189" i="3"/>
  <c r="AZ189" i="3"/>
  <c r="BL190" i="3"/>
  <c r="AZ190" i="3"/>
  <c r="G193" i="3"/>
  <c r="BL195" i="3"/>
  <c r="AZ195" i="3"/>
  <c r="BA197" i="3"/>
  <c r="AZ197" i="3"/>
  <c r="BL198" i="3"/>
  <c r="AZ198" i="3"/>
  <c r="G201" i="3"/>
  <c r="G203" i="3"/>
  <c r="G204" i="3"/>
  <c r="BL204" i="3"/>
  <c r="BA21" i="3"/>
  <c r="AZ21" i="3"/>
  <c r="BL23" i="3"/>
  <c r="AZ23" i="3"/>
  <c r="G26" i="3"/>
  <c r="BL26" i="3"/>
  <c r="G29" i="3"/>
  <c r="BL29" i="3"/>
  <c r="BA30" i="3"/>
  <c r="AZ30" i="3"/>
  <c r="BA31" i="3"/>
  <c r="AZ31" i="3"/>
  <c r="BA32" i="3"/>
  <c r="AZ32" i="3"/>
  <c r="G35" i="3"/>
  <c r="G36" i="3"/>
  <c r="BL36" i="3"/>
  <c r="BA37" i="3"/>
  <c r="AZ37" i="3"/>
  <c r="BL39" i="3"/>
  <c r="AZ39" i="3"/>
  <c r="G42" i="3"/>
  <c r="BL42" i="3"/>
  <c r="G45" i="3"/>
  <c r="BL45" i="3"/>
  <c r="BA46" i="3"/>
  <c r="AZ46" i="3"/>
  <c r="BA47" i="3"/>
  <c r="AZ47" i="3"/>
  <c r="BA48" i="3"/>
  <c r="AZ48" i="3"/>
  <c r="G51" i="3"/>
  <c r="G52" i="3"/>
  <c r="BL52" i="3"/>
  <c r="BA53" i="3"/>
  <c r="AZ53" i="3"/>
  <c r="BL55" i="3"/>
  <c r="AZ55" i="3"/>
  <c r="AZ204" i="3"/>
  <c r="AZ26" i="3"/>
  <c r="AZ29" i="3"/>
  <c r="AZ36" i="3"/>
  <c r="AZ42" i="3"/>
  <c r="AZ45" i="3"/>
  <c r="AZ52" i="3"/>
  <c r="G1" i="72"/>
  <c r="G1" i="71"/>
  <c r="G58" i="3"/>
  <c r="BL58" i="3"/>
  <c r="AZ58" i="3"/>
  <c r="G61" i="3"/>
  <c r="BL61" i="3"/>
  <c r="AZ61" i="3"/>
  <c r="BA62" i="3"/>
  <c r="AZ62" i="3"/>
  <c r="BA63" i="3"/>
  <c r="AZ63" i="3"/>
  <c r="G66" i="3"/>
  <c r="G67" i="3"/>
  <c r="BL67" i="3"/>
  <c r="AZ67" i="3"/>
  <c r="BA68" i="3"/>
  <c r="AZ68" i="3"/>
  <c r="BL70" i="3"/>
  <c r="AZ70" i="3"/>
  <c r="G73" i="3"/>
  <c r="BL73" i="3"/>
  <c r="AZ73" i="3"/>
  <c r="BA75" i="3"/>
  <c r="AZ75" i="3"/>
  <c r="BA77" i="3"/>
  <c r="AZ77" i="3"/>
  <c r="BA78" i="3"/>
  <c r="AZ78" i="3"/>
  <c r="BA79" i="3"/>
  <c r="AZ79" i="3"/>
  <c r="G82" i="3"/>
  <c r="G83" i="3"/>
  <c r="BL83" i="3"/>
  <c r="AZ83" i="3"/>
  <c r="G86" i="3"/>
  <c r="G87" i="3"/>
  <c r="BL87" i="3"/>
  <c r="AZ87" i="3"/>
  <c r="BA88" i="3"/>
  <c r="AZ88" i="3"/>
  <c r="BL90" i="3"/>
  <c r="AZ90" i="3"/>
  <c r="G93" i="3"/>
  <c r="BL93" i="3"/>
  <c r="AZ93" i="3"/>
  <c r="G96" i="3"/>
  <c r="BL96" i="3"/>
  <c r="AZ96" i="3"/>
  <c r="BA97" i="3"/>
  <c r="AZ97" i="3"/>
  <c r="BA98" i="3"/>
  <c r="AZ98" i="3"/>
  <c r="BA99" i="3"/>
  <c r="AZ99" i="3"/>
  <c r="G102" i="3"/>
  <c r="G103" i="3"/>
  <c r="BL103" i="3"/>
  <c r="AZ103" i="3"/>
  <c r="BA104" i="3"/>
  <c r="AZ104" i="3"/>
  <c r="BL106" i="3"/>
  <c r="AZ106" i="3"/>
  <c r="G109" i="3"/>
  <c r="BL109" i="3"/>
  <c r="AZ109" i="3"/>
  <c r="G112" i="3"/>
  <c r="N86" i="46"/>
  <c r="E26" i="57"/>
  <c r="I10" i="57"/>
  <c r="F80" i="46"/>
  <c r="H81" i="46"/>
  <c r="K12" i="1"/>
  <c r="M12" i="1"/>
  <c r="W43" i="34"/>
  <c r="AB40" i="34"/>
  <c r="AB39" i="34"/>
  <c r="AC36" i="34"/>
  <c r="AA36" i="34"/>
  <c r="U17" i="34"/>
  <c r="S17" i="34"/>
  <c r="S15" i="34"/>
  <c r="W15" i="34"/>
  <c r="AB8" i="34"/>
  <c r="H113" i="21"/>
  <c r="F37" i="21"/>
  <c r="S37" i="21"/>
  <c r="H37" i="21"/>
  <c r="U37" i="21"/>
  <c r="J37" i="21"/>
  <c r="W37" i="2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c r="F19" i="39"/>
  <c r="W33" i="39"/>
  <c r="S33" i="39"/>
  <c r="H34" i="39"/>
  <c r="AB34" i="39"/>
  <c r="F27" i="43"/>
  <c r="F72" i="9"/>
  <c r="F66" i="9"/>
  <c r="P72" i="9"/>
  <c r="G13" i="1"/>
  <c r="F7" i="1"/>
  <c r="F9" i="1"/>
  <c r="F8" i="1"/>
  <c r="F10" i="1"/>
  <c r="L59" i="68"/>
  <c r="N59" i="68"/>
  <c r="M59" i="68"/>
  <c r="AC13" i="40"/>
  <c r="U11" i="36"/>
  <c r="AB29" i="39"/>
  <c r="AA34" i="33"/>
  <c r="AB23" i="40"/>
  <c r="W15" i="39"/>
  <c r="AA40" i="21"/>
  <c r="AC13" i="33"/>
  <c r="W12" i="34"/>
  <c r="AC30" i="34"/>
  <c r="AA29" i="35"/>
  <c r="AB38" i="34"/>
  <c r="H100" i="40"/>
  <c r="I100" i="40"/>
  <c r="J100" i="40"/>
  <c r="K100" i="40"/>
  <c r="L100" i="40"/>
  <c r="M100" i="40"/>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c r="AA31" i="33"/>
  <c r="S31" i="33"/>
  <c r="AC39" i="37"/>
  <c r="W39" i="37"/>
  <c r="AZ389" i="3"/>
  <c r="AZ400" i="3"/>
  <c r="AZ404" i="3"/>
  <c r="AZ440" i="3"/>
  <c r="AZ464" i="3"/>
  <c r="C18" i="9"/>
  <c r="AZ368" i="3"/>
  <c r="AZ384" i="3"/>
  <c r="AZ386" i="3"/>
  <c r="AZ214" i="3"/>
  <c r="AZ218" i="3"/>
  <c r="AZ230" i="3"/>
  <c r="AZ234" i="3"/>
  <c r="AZ246" i="3"/>
  <c r="AZ250" i="3"/>
  <c r="AZ262" i="3"/>
  <c r="AZ266" i="3"/>
  <c r="H5" i="3"/>
  <c r="F9" i="34"/>
  <c r="AA9" i="34"/>
  <c r="J9" i="35"/>
  <c r="W9" i="35"/>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c r="E10" i="57"/>
  <c r="N73" i="46"/>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c r="M43" i="9"/>
  <c r="B22" i="63"/>
  <c r="M20" i="15"/>
  <c r="D96" i="9"/>
  <c r="F28" i="15"/>
  <c r="C28" i="15"/>
  <c r="M18" i="15"/>
  <c r="A18" i="64"/>
  <c r="B74" i="63"/>
  <c r="C53" i="10"/>
  <c r="A25" i="64"/>
  <c r="A18" i="51"/>
  <c r="B14" i="63"/>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3" i="1"/>
  <c r="R13" i="1"/>
  <c r="B6" i="1"/>
  <c r="E6" i="1"/>
  <c r="B10" i="1"/>
  <c r="E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15"/>
  <c r="M29" i="68"/>
  <c r="L48" i="68"/>
  <c r="L49" i="44"/>
  <c r="F43" i="68"/>
  <c r="F13" i="15"/>
  <c r="F9" i="15"/>
  <c r="M8" i="44"/>
  <c r="F45" i="44"/>
  <c r="F7" i="68"/>
  <c r="M24" i="44"/>
  <c r="M22" i="15"/>
  <c r="F8" i="15"/>
  <c r="F10" i="44"/>
  <c r="M10" i="44"/>
  <c r="F7" i="71"/>
  <c r="M11" i="44"/>
  <c r="M30" i="44"/>
  <c r="M26" i="44"/>
  <c r="F40" i="44"/>
  <c r="F9" i="44"/>
  <c r="F38" i="44"/>
  <c r="F43" i="71"/>
  <c r="F42" i="15"/>
  <c r="F40" i="15"/>
  <c r="F15" i="44"/>
  <c r="F28" i="44"/>
  <c r="M9" i="15"/>
  <c r="F39" i="44"/>
  <c r="M6" i="15"/>
  <c r="L48" i="71"/>
  <c r="J17" i="44"/>
  <c r="F26" i="15"/>
  <c r="M25" i="44"/>
  <c r="L48" i="72"/>
  <c r="M31" i="44"/>
  <c r="M23" i="15"/>
  <c r="F37" i="15"/>
  <c r="M24" i="15"/>
  <c r="F8" i="44"/>
  <c r="M29" i="71"/>
  <c r="L48" i="44"/>
  <c r="F11" i="44"/>
  <c r="M28" i="44"/>
  <c r="M8" i="15"/>
  <c r="F43" i="44"/>
  <c r="F18" i="44"/>
  <c r="AA9" i="35"/>
  <c r="S9" i="35"/>
  <c r="AZ107" i="3"/>
  <c r="AZ94" i="3"/>
  <c r="AZ59" i="3"/>
  <c r="AZ191" i="3"/>
  <c r="AZ177" i="3"/>
  <c r="AZ242" i="3"/>
  <c r="AZ238" i="3"/>
  <c r="AZ477" i="3"/>
  <c r="AA12" i="35"/>
  <c r="S12" i="35"/>
  <c r="AZ269" i="3"/>
  <c r="W27" i="37"/>
  <c r="AC27" i="37"/>
  <c r="AC23" i="35"/>
  <c r="W23" i="35"/>
  <c r="U45" i="34"/>
  <c r="AB45" i="34"/>
  <c r="AC46" i="33"/>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O7" i="1"/>
  <c r="P7" i="1"/>
  <c r="L56" i="72"/>
  <c r="J53" i="72"/>
  <c r="L60" i="72"/>
  <c r="L57" i="72"/>
  <c r="L57" i="71"/>
  <c r="J53" i="71"/>
  <c r="L56" i="71"/>
  <c r="L60" i="71"/>
  <c r="J57" i="72"/>
  <c r="J55" i="72"/>
  <c r="J58" i="72"/>
  <c r="Q51" i="72"/>
  <c r="I54" i="72"/>
  <c r="J60" i="72"/>
  <c r="Q49" i="72"/>
  <c r="J59" i="72"/>
  <c r="C28" i="71"/>
  <c r="C28" i="72"/>
  <c r="J57" i="71"/>
  <c r="J55" i="71"/>
  <c r="J58" i="71"/>
  <c r="Q51" i="71"/>
  <c r="J59" i="71"/>
  <c r="J60" i="71"/>
  <c r="Q49" i="71"/>
  <c r="I54" i="71"/>
  <c r="AC25" i="33"/>
  <c r="U25" i="33"/>
  <c r="F24" i="71"/>
  <c r="F24" i="72"/>
  <c r="C24" i="71"/>
  <c r="U34" i="39"/>
  <c r="S19" i="39"/>
  <c r="AA19" i="39"/>
  <c r="AP10" i="1"/>
  <c r="G10" i="1"/>
  <c r="F71" i="68"/>
  <c r="F50" i="68"/>
  <c r="M7" i="68"/>
  <c r="C6" i="68"/>
  <c r="C5" i="68"/>
  <c r="L56" i="68"/>
  <c r="I54" i="68"/>
  <c r="J57" i="68"/>
  <c r="J55" i="68"/>
  <c r="J58" i="68"/>
  <c r="Q50" i="68"/>
  <c r="L58" i="68"/>
  <c r="AB24" i="36"/>
  <c r="U24" i="36"/>
  <c r="AB46" i="21"/>
  <c r="U46" i="21"/>
  <c r="U30" i="21"/>
  <c r="AB30" i="21"/>
  <c r="AC14" i="21"/>
  <c r="W14" i="21"/>
  <c r="S12" i="21"/>
  <c r="AA12" i="21"/>
  <c r="M6" i="1"/>
  <c r="C16" i="46"/>
  <c r="C5" i="46"/>
  <c r="AP6" i="1"/>
  <c r="AP16" i="1"/>
  <c r="F22" i="11"/>
  <c r="AA34" i="35"/>
  <c r="S34" i="35"/>
  <c r="AA46" i="21"/>
  <c r="S46" i="21"/>
  <c r="W30" i="21"/>
  <c r="AC30" i="21"/>
  <c r="U14" i="21"/>
  <c r="AB14" i="21"/>
  <c r="U12" i="21"/>
  <c r="AB12" i="21"/>
  <c r="Q74" i="68"/>
  <c r="Q61" i="68"/>
  <c r="G6" i="1"/>
  <c r="G16" i="1"/>
  <c r="J12" i="40"/>
  <c r="I55" i="44"/>
  <c r="J54" i="44"/>
  <c r="L60" i="44"/>
  <c r="Q63" i="44"/>
  <c r="L59" i="44"/>
  <c r="Q75" i="44"/>
  <c r="J60" i="44"/>
  <c r="J58" i="44"/>
  <c r="J56" i="44"/>
  <c r="J59" i="44"/>
  <c r="Q52" i="44"/>
  <c r="L57" i="44"/>
  <c r="J61" i="44"/>
  <c r="Q50" i="44"/>
  <c r="E86" i="3"/>
  <c r="AE11" i="46"/>
  <c r="AE13" i="46"/>
  <c r="F29" i="6"/>
  <c r="F28" i="6"/>
  <c r="E28" i="6"/>
  <c r="Q73" i="44"/>
  <c r="C12" i="44"/>
  <c r="AJ11" i="46"/>
  <c r="AJ13" i="46"/>
  <c r="AF11" i="46"/>
  <c r="AF13" i="46"/>
  <c r="AI11" i="46"/>
  <c r="AI13" i="46"/>
  <c r="AA11" i="46"/>
  <c r="AA13" i="46"/>
  <c r="E297" i="3"/>
  <c r="AO6" i="3"/>
  <c r="E561" i="3"/>
  <c r="E476" i="3"/>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AZ13" i="3"/>
  <c r="G29" i="6"/>
  <c r="G30" i="6"/>
  <c r="G31" i="6"/>
  <c r="AZ16" i="3"/>
  <c r="E14" i="6"/>
  <c r="E10" i="6"/>
  <c r="E15" i="6"/>
  <c r="H16" i="1"/>
  <c r="E13" i="6"/>
  <c r="E11" i="6"/>
  <c r="H70" i="46"/>
  <c r="H72" i="46"/>
  <c r="F24" i="15"/>
  <c r="C24" i="15"/>
  <c r="F26" i="44"/>
  <c r="C26" i="44"/>
  <c r="F26" i="12"/>
  <c r="F21" i="43"/>
  <c r="C23" i="43"/>
  <c r="D21" i="43"/>
  <c r="J12" i="44"/>
  <c r="A9" i="64"/>
  <c r="A9" i="51"/>
  <c r="B9" i="63"/>
  <c r="T8" i="46"/>
  <c r="V8" i="46"/>
  <c r="T12" i="46"/>
  <c r="V12" i="46"/>
  <c r="T16" i="46"/>
  <c r="V16" i="46"/>
  <c r="T9" i="46"/>
  <c r="V9" i="46"/>
  <c r="T13" i="46"/>
  <c r="V13"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E48" i="35"/>
  <c r="F48" i="35"/>
  <c r="G48" i="35"/>
  <c r="H48" i="35"/>
  <c r="I48" i="35"/>
  <c r="J48" i="35"/>
  <c r="K48" i="35"/>
  <c r="L48" i="35"/>
  <c r="M48" i="35"/>
  <c r="N48" i="35"/>
  <c r="O48" i="35"/>
  <c r="E46" i="36"/>
  <c r="F46" i="36"/>
  <c r="G46" i="36"/>
  <c r="H46" i="36"/>
  <c r="I46" i="36"/>
  <c r="J46" i="36"/>
  <c r="K46" i="36"/>
  <c r="L46" i="36"/>
  <c r="M46" i="36"/>
  <c r="N46" i="36"/>
  <c r="O46" i="36"/>
  <c r="D72" i="39"/>
  <c r="E70" i="39"/>
  <c r="W7" i="33"/>
  <c r="AC7" i="33"/>
  <c r="V48" i="33"/>
  <c r="I48" i="33"/>
  <c r="I52" i="33"/>
  <c r="J52" i="33"/>
  <c r="U7" i="33"/>
  <c r="AB7" i="33"/>
  <c r="T48" i="33"/>
  <c r="G48" i="33"/>
  <c r="D67" i="40"/>
  <c r="E65" i="40"/>
  <c r="S7" i="33"/>
  <c r="AA7" i="33"/>
  <c r="R48" i="33"/>
  <c r="C39" i="46"/>
  <c r="G39" i="46"/>
  <c r="I39" i="46"/>
  <c r="C37" i="46"/>
  <c r="G37" i="46"/>
  <c r="I37" i="46"/>
  <c r="Q16" i="1"/>
  <c r="F18" i="11"/>
  <c r="E4" i="4"/>
  <c r="C4" i="4"/>
  <c r="F64" i="15"/>
  <c r="C27" i="15"/>
  <c r="F50" i="15"/>
  <c r="F67" i="15"/>
  <c r="F70" i="15"/>
  <c r="G66" i="36"/>
  <c r="J18" i="36"/>
  <c r="AE8" i="1"/>
  <c r="M17" i="71"/>
  <c r="M19" i="44"/>
  <c r="F33" i="44"/>
  <c r="F31" i="15"/>
  <c r="F31" i="71"/>
  <c r="F31" i="72"/>
  <c r="F36" i="15"/>
  <c r="J36" i="71"/>
  <c r="F26" i="71"/>
  <c r="F16" i="71"/>
  <c r="L48" i="15"/>
  <c r="M26" i="71"/>
  <c r="F38" i="72"/>
  <c r="F43" i="72"/>
  <c r="F37" i="72"/>
  <c r="L47" i="72"/>
  <c r="M22" i="71"/>
  <c r="M29" i="72"/>
  <c r="F13" i="72"/>
  <c r="F6" i="71"/>
  <c r="F42" i="72"/>
  <c r="J36" i="15"/>
  <c r="M17" i="68"/>
  <c r="C16" i="68"/>
  <c r="M26" i="72"/>
  <c r="F37" i="71"/>
  <c r="F7" i="15"/>
  <c r="F8" i="71"/>
  <c r="J15" i="72"/>
  <c r="M6" i="71"/>
  <c r="M27" i="72"/>
  <c r="F9" i="71"/>
  <c r="M28" i="71"/>
  <c r="M26" i="15"/>
  <c r="F7" i="72"/>
  <c r="F16" i="72"/>
  <c r="M24" i="72"/>
  <c r="M23" i="72"/>
  <c r="M28" i="15"/>
  <c r="F36" i="71"/>
  <c r="M24" i="71"/>
  <c r="L47" i="15"/>
  <c r="M8" i="72"/>
  <c r="J15" i="15"/>
  <c r="F40" i="71"/>
  <c r="F6" i="15"/>
  <c r="M23" i="71"/>
  <c r="M29" i="15"/>
  <c r="F16" i="15"/>
  <c r="F8" i="72"/>
  <c r="M6" i="72"/>
  <c r="F40" i="72"/>
  <c r="F9" i="72"/>
  <c r="M22" i="72"/>
  <c r="M9" i="71"/>
  <c r="F38" i="71"/>
  <c r="J36" i="72"/>
  <c r="M8" i="71"/>
  <c r="F13" i="71"/>
  <c r="F38" i="15"/>
  <c r="F42" i="71"/>
  <c r="L47" i="71"/>
  <c r="M28" i="72"/>
  <c r="F26" i="72"/>
  <c r="J15" i="71"/>
  <c r="F6" i="72"/>
  <c r="M9" i="72"/>
  <c r="F59" i="68"/>
  <c r="F31" i="68"/>
  <c r="C18" i="44"/>
  <c r="F36" i="72"/>
  <c r="F70" i="72"/>
  <c r="L58" i="72"/>
  <c r="Q74" i="72"/>
  <c r="L59" i="72"/>
  <c r="Q62" i="72"/>
  <c r="Q72" i="72"/>
  <c r="F65" i="72"/>
  <c r="F63" i="71"/>
  <c r="C27" i="71"/>
  <c r="F64" i="71"/>
  <c r="F49" i="72"/>
  <c r="M7" i="72"/>
  <c r="F63" i="72"/>
  <c r="F67" i="72"/>
  <c r="F64" i="72"/>
  <c r="C27" i="72"/>
  <c r="C10" i="72"/>
  <c r="C6" i="72"/>
  <c r="F50" i="72"/>
  <c r="L58" i="71"/>
  <c r="Q61" i="71"/>
  <c r="L59" i="71"/>
  <c r="Q62" i="71"/>
  <c r="F65" i="71"/>
  <c r="Q72" i="71"/>
  <c r="F67" i="71"/>
  <c r="F50" i="71"/>
  <c r="C48" i="71"/>
  <c r="C47" i="71"/>
  <c r="C10" i="71"/>
  <c r="C6" i="71"/>
  <c r="D5" i="46"/>
  <c r="C15" i="43"/>
  <c r="J6" i="71"/>
  <c r="J5" i="71"/>
  <c r="L46" i="71"/>
  <c r="F1" i="71"/>
  <c r="Q53" i="71"/>
  <c r="L46" i="72"/>
  <c r="Q67" i="72"/>
  <c r="Q58" i="72"/>
  <c r="Q53" i="72"/>
  <c r="F1" i="72"/>
  <c r="Q75" i="72"/>
  <c r="Q58" i="71"/>
  <c r="Q67" i="71"/>
  <c r="R49" i="33"/>
  <c r="C49" i="33"/>
  <c r="B3" i="33"/>
  <c r="C24" i="72"/>
  <c r="C10" i="15"/>
  <c r="J53" i="15"/>
  <c r="F1" i="15"/>
  <c r="E27" i="6"/>
  <c r="K26" i="6"/>
  <c r="M26" i="6"/>
  <c r="I26" i="6"/>
  <c r="S26" i="6"/>
  <c r="F107" i="46"/>
  <c r="K105" i="46"/>
  <c r="C105" i="46"/>
  <c r="K104" i="46"/>
  <c r="J109" i="46"/>
  <c r="J105" i="46"/>
  <c r="F30" i="6"/>
  <c r="F31" i="6"/>
  <c r="H7" i="36"/>
  <c r="AB7" i="36"/>
  <c r="T36" i="36"/>
  <c r="G36" i="36"/>
  <c r="G40" i="36"/>
  <c r="H40" i="36"/>
  <c r="J7" i="35"/>
  <c r="AC7" i="35"/>
  <c r="V38" i="35"/>
  <c r="I38" i="35"/>
  <c r="I42" i="35"/>
  <c r="J42" i="35"/>
  <c r="F7" i="34"/>
  <c r="AA7" i="34"/>
  <c r="R49" i="34"/>
  <c r="F65" i="15"/>
  <c r="J57" i="15"/>
  <c r="J55" i="15"/>
  <c r="J58" i="15"/>
  <c r="Q51" i="15"/>
  <c r="L56" i="15"/>
  <c r="I54" i="15"/>
  <c r="F63" i="15"/>
  <c r="Q72" i="15"/>
  <c r="C6" i="15"/>
  <c r="L58" i="15"/>
  <c r="Q74" i="15"/>
  <c r="L59" i="15"/>
  <c r="Q75" i="15"/>
  <c r="F49" i="15"/>
  <c r="C48" i="15"/>
  <c r="M7" i="15"/>
  <c r="J6" i="68"/>
  <c r="J5" i="68"/>
  <c r="J7" i="36"/>
  <c r="W7" i="36"/>
  <c r="F7" i="36"/>
  <c r="H7" i="35"/>
  <c r="AB7" i="35"/>
  <c r="T38" i="35"/>
  <c r="G38" i="35"/>
  <c r="G42" i="35"/>
  <c r="H42" i="35"/>
  <c r="F7" i="35"/>
  <c r="H7" i="34"/>
  <c r="AB7" i="34"/>
  <c r="T49" i="34"/>
  <c r="G49" i="34"/>
  <c r="G53" i="34"/>
  <c r="H53" i="34"/>
  <c r="J7" i="34"/>
  <c r="AC7" i="34"/>
  <c r="V49" i="34"/>
  <c r="I49" i="34"/>
  <c r="I53" i="34"/>
  <c r="J53" i="34"/>
  <c r="T15" i="46"/>
  <c r="V15" i="46"/>
  <c r="T11" i="46"/>
  <c r="V11" i="46"/>
  <c r="T14" i="46"/>
  <c r="V14" i="46"/>
  <c r="T10" i="46"/>
  <c r="V10" i="46"/>
  <c r="O6" i="1"/>
  <c r="P6" i="1"/>
  <c r="C15" i="12"/>
  <c r="K107" i="46"/>
  <c r="F103" i="46"/>
  <c r="F106" i="46"/>
  <c r="C107" i="46"/>
  <c r="C104" i="46"/>
  <c r="J107" i="46"/>
  <c r="Q73" i="68"/>
  <c r="Q60" i="68"/>
  <c r="C38" i="68"/>
  <c r="C32" i="68"/>
  <c r="C49" i="68"/>
  <c r="C48" i="68"/>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U7" i="34"/>
  <c r="J8" i="44"/>
  <c r="J7" i="44"/>
  <c r="E48" i="33"/>
  <c r="E52" i="33"/>
  <c r="F52" i="33"/>
  <c r="H12" i="40"/>
  <c r="AB12" i="40"/>
  <c r="AG6" i="1"/>
  <c r="H12" i="39"/>
  <c r="U12" i="39"/>
  <c r="F12" i="39"/>
  <c r="AA12" i="39"/>
  <c r="F12" i="40"/>
  <c r="AA12" i="40"/>
  <c r="J12" i="39"/>
  <c r="AC12" i="39"/>
  <c r="AC6" i="3"/>
  <c r="D21" i="12"/>
  <c r="C21" i="12"/>
  <c r="D12" i="11"/>
  <c r="C12" i="11"/>
  <c r="C27" i="12"/>
  <c r="D26" i="12"/>
  <c r="E59" i="40"/>
  <c r="E29" i="6"/>
  <c r="L20" i="6"/>
  <c r="E58" i="40"/>
  <c r="E63" i="39"/>
  <c r="E16" i="6"/>
  <c r="AZ5" i="3"/>
  <c r="F33" i="12"/>
  <c r="C34" i="12"/>
  <c r="F24" i="43"/>
  <c r="E60" i="40"/>
  <c r="E65" i="39"/>
  <c r="K19" i="6"/>
  <c r="K24" i="6"/>
  <c r="K20" i="6"/>
  <c r="K25" i="6"/>
  <c r="M25" i="6"/>
  <c r="I25" i="6"/>
  <c r="S25" i="6"/>
  <c r="K14" i="1"/>
  <c r="E30" i="6"/>
  <c r="L19" i="6"/>
  <c r="K15" i="1"/>
  <c r="E62" i="40"/>
  <c r="E67" i="39"/>
  <c r="E66" i="39"/>
  <c r="E61" i="40"/>
  <c r="E37" i="46"/>
  <c r="E38" i="46"/>
  <c r="B21" i="55"/>
  <c r="B72" i="63"/>
  <c r="B20" i="55"/>
  <c r="B70" i="63"/>
  <c r="S7" i="36"/>
  <c r="AA7" i="36"/>
  <c r="R36" i="36"/>
  <c r="E36" i="36"/>
  <c r="E40" i="36"/>
  <c r="F40" i="36"/>
  <c r="S7" i="35"/>
  <c r="AA7" i="35"/>
  <c r="R38" i="35"/>
  <c r="R39" i="35"/>
  <c r="C38" i="35"/>
  <c r="F7" i="21"/>
  <c r="J7" i="21"/>
  <c r="H7" i="21"/>
  <c r="G52" i="33"/>
  <c r="H52" i="33"/>
  <c r="G53" i="33"/>
  <c r="H53" i="33"/>
  <c r="E67" i="40"/>
  <c r="F65" i="40"/>
  <c r="E72" i="39"/>
  <c r="F70" i="39"/>
  <c r="E39" i="46"/>
  <c r="AC12" i="40"/>
  <c r="W12" i="40"/>
  <c r="E46" i="37"/>
  <c r="F46" i="37"/>
  <c r="C48" i="33"/>
  <c r="M17" i="72"/>
  <c r="F58" i="71"/>
  <c r="F58" i="15"/>
  <c r="M17" i="15"/>
  <c r="F58" i="72"/>
  <c r="AE10" i="1"/>
  <c r="AE7" i="1"/>
  <c r="C16" i="15"/>
  <c r="M27" i="15"/>
  <c r="M27" i="71"/>
  <c r="AE9" i="1"/>
  <c r="C16" i="71"/>
  <c r="M29" i="44"/>
  <c r="M27" i="68"/>
  <c r="L52" i="44"/>
  <c r="C16" i="72"/>
  <c r="AE6" i="1"/>
  <c r="S7" i="37"/>
  <c r="C23" i="46"/>
  <c r="C21" i="46"/>
  <c r="C29" i="46"/>
  <c r="E29" i="46"/>
  <c r="Q74" i="71"/>
  <c r="Q61" i="72"/>
  <c r="C5" i="71"/>
  <c r="C32" i="71"/>
  <c r="Q75" i="71"/>
  <c r="C5" i="72"/>
  <c r="C48" i="72"/>
  <c r="C47" i="72"/>
  <c r="J6" i="72"/>
  <c r="J5" i="72"/>
  <c r="C34" i="46"/>
  <c r="C33" i="46"/>
  <c r="C36" i="46"/>
  <c r="C35" i="46"/>
  <c r="B2" i="33"/>
  <c r="R24" i="74"/>
  <c r="R24" i="31"/>
  <c r="W7" i="34"/>
  <c r="S7" i="34"/>
  <c r="M24" i="6"/>
  <c r="I24" i="6"/>
  <c r="S24" i="6"/>
  <c r="S11" i="1"/>
  <c r="E31" i="6"/>
  <c r="K21" i="6"/>
  <c r="M21" i="6"/>
  <c r="I21" i="6"/>
  <c r="S21" i="6"/>
  <c r="K23" i="6"/>
  <c r="M23" i="6"/>
  <c r="I23" i="6"/>
  <c r="S23" i="6"/>
  <c r="K22" i="6"/>
  <c r="M22" i="6"/>
  <c r="I22" i="6"/>
  <c r="S22" i="6"/>
  <c r="C38" i="71"/>
  <c r="J24" i="71"/>
  <c r="J26" i="71"/>
  <c r="J18" i="71"/>
  <c r="C59" i="71"/>
  <c r="C65" i="71"/>
  <c r="Q53" i="15"/>
  <c r="C5" i="15"/>
  <c r="C38" i="15"/>
  <c r="S10" i="1"/>
  <c r="AB12" i="39"/>
  <c r="Q61" i="15"/>
  <c r="S5" i="46"/>
  <c r="T5" i="46"/>
  <c r="V5" i="46"/>
  <c r="S2" i="46"/>
  <c r="T2" i="46"/>
  <c r="V2" i="46"/>
  <c r="S3" i="46"/>
  <c r="T3" i="46"/>
  <c r="V3" i="46"/>
  <c r="S6" i="46"/>
  <c r="T6" i="46"/>
  <c r="V6" i="46"/>
  <c r="S7" i="46"/>
  <c r="T7" i="46"/>
  <c r="V7" i="46"/>
  <c r="S4" i="46"/>
  <c r="T4" i="46"/>
  <c r="V4" i="46"/>
  <c r="AC7" i="37"/>
  <c r="V42" i="37"/>
  <c r="I42" i="37"/>
  <c r="I46" i="37"/>
  <c r="J46" i="37"/>
  <c r="Q62" i="15"/>
  <c r="G43" i="35"/>
  <c r="H43" i="35"/>
  <c r="G54" i="34"/>
  <c r="H54" i="34"/>
  <c r="J6" i="15"/>
  <c r="J5" i="15"/>
  <c r="J18" i="15"/>
  <c r="AC7" i="36"/>
  <c r="V36" i="36"/>
  <c r="I36" i="36"/>
  <c r="C60" i="68"/>
  <c r="C66" i="68"/>
  <c r="J24" i="68"/>
  <c r="J26" i="68"/>
  <c r="J18" i="68"/>
  <c r="C34" i="44"/>
  <c r="U7" i="37"/>
  <c r="AB7" i="37"/>
  <c r="T42" i="37"/>
  <c r="G42" i="37"/>
  <c r="G47" i="37"/>
  <c r="H47" i="37"/>
  <c r="S12" i="40"/>
  <c r="S12" i="39"/>
  <c r="E6" i="3"/>
  <c r="Q69" i="44"/>
  <c r="L58" i="44"/>
  <c r="L61" i="44"/>
  <c r="D113" i="46"/>
  <c r="J22" i="46"/>
  <c r="W12" i="39"/>
  <c r="U12" i="40"/>
  <c r="E41" i="36"/>
  <c r="F41" i="36"/>
  <c r="I47" i="37"/>
  <c r="J47" i="37"/>
  <c r="E53" i="33"/>
  <c r="F53" i="33"/>
  <c r="I53" i="33"/>
  <c r="J53" i="33"/>
  <c r="L27" i="6"/>
  <c r="E38" i="35"/>
  <c r="I43" i="35"/>
  <c r="J43" i="35"/>
  <c r="R37" i="36"/>
  <c r="C26" i="43"/>
  <c r="D24" i="43"/>
  <c r="C32" i="12"/>
  <c r="D30" i="12"/>
  <c r="D33" i="12"/>
  <c r="M14" i="1"/>
  <c r="K16" i="1"/>
  <c r="M20" i="6"/>
  <c r="I20" i="6"/>
  <c r="S20" i="6"/>
  <c r="S7" i="1"/>
  <c r="M19" i="6"/>
  <c r="S6" i="1"/>
  <c r="E3" i="6"/>
  <c r="AY6" i="3"/>
  <c r="R43" i="37"/>
  <c r="R50" i="34"/>
  <c r="C50" i="34"/>
  <c r="B3" i="34"/>
  <c r="E8" i="12"/>
  <c r="E49" i="34"/>
  <c r="C39" i="35"/>
  <c r="B3" i="35"/>
  <c r="B2" i="35"/>
  <c r="AC7" i="21"/>
  <c r="V48" i="21"/>
  <c r="I48" i="21"/>
  <c r="W7" i="21"/>
  <c r="U7" i="21"/>
  <c r="AB7" i="21"/>
  <c r="T48" i="21"/>
  <c r="G48" i="21"/>
  <c r="S7" i="21"/>
  <c r="AA7" i="21"/>
  <c r="R48" i="21"/>
  <c r="F72" i="39"/>
  <c r="G70" i="39"/>
  <c r="F67" i="40"/>
  <c r="G65" i="40"/>
  <c r="J20" i="44"/>
  <c r="J26" i="44"/>
  <c r="F41" i="68"/>
  <c r="F41" i="72"/>
  <c r="C14" i="68"/>
  <c r="F41" i="71"/>
  <c r="F46" i="44"/>
  <c r="C17" i="68"/>
  <c r="C17" i="71"/>
  <c r="F41" i="15"/>
  <c r="C30" i="46"/>
  <c r="E30" i="46"/>
  <c r="F68" i="72"/>
  <c r="R29" i="31"/>
  <c r="S29" i="31"/>
  <c r="R28" i="31"/>
  <c r="S9" i="1"/>
  <c r="S8" i="1"/>
  <c r="K27" i="6"/>
  <c r="F68" i="71"/>
  <c r="J29" i="71"/>
  <c r="F68" i="15"/>
  <c r="J24" i="72"/>
  <c r="J18" i="72"/>
  <c r="J26" i="72"/>
  <c r="J29" i="72"/>
  <c r="C38" i="72"/>
  <c r="C32" i="72"/>
  <c r="C59" i="72"/>
  <c r="C65" i="72"/>
  <c r="E35" i="46"/>
  <c r="G35" i="46"/>
  <c r="I35" i="46"/>
  <c r="G33" i="46"/>
  <c r="I33" i="46"/>
  <c r="E33" i="46"/>
  <c r="E36" i="46"/>
  <c r="G36" i="46"/>
  <c r="I36" i="46"/>
  <c r="E34" i="46"/>
  <c r="G34" i="46"/>
  <c r="I34" i="46"/>
  <c r="F69" i="68"/>
  <c r="J29" i="68"/>
  <c r="B2" i="34"/>
  <c r="E10" i="12"/>
  <c r="R27" i="74"/>
  <c r="S27" i="74"/>
  <c r="S24" i="74"/>
  <c r="R29" i="74"/>
  <c r="R28" i="74"/>
  <c r="R25" i="74"/>
  <c r="S25" i="74"/>
  <c r="R26" i="74"/>
  <c r="S26" i="74"/>
  <c r="S24" i="31"/>
  <c r="R25" i="31"/>
  <c r="S25" i="31"/>
  <c r="R26" i="31"/>
  <c r="S26" i="31"/>
  <c r="R27" i="31"/>
  <c r="S27" i="31"/>
  <c r="C32" i="15"/>
  <c r="J24" i="15"/>
  <c r="C15" i="68"/>
  <c r="C18" i="68"/>
  <c r="I40" i="36"/>
  <c r="J40" i="36"/>
  <c r="G41" i="36"/>
  <c r="H41" i="36"/>
  <c r="I41" i="36"/>
  <c r="J41" i="36"/>
  <c r="G46" i="37"/>
  <c r="H46" i="37"/>
  <c r="E47" i="37"/>
  <c r="F47" i="37"/>
  <c r="L47" i="44"/>
  <c r="Q59" i="44"/>
  <c r="Q68" i="44"/>
  <c r="E43" i="35"/>
  <c r="F43" i="35"/>
  <c r="E42" i="35"/>
  <c r="F42" i="35"/>
  <c r="C37" i="36"/>
  <c r="B3" i="36"/>
  <c r="B2" i="36"/>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B1" i="66"/>
  <c r="O14" i="1"/>
  <c r="M16" i="1"/>
  <c r="C43" i="37"/>
  <c r="B3" i="37"/>
  <c r="B2" i="37"/>
  <c r="C42" i="37"/>
  <c r="C49" i="34"/>
  <c r="E54" i="34"/>
  <c r="F54" i="34"/>
  <c r="I54" i="34"/>
  <c r="J54" i="34"/>
  <c r="E53" i="34"/>
  <c r="F53" i="34"/>
  <c r="I52" i="21"/>
  <c r="J52" i="21"/>
  <c r="E48" i="21"/>
  <c r="R49" i="21"/>
  <c r="G52" i="21"/>
  <c r="H52" i="21"/>
  <c r="G53" i="21"/>
  <c r="H53" i="21"/>
  <c r="G67" i="40"/>
  <c r="H65" i="40"/>
  <c r="G72" i="39"/>
  <c r="H70" i="39"/>
  <c r="C19" i="44"/>
  <c r="F7" i="67"/>
  <c r="C17" i="72"/>
  <c r="C17" i="15"/>
  <c r="C27" i="46"/>
  <c r="S28" i="31"/>
  <c r="C10" i="12"/>
  <c r="C8" i="12"/>
  <c r="S16" i="1"/>
  <c r="T13" i="1"/>
  <c r="B28" i="9"/>
  <c r="C13" i="39"/>
  <c r="E4" i="67"/>
  <c r="C26" i="46"/>
  <c r="S28" i="74"/>
  <c r="S22" i="31"/>
  <c r="D10" i="12"/>
  <c r="S29" i="74"/>
  <c r="C19" i="68"/>
  <c r="C20" i="68"/>
  <c r="C26" i="68"/>
  <c r="E68" i="39"/>
  <c r="E63" i="40"/>
  <c r="O16" i="1"/>
  <c r="P14" i="1"/>
  <c r="P16" i="1"/>
  <c r="C13" i="12"/>
  <c r="C13" i="43"/>
  <c r="L16" i="1"/>
  <c r="N16" i="1"/>
  <c r="C29" i="43"/>
  <c r="D22" i="12"/>
  <c r="C22" i="12"/>
  <c r="B29" i="1"/>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I53" i="21"/>
  <c r="J53" i="21"/>
  <c r="I70" i="39"/>
  <c r="H72" i="39"/>
  <c r="I65" i="40"/>
  <c r="H67" i="40"/>
  <c r="C14" i="71"/>
  <c r="E7" i="67"/>
  <c r="T11" i="1"/>
  <c r="T12" i="1"/>
  <c r="T9" i="1"/>
  <c r="T7" i="1"/>
  <c r="T8" i="1"/>
  <c r="T6" i="1"/>
  <c r="T10" i="1"/>
  <c r="C11" i="11"/>
  <c r="C10" i="11"/>
  <c r="F13" i="39"/>
  <c r="H13" i="39"/>
  <c r="J13" i="39"/>
  <c r="E3" i="67"/>
  <c r="B2" i="46"/>
  <c r="B20" i="31"/>
  <c r="R22" i="31"/>
  <c r="D8" i="12"/>
  <c r="S22" i="74"/>
  <c r="B2" i="21"/>
  <c r="C18" i="71"/>
  <c r="C15" i="71"/>
  <c r="C23" i="68"/>
  <c r="C29" i="68"/>
  <c r="C57" i="68"/>
  <c r="C17" i="12"/>
  <c r="C14" i="12"/>
  <c r="H27" i="6"/>
  <c r="R20" i="6"/>
  <c r="R7" i="1"/>
  <c r="R24" i="6"/>
  <c r="R11" i="1"/>
  <c r="D16" i="6"/>
  <c r="D30" i="6"/>
  <c r="R23" i="6"/>
  <c r="R10" i="1"/>
  <c r="R25" i="6"/>
  <c r="R21" i="6"/>
  <c r="R8" i="1"/>
  <c r="R19" i="6"/>
  <c r="R6" i="1"/>
  <c r="D27" i="6"/>
  <c r="A6" i="51"/>
  <c r="B7" i="63"/>
  <c r="A20" i="64"/>
  <c r="A6" i="64"/>
  <c r="A20" i="51"/>
  <c r="B15" i="63"/>
  <c r="N5" i="54"/>
  <c r="B43" i="63"/>
  <c r="R26" i="6"/>
  <c r="C17" i="43"/>
  <c r="C14" i="43"/>
  <c r="J65" i="40"/>
  <c r="I67" i="40"/>
  <c r="J70" i="39"/>
  <c r="I72" i="39"/>
  <c r="C47" i="15"/>
  <c r="M21" i="15"/>
  <c r="B7" i="67"/>
  <c r="C14" i="72"/>
  <c r="C16" i="44"/>
  <c r="F35" i="68"/>
  <c r="M21" i="72"/>
  <c r="M21" i="68"/>
  <c r="F37" i="44"/>
  <c r="M21" i="71"/>
  <c r="F35" i="71"/>
  <c r="M23" i="44"/>
  <c r="C14" i="15"/>
  <c r="F35" i="72"/>
  <c r="F35" i="15"/>
  <c r="C18" i="15"/>
  <c r="C15" i="15"/>
  <c r="T16" i="1"/>
  <c r="C15" i="72"/>
  <c r="C18" i="72"/>
  <c r="C17" i="44"/>
  <c r="C20" i="44"/>
  <c r="C20" i="12"/>
  <c r="C17" i="11"/>
  <c r="C18" i="11"/>
  <c r="AB13" i="39"/>
  <c r="U13" i="39"/>
  <c r="AC13" i="39"/>
  <c r="W13" i="39"/>
  <c r="AA13" i="39"/>
  <c r="S13" i="39"/>
  <c r="B2" i="67"/>
  <c r="D4" i="46"/>
  <c r="B4" i="46"/>
  <c r="B3" i="46"/>
  <c r="B21" i="31"/>
  <c r="B20" i="74"/>
  <c r="R22" i="74"/>
  <c r="B21" i="74"/>
  <c r="C19" i="71"/>
  <c r="C20" i="71"/>
  <c r="C26" i="71"/>
  <c r="C34" i="72"/>
  <c r="F62" i="72"/>
  <c r="C61" i="72"/>
  <c r="J20" i="72"/>
  <c r="J20" i="71"/>
  <c r="F62" i="71"/>
  <c r="C61" i="71"/>
  <c r="C34" i="71"/>
  <c r="J59" i="68"/>
  <c r="J60" i="68"/>
  <c r="J19" i="68"/>
  <c r="C33" i="68"/>
  <c r="Q49" i="68"/>
  <c r="C36" i="68"/>
  <c r="J14" i="68"/>
  <c r="J22" i="68"/>
  <c r="C13" i="68"/>
  <c r="C37" i="68"/>
  <c r="J20" i="68"/>
  <c r="F63" i="68"/>
  <c r="C62" i="68"/>
  <c r="C34" i="68"/>
  <c r="C61" i="68"/>
  <c r="C64" i="68"/>
  <c r="J20" i="15"/>
  <c r="C36" i="44"/>
  <c r="C34" i="15"/>
  <c r="F62" i="15"/>
  <c r="C61" i="15"/>
  <c r="J22" i="44"/>
  <c r="C18" i="12"/>
  <c r="R16" i="1"/>
  <c r="D31" i="6"/>
  <c r="I6" i="6"/>
  <c r="R27" i="6"/>
  <c r="C18" i="43"/>
  <c r="K70" i="39"/>
  <c r="J72" i="39"/>
  <c r="K65" i="40"/>
  <c r="J67" i="40"/>
  <c r="C65" i="15"/>
  <c r="C59" i="15"/>
  <c r="C19" i="15"/>
  <c r="C20" i="15"/>
  <c r="C23" i="15"/>
  <c r="C21" i="44"/>
  <c r="C22" i="44"/>
  <c r="C25" i="44"/>
  <c r="C19" i="72"/>
  <c r="C19" i="11"/>
  <c r="C20" i="11"/>
  <c r="C21" i="11"/>
  <c r="C22" i="11"/>
  <c r="C23" i="11"/>
  <c r="B2" i="11"/>
  <c r="B4" i="67"/>
  <c r="B3" i="67"/>
  <c r="C23" i="71"/>
  <c r="C29" i="71"/>
  <c r="J13" i="68"/>
  <c r="J23" i="68"/>
  <c r="Q48" i="68"/>
  <c r="J17" i="68"/>
  <c r="C75" i="68"/>
  <c r="C31" i="68"/>
  <c r="C30" i="68"/>
  <c r="C39" i="68"/>
  <c r="C56" i="68"/>
  <c r="C65" i="68"/>
  <c r="Q70" i="68"/>
  <c r="C59" i="68"/>
  <c r="C28" i="44"/>
  <c r="C31" i="44"/>
  <c r="C35" i="44"/>
  <c r="I5" i="6"/>
  <c r="C23" i="12"/>
  <c r="C19" i="43"/>
  <c r="C22" i="43"/>
  <c r="C21" i="43"/>
  <c r="K67" i="40"/>
  <c r="L65" i="40"/>
  <c r="K72" i="39"/>
  <c r="L70" i="39"/>
  <c r="C26" i="15"/>
  <c r="C29" i="15"/>
  <c r="J59" i="15"/>
  <c r="J60" i="15"/>
  <c r="Q49" i="15"/>
  <c r="C20" i="72"/>
  <c r="C26" i="72"/>
  <c r="B3" i="11"/>
  <c r="B5" i="11"/>
  <c r="B4" i="11"/>
  <c r="C56" i="71"/>
  <c r="C60" i="71"/>
  <c r="C58" i="71"/>
  <c r="Q50" i="71"/>
  <c r="C33" i="71"/>
  <c r="C31" i="71"/>
  <c r="J19" i="71"/>
  <c r="J17" i="71"/>
  <c r="J14" i="71"/>
  <c r="J13" i="71"/>
  <c r="J23" i="71"/>
  <c r="C36" i="71"/>
  <c r="C13" i="71"/>
  <c r="Q71" i="71"/>
  <c r="J16" i="68"/>
  <c r="J25" i="68"/>
  <c r="C58" i="68"/>
  <c r="C67" i="68"/>
  <c r="C68" i="68"/>
  <c r="C71" i="68"/>
  <c r="Q69" i="68"/>
  <c r="Q68" i="68"/>
  <c r="C40" i="68"/>
  <c r="C80" i="68"/>
  <c r="C79" i="68"/>
  <c r="C33" i="44"/>
  <c r="J21" i="44"/>
  <c r="J19" i="44"/>
  <c r="Q51" i="44"/>
  <c r="C15" i="44"/>
  <c r="C38" i="44"/>
  <c r="J16" i="44"/>
  <c r="J15" i="44"/>
  <c r="J25" i="44"/>
  <c r="C25" i="43"/>
  <c r="C24" i="43"/>
  <c r="C28" i="43"/>
  <c r="C30" i="43"/>
  <c r="L72" i="39"/>
  <c r="M70" i="39"/>
  <c r="M65" i="40"/>
  <c r="L67" i="40"/>
  <c r="L51" i="68"/>
  <c r="Q50" i="15"/>
  <c r="C33" i="15"/>
  <c r="C31" i="15"/>
  <c r="C36" i="15"/>
  <c r="J14" i="15"/>
  <c r="J22" i="15"/>
  <c r="C13" i="15"/>
  <c r="J35" i="15"/>
  <c r="C56" i="15"/>
  <c r="C63" i="15"/>
  <c r="J19" i="15"/>
  <c r="J17" i="15"/>
  <c r="C23" i="72"/>
  <c r="C29" i="72"/>
  <c r="C63" i="71"/>
  <c r="J35" i="71"/>
  <c r="J22" i="71"/>
  <c r="J16" i="71"/>
  <c r="J25" i="71"/>
  <c r="C37" i="71"/>
  <c r="C30" i="71"/>
  <c r="C39" i="71"/>
  <c r="C40" i="71"/>
  <c r="C55" i="71"/>
  <c r="C64" i="71"/>
  <c r="Q67" i="68"/>
  <c r="L57" i="68"/>
  <c r="L60" i="68"/>
  <c r="L46" i="68"/>
  <c r="D2" i="68"/>
  <c r="Q56" i="68"/>
  <c r="C43" i="68"/>
  <c r="Q65" i="68"/>
  <c r="Q47" i="68"/>
  <c r="Q53" i="68"/>
  <c r="C83" i="68"/>
  <c r="C82" i="68"/>
  <c r="C45" i="68"/>
  <c r="C46" i="68"/>
  <c r="J24" i="44"/>
  <c r="J18" i="44"/>
  <c r="J27" i="44"/>
  <c r="J28" i="44"/>
  <c r="J31" i="44"/>
  <c r="Q67" i="44"/>
  <c r="Q77" i="44"/>
  <c r="C43" i="44"/>
  <c r="Q72" i="44"/>
  <c r="C39" i="44"/>
  <c r="C32" i="44"/>
  <c r="C42" i="44"/>
  <c r="Q71" i="44"/>
  <c r="J13" i="15"/>
  <c r="J23" i="15"/>
  <c r="C32" i="43"/>
  <c r="B2" i="43"/>
  <c r="N70" i="39"/>
  <c r="N72" i="39"/>
  <c r="M72" i="39"/>
  <c r="N65" i="40"/>
  <c r="N67" i="40"/>
  <c r="M67" i="40"/>
  <c r="C60" i="15"/>
  <c r="J16" i="15"/>
  <c r="J25" i="15"/>
  <c r="J26" i="15"/>
  <c r="J29" i="15"/>
  <c r="C55" i="15"/>
  <c r="C64" i="15"/>
  <c r="Q71" i="15"/>
  <c r="C37" i="15"/>
  <c r="C56" i="72"/>
  <c r="Q50" i="72"/>
  <c r="C36" i="72"/>
  <c r="J19" i="72"/>
  <c r="J17" i="72"/>
  <c r="C33" i="72"/>
  <c r="C31" i="72"/>
  <c r="C13" i="72"/>
  <c r="J14" i="72"/>
  <c r="J39" i="71"/>
  <c r="J40" i="71"/>
  <c r="C57" i="71"/>
  <c r="C66" i="71"/>
  <c r="C67" i="71"/>
  <c r="C70" i="71"/>
  <c r="Q70" i="71"/>
  <c r="Q69" i="71"/>
  <c r="Q66" i="71"/>
  <c r="Q76" i="71"/>
  <c r="Q48" i="71"/>
  <c r="Q54" i="71"/>
  <c r="B2" i="71"/>
  <c r="B3" i="71"/>
  <c r="Q57" i="71"/>
  <c r="Q63" i="71"/>
  <c r="C43" i="71"/>
  <c r="J42" i="71"/>
  <c r="J43" i="71"/>
  <c r="Q66" i="68"/>
  <c r="Q75" i="68"/>
  <c r="Q57" i="68"/>
  <c r="Q62" i="68"/>
  <c r="B2" i="68"/>
  <c r="B3" i="68"/>
  <c r="C44" i="44"/>
  <c r="C45" i="44"/>
  <c r="B2" i="44"/>
  <c r="B4" i="44"/>
  <c r="C30" i="15"/>
  <c r="C39" i="15"/>
  <c r="Q70" i="15"/>
  <c r="C58" i="15"/>
  <c r="Q70" i="44"/>
  <c r="Q49" i="44"/>
  <c r="Q55" i="44"/>
  <c r="Q58" i="44"/>
  <c r="Q64" i="44"/>
  <c r="B3" i="43"/>
  <c r="B5" i="43"/>
  <c r="B4" i="43"/>
  <c r="J9" i="40"/>
  <c r="F9" i="40"/>
  <c r="H9" i="40"/>
  <c r="J9" i="39"/>
  <c r="H9" i="39"/>
  <c r="F9" i="39"/>
  <c r="L51" i="71"/>
  <c r="C57" i="15"/>
  <c r="C66" i="15"/>
  <c r="C67" i="15"/>
  <c r="C70" i="15"/>
  <c r="Q69" i="15"/>
  <c r="Q68" i="71"/>
  <c r="J13" i="72"/>
  <c r="J23" i="72"/>
  <c r="J22" i="72"/>
  <c r="C63" i="72"/>
  <c r="C60" i="72"/>
  <c r="C58" i="72"/>
  <c r="Q71" i="72"/>
  <c r="C37" i="72"/>
  <c r="C30" i="72"/>
  <c r="C39" i="72"/>
  <c r="C55" i="72"/>
  <c r="C64" i="72"/>
  <c r="J35" i="72"/>
  <c r="C46" i="71"/>
  <c r="C40"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L51" i="72"/>
  <c r="Q48" i="15"/>
  <c r="Q54" i="15"/>
  <c r="F10" i="12"/>
  <c r="J39" i="72"/>
  <c r="J40" i="72"/>
  <c r="J16" i="72"/>
  <c r="J25" i="72"/>
  <c r="Q68" i="72"/>
  <c r="C40" i="72"/>
  <c r="Q70" i="72"/>
  <c r="Q69" i="72"/>
  <c r="C57" i="72"/>
  <c r="C66" i="72"/>
  <c r="C67" i="72"/>
  <c r="C46" i="15"/>
  <c r="Q66" i="15"/>
  <c r="L57" i="15"/>
  <c r="L60" i="15"/>
  <c r="Q67" i="15"/>
  <c r="Q68" i="15"/>
  <c r="Q57" i="15"/>
  <c r="C43" i="15"/>
  <c r="F8" i="12"/>
  <c r="J42" i="15"/>
  <c r="J43" i="15"/>
  <c r="I48" i="40"/>
  <c r="J48" i="40"/>
  <c r="G48" i="40"/>
  <c r="H48" i="40"/>
  <c r="G49" i="40"/>
  <c r="H49" i="40"/>
  <c r="E44" i="40"/>
  <c r="R45" i="40"/>
  <c r="G53" i="39"/>
  <c r="H53" i="39"/>
  <c r="G54" i="39"/>
  <c r="H54" i="39"/>
  <c r="I53" i="39"/>
  <c r="J53" i="39"/>
  <c r="E49" i="39"/>
  <c r="R50" i="39"/>
  <c r="C70" i="72"/>
  <c r="C46" i="72"/>
  <c r="Q66" i="72"/>
  <c r="Q76" i="72"/>
  <c r="B2" i="72"/>
  <c r="B3" i="72"/>
  <c r="C43" i="72"/>
  <c r="Q48" i="72"/>
  <c r="Q54" i="72"/>
  <c r="Q57" i="72"/>
  <c r="Q63" i="72"/>
  <c r="J42" i="72"/>
  <c r="J43" i="72"/>
  <c r="L46" i="15"/>
  <c r="B2" i="15"/>
  <c r="Q76" i="15"/>
  <c r="Q58" i="15"/>
  <c r="Q63" i="15"/>
  <c r="E54" i="39"/>
  <c r="F54" i="39"/>
  <c r="E53" i="39"/>
  <c r="F53" i="39"/>
  <c r="E48" i="40"/>
  <c r="F48" i="40"/>
  <c r="E49" i="40"/>
  <c r="F49" i="40"/>
  <c r="C50" i="39"/>
  <c r="C49" i="39"/>
  <c r="I54" i="39"/>
  <c r="J54" i="39"/>
  <c r="C45" i="40"/>
  <c r="C44" i="40"/>
  <c r="I49" i="40"/>
  <c r="J49" i="40"/>
  <c r="B3" i="15"/>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6" i="12"/>
  <c r="F68" i="39"/>
  <c r="B2" i="39"/>
  <c r="F63" i="40"/>
  <c r="B2" i="40"/>
  <c r="C19" i="9"/>
  <c r="C24" i="12"/>
  <c r="C29" i="12"/>
  <c r="L43" i="9"/>
  <c r="B3" i="40"/>
  <c r="B4" i="40"/>
  <c r="B5" i="40"/>
  <c r="B3" i="39"/>
  <c r="B4" i="39"/>
  <c r="B5" i="39"/>
  <c r="C21" i="9"/>
  <c r="C20" i="9"/>
  <c r="C28" i="12"/>
  <c r="C26" i="12"/>
  <c r="C31" i="12"/>
  <c r="C30" i="12"/>
  <c r="C35" i="12"/>
  <c r="C33" i="12"/>
  <c r="C45" i="9"/>
  <c r="H14" i="66"/>
  <c r="B7" i="66"/>
  <c r="C36" i="12"/>
  <c r="B2" i="12"/>
  <c r="D7" i="66"/>
  <c r="C7" i="66"/>
  <c r="D19" i="9"/>
  <c r="D22" i="9"/>
  <c r="L44" i="9"/>
  <c r="G19" i="9"/>
  <c r="B5" i="12"/>
  <c r="B4" i="12"/>
  <c r="B3" i="12"/>
  <c r="C44" i="9"/>
  <c r="G14" i="66"/>
  <c r="B6" i="66"/>
  <c r="D45" i="9"/>
  <c r="E45" i="9"/>
  <c r="O40" i="9"/>
  <c r="F45" i="9"/>
  <c r="D20" i="9"/>
  <c r="D21" i="9"/>
  <c r="G20" i="9"/>
  <c r="G21" i="9"/>
  <c r="D27" i="9"/>
  <c r="C32" i="9"/>
  <c r="G22" i="9"/>
  <c r="N43" i="9"/>
  <c r="D6" i="66"/>
  <c r="C6" i="66"/>
  <c r="K31" i="9"/>
  <c r="K32" i="9"/>
  <c r="R7" i="54"/>
  <c r="B52" i="63"/>
  <c r="N69" i="9"/>
  <c r="O39" i="9"/>
  <c r="K29" i="9"/>
  <c r="D44" i="9"/>
  <c r="E44" i="9"/>
  <c r="F44" i="9"/>
  <c r="O38" i="9"/>
  <c r="C33" i="9"/>
  <c r="C35" i="9"/>
  <c r="F42" i="9"/>
  <c r="C42" i="9"/>
  <c r="C34" i="9"/>
  <c r="O43" i="9"/>
  <c r="M86" i="9"/>
  <c r="N86" i="9"/>
  <c r="M84" i="9"/>
  <c r="N84" i="9"/>
  <c r="M88" i="9"/>
  <c r="N88" i="9"/>
  <c r="M87" i="9"/>
  <c r="N87" i="9"/>
  <c r="M85" i="9"/>
  <c r="N85" i="9"/>
  <c r="M83" i="9"/>
  <c r="N83" i="9"/>
  <c r="K30" i="9"/>
  <c r="R6" i="54"/>
  <c r="B50" i="63"/>
  <c r="R5" i="54"/>
  <c r="B48" i="63"/>
  <c r="D63" i="9"/>
  <c r="D14" i="66"/>
  <c r="N68" i="9"/>
  <c r="D42" i="9"/>
  <c r="Q5" i="54"/>
  <c r="B47" i="63"/>
  <c r="N38" i="9"/>
  <c r="K28" i="9"/>
  <c r="E42" i="9"/>
  <c r="P5" i="54"/>
  <c r="B46" i="63"/>
  <c r="M38" i="9"/>
  <c r="K27" i="9"/>
  <c r="K25" i="9"/>
  <c r="K26" i="9"/>
  <c r="N89" i="9"/>
  <c r="C111" i="9"/>
  <c r="C104" i="9"/>
  <c r="C96" i="9"/>
  <c r="C91" i="9"/>
  <c r="D71" i="9"/>
  <c r="D66" i="9"/>
  <c r="N72" i="9"/>
  <c r="D77" i="9"/>
  <c r="N75" i="9"/>
  <c r="C103" i="9"/>
  <c r="C90" i="9"/>
  <c r="D70" i="9"/>
  <c r="C82" i="9"/>
  <c r="C81" i="9"/>
  <c r="C85" i="9"/>
  <c r="C86" i="9"/>
  <c r="D72" i="9"/>
  <c r="F14" i="66"/>
  <c r="E14" i="66"/>
  <c r="B5" i="66"/>
  <c r="O89" i="9"/>
  <c r="N76" i="9"/>
  <c r="C113" i="9"/>
  <c r="C114" i="9"/>
  <c r="E114" i="9"/>
  <c r="E115" i="9"/>
  <c r="C97" i="9"/>
  <c r="C98" i="9"/>
  <c r="E98" i="9"/>
  <c r="E99" i="9"/>
  <c r="C5" i="66"/>
  <c r="D5" i="66"/>
  <c r="C99" i="9"/>
  <c r="C115" i="9"/>
  <c r="D76" i="9"/>
  <c r="D74" i="9"/>
  <c r="N74" i="9"/>
  <c r="O77" i="9"/>
  <c r="O78" i="9"/>
  <c r="O79" i="9"/>
  <c r="Q77" i="9"/>
  <c r="C46" i="9"/>
  <c r="O80" i="9"/>
  <c r="O81" i="9"/>
  <c r="K33" i="9"/>
  <c r="F46" i="9"/>
  <c r="I14" i="66"/>
  <c r="B8" i="66"/>
  <c r="D46" i="9"/>
  <c r="O41" i="9"/>
  <c r="R8" i="54"/>
  <c r="B54" i="63"/>
  <c r="E46" i="9"/>
  <c r="C8" i="66"/>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<sst xmlns="http://schemas.openxmlformats.org/spreadsheetml/2006/main" count="8703" uniqueCount="3499">
  <si>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</si>
  <si>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</si>
  <si>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</si>
  <si>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</si>
  <si>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</si>
  <si>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</si>
  <si>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</si>
  <si>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</si>
  <si>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</si>
  <si>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</si>
  <si>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</si>
  <si>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</si>
  <si>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</si>
  <si>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</si>
  <si>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</si>
  <si>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</si>
  <si>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</si>
  <si>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</si>
  <si>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</si>
  <si>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</si>
  <si>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</si>
  <si>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</si>
  <si>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</si>
  <si>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</si>
  <si>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</si>
  <si>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</si>
  <si>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</si>
  <si>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</si>
  <si>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</si>
  <si>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</si>
  <si>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</si>
  <si>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</si>
  <si>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</si>
  <si>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</si>
  <si>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</si>
  <si>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</si>
  <si>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</si>
  <si>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</si>
  <si>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</si>
  <si>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</si>
  <si>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</si>
  <si>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</si>
  <si>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</si>
  <si>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</si>
  <si>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</si>
  <si>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</si>
  <si>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</si>
  <si>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</si>
  <si>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</si>
  <si>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</si>
  <si>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</si>
  <si>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</si>
  <si>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</si>
  <si>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</si>
  <si>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</si>
  <si>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</si>
  <si>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</si>
  <si>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</si>
  <si>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</si>
  <si>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</si>
  <si>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</si>
  <si>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</si>
  <si>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</si>
  <si>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</si>
  <si>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</si>
  <si>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</si>
  <si>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</si>
  <si>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</si>
  <si>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</si>
  <si>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</si>
  <si>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</si>
  <si>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</si>
  <si>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</si>
  <si>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</si>
  <si>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</si>
  <si>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</si>
  <si>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</si>
  <si>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</si>
  <si>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</si>
  <si>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</si>
  <si>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</si>
  <si>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</si>
  <si>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</si>
  <si>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</si>
  <si>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</si>
  <si>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</si>
  <si>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</si>
  <si>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</si>
  <si>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</si>
  <si>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</si>
  <si>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</si>
  <si>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</si>
  <si>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</si>
  <si>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</si>
  <si>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</si>
  <si>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</si>
  <si>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</si>
  <si>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</si>
  <si>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</si>
  <si>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</si>
  <si>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</si>
  <si>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</si>
  <si>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</si>
  <si>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</si>
  <si>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</si>
  <si>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</si>
  <si>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</si>
  <si>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</si>
  <si>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</si>
  <si>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</si>
  <si>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</si>
  <si>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</si>
  <si>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</si>
  <si>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</si>
  <si>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</si>
  <si>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</si>
  <si>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</si>
  <si>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</si>
  <si>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</si>
  <si>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</si>
  <si>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</si>
  <si>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</si>
  <si>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</si>
  <si>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</si>
  <si>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</si>
  <si>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</si>
  <si>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</si>
  <si>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</si>
  <si>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</si>
  <si>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</si>
  <si>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</si>
  <si>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</si>
  <si>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</si>
  <si>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</si>
  <si>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</si>
  <si>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</si>
  <si>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</si>
  <si>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</si>
  <si>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</si>
  <si>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</si>
  <si>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</si>
  <si>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</si>
  <si>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</si>
  <si>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</si>
  <si>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</si>
  <si>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</si>
  <si>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</si>
  <si>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</si>
  <si>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</si>
  <si>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</si>
  <si>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</si>
  <si>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</si>
  <si>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</si>
  <si>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</si>
  <si>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</si>
  <si>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</si>
  <si>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</si>
  <si>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</si>
  <si>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</si>
  <si>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</si>
  <si>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</si>
  <si>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</si>
  <si>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</si>
  <si>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</si>
  <si>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</si>
  <si>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</si>
  <si>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</si>
  <si>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</si>
  <si>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</si>
  <si>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</si>
  <si>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</si>
  <si>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</si>
  <si>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</si>
  <si>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</si>
  <si>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</si>
  <si>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</si>
  <si>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</si>
  <si>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</si>
  <si>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</si>
  <si>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</si>
  <si>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</si>
  <si>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</si>
  <si>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</si>
  <si>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</si>
  <si>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</si>
  <si>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</si>
  <si>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</si>
  <si>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</si>
  <si>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</si>
  <si>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</si>
  <si>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</si>
  <si>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</si>
  <si>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</si>
  <si>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</si>
  <si>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</si>
  <si>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</si>
  <si>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</si>
  <si>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</si>
  <si>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</si>
  <si>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</si>
  <si>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</si>
  <si>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</si>
  <si>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</si>
  <si>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</si>
  <si>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</si>
  <si>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</si>
  <si>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</si>
  <si>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</si>
  <si>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</si>
  <si>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</si>
  <si>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</si>
  <si>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</si>
  <si>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</si>
  <si>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</si>
  <si>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</si>
  <si>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</si>
  <si>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</si>
  <si>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</si>
  <si>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</si>
  <si>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</si>
  <si>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</si>
  <si>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</si>
  <si>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</si>
  <si>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</si>
  <si>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</si>
  <si>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</si>
  <si>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</si>
  <si>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</si>
  <si>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</si>
  <si>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</si>
  <si>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</si>
  <si>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</si>
  <si>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</si>
  <si>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</si>
  <si>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</si>
  <si>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</si>
  <si>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</si>
  <si>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</si>
  <si>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</si>
  <si>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</si>
  <si>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</si>
  <si>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</si>
  <si>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</si>
  <si>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</si>
  <si>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</si>
  <si>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</si>
  <si>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</si>
  <si>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</si>
  <si>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</si>
  <si>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</si>
  <si>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</si>
  <si>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</si>
  <si>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</si>
  <si>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</si>
  <si>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</si>
  <si>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</si>
  <si>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</si>
  <si>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</si>
  <si>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</si>
  <si>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</si>
  <si>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</si>
  <si>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</si>
  <si>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</si>
  <si>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</si>
  <si>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</si>
  <si>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</si>
  <si>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</si>
  <si>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</si>
  <si>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</si>
  <si>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</si>
  <si>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</si>
  <si>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</si>
  <si>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</si>
  <si>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</si>
  <si>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</si>
  <si>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</si>
  <si>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</si>
  <si>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</si>
  <si>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</si>
  <si>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</si>
  <si>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</si>
  <si>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</si>
  <si>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</si>
  <si>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</si>
  <si>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</si>
  <si>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</si>
  <si>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</si>
  <si>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</si>
  <si>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</si>
  <si>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</si>
  <si>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</si>
  <si>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</si>
  <si>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</si>
  <si>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</si>
  <si>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</si>
  <si>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</si>
  <si>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</si>
  <si>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</si>
  <si>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</si>
  <si>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</si>
  <si>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</si>
  <si>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</si>
  <si>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</si>
  <si>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</si>
  <si>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</si>
  <si>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</si>
  <si>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</si>
  <si>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</si>
  <si>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</si>
  <si>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</si>
  <si>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</si>
  <si>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</si>
  <si>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</si>
  <si>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</si>
  <si>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</si>
  <si>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</si>
  <si>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</si>
  <si>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</si>
  <si>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</si>
  <si>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</si>
  <si>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</si>
  <si>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</si>
  <si>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</si>
  <si>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</si>
  <si>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</si>
  <si>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</si>
  <si>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</si>
  <si>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</si>
  <si>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</si>
  <si>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</si>
  <si>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</si>
  <si>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</si>
  <si>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</si>
  <si>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</si>
  <si>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</si>
  <si>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</si>
  <si>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</si>
  <si>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</si>
  <si>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</si>
  <si>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</si>
  <si>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</si>
  <si>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</si>
  <si>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</si>
  <si>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</si>
  <si>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</si>
  <si>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</si>
  <si>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</si>
  <si>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</si>
  <si>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</si>
  <si>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</si>
  <si>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</si>
  <si>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</si>
  <si>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</si>
  <si>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</si>
  <si>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</si>
  <si>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</si>
  <si>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</si>
  <si>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</si>
  <si>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</si>
  <si>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</si>
  <si>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</si>
  <si>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</si>
  <si>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</si>
  <si>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</si>
  <si>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</si>
  <si>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</si>
  <si>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</si>
  <si>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</si>
  <si>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</si>
  <si>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</si>
  <si>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</si>
  <si>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</si>
  <si>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</si>
  <si>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</si>
  <si>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</si>
  <si>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</si>
  <si>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</si>
  <si>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</si>
  <si>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</si>
  <si>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</si>
  <si>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</si>
  <si>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</si>
  <si>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</si>
  <si>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</si>
  <si>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</si>
  <si>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</si>
  <si>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</si>
  <si>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</si>
  <si>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</si>
  <si>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</si>
  <si>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</si>
  <si>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</si>
  <si>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</si>
  <si>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</si>
  <si>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</si>
  <si>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</si>
  <si>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</si>
  <si>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</si>
  <si>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</si>
  <si>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</si>
  <si>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</si>
  <si>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</si>
  <si>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</si>
  <si>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</si>
  <si>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</si>
  <si>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</si>
  <si>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</si>
  <si>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</si>
  <si>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</si>
  <si>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</si>
  <si>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</si>
  <si>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</si>
  <si>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</si>
  <si>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</si>
  <si>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</si>
  <si>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</si>
  <si>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</si>
  <si>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</si>
  <si>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</si>
  <si>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</si>
  <si>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</si>
  <si>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</si>
  <si>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</si>
  <si>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</si>
  <si>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</si>
  <si>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</si>
  <si>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</si>
  <si>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</si>
  <si>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</si>
  <si>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</si>
  <si>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</si>
  <si>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</si>
  <si>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</si>
  <si>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</si>
  <si>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</si>
  <si>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</si>
  <si>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</si>
  <si>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</si>
  <si>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</si>
  <si>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</si>
  <si>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</si>
  <si>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</si>
  <si>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</si>
  <si>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</si>
  <si>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</si>
  <si>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</si>
  <si>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</si>
  <si>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</si>
  <si>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</si>
  <si>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</si>
  <si>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</si>
  <si>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</si>
  <si>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</si>
  <si>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</si>
  <si>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</si>
  <si>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</si>
  <si>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</si>
  <si>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</si>
  <si>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</si>
  <si>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</si>
  <si>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</si>
  <si>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</si>
  <si>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</si>
  <si>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</si>
  <si>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</si>
  <si>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</si>
  <si>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</si>
  <si>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</si>
  <si>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</si>
  <si>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</si>
  <si>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</si>
  <si>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</si>
  <si>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</si>
  <si>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</si>
  <si>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</si>
  <si>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</si>
  <si>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</si>
  <si>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</si>
  <si>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</si>
  <si>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</si>
  <si>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</si>
  <si>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</si>
  <si>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</si>
  <si>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</si>
  <si>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</si>
  <si>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</si>
  <si>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</si>
  <si>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</si>
  <si>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</si>
  <si>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</si>
  <si>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</si>
  <si>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</si>
  <si>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</si>
  <si>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</si>
  <si>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</si>
  <si>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</si>
  <si>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</si>
  <si>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</si>
  <si>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</si>
  <si>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</si>
  <si>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</si>
  <si>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</si>
  <si>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</si>
  <si>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</si>
  <si>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</si>
  <si>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</si>
  <si>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</si>
  <si>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</si>
  <si>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</si>
  <si>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</si>
  <si>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</si>
  <si>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</si>
  <si>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</si>
  <si>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</si>
  <si>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</si>
  <si>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</si>
  <si>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</si>
  <si>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</si>
  <si>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</si>
  <si>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</si>
  <si>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</si>
  <si>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</si>
  <si>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</si>
  <si>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</si>
  <si>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</si>
  <si>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</si>
  <si>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</si>
  <si>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</si>
  <si>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</si>
  <si>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</si>
  <si>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</si>
  <si>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</si>
  <si>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</si>
  <si>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</si>
  <si>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</si>
  <si>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</si>
  <si>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</si>
  <si>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</si>
  <si>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</si>
  <si>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</si>
  <si>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</si>
  <si>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</si>
  <si>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</si>
  <si>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</si>
  <si>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</si>
  <si>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</si>
  <si>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</si>
  <si>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</si>
  <si>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</si>
  <si>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</si>
  <si>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</si>
  <si>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</si>
  <si>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</si>
  <si>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</si>
  <si>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</si>
  <si>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</si>
  <si>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</si>
  <si>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</si>
  <si>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</si>
  <si>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</si>
  <si>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</si>
  <si>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</si>
  <si>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</si>
  <si>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</si>
  <si>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</si>
  <si>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</si>
  <si>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</si>
  <si>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</si>
  <si>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</si>
  <si>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</si>
  <si>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</si>
  <si>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</si>
  <si>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</si>
  <si>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</si>
  <si>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</si>
  <si>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</si>
  <si>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</si>
  <si>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</si>
  <si>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</si>
  <si>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</si>
  <si>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</si>
  <si>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</si>
  <si>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</si>
  <si>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</si>
  <si>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</si>
  <si>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</si>
  <si>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</si>
  <si>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</si>
  <si>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</si>
  <si>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</si>
  <si>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</si>
  <si>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</si>
  <si>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</si>
  <si>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</si>
  <si>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</si>
  <si>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</si>
  <si>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</si>
  <si>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</si>
  <si>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</si>
  <si>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</si>
  <si>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</si>
  <si>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</si>
  <si>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</si>
  <si>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</si>
  <si>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</si>
  <si>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</si>
  <si>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</si>
  <si>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</si>
  <si>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</si>
  <si>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</si>
  <si>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</si>
  <si>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</si>
  <si>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</si>
  <si>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</si>
  <si>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</si>
  <si>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</si>
  <si>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</si>
  <si>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</si>
  <si>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</si>
  <si>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</si>
  <si>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</si>
  <si>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</si>
  <si>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</si>
  <si>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</si>
  <si>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</si>
  <si>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</si>
  <si>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</si>
  <si>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</si>
  <si>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</si>
  <si>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</si>
  <si>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</si>
  <si>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</si>
  <si>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</si>
  <si>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</si>
  <si>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</si>
  <si>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</si>
  <si>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</si>
  <si>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</si>
  <si>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</si>
  <si>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</si>
  <si>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</si>
  <si>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</si>
  <si>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</si>
  <si>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</si>
  <si>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</si>
  <si>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</si>
  <si>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</si>
  <si>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</si>
  <si>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</si>
  <si>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</si>
  <si>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</si>
  <si>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</si>
  <si>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</si>
  <si>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</si>
  <si>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</si>
  <si>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</si>
  <si>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</si>
  <si>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</si>
  <si>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</si>
  <si>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</si>
  <si>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</si>
  <si>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</si>
  <si>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</si>
  <si>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</si>
  <si>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</si>
  <si>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</si>
  <si>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</si>
  <si>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</si>
  <si>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</si>
  <si>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</si>
  <si>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</si>
  <si>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</si>
  <si>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</si>
  <si>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</si>
  <si>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</si>
  <si>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</si>
  <si>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</si>
  <si>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</si>
  <si>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</si>
  <si>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</si>
  <si>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</si>
  <si>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</si>
  <si>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</si>
  <si>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</si>
  <si>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</si>
  <si>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</si>
  <si>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</si>
  <si>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</si>
  <si>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</si>
  <si>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</si>
  <si>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</si>
  <si>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</si>
  <si>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</si>
  <si>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</si>
  <si>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</si>
  <si>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</si>
  <si>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</si>
  <si>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</si>
  <si>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</si>
  <si>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</si>
  <si>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</si>
  <si>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</si>
  <si>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</si>
  <si>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</si>
  <si>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</si>
  <si>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</si>
  <si>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</si>
  <si>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</si>
  <si>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</si>
  <si>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</si>
  <si>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</si>
  <si>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</si>
  <si>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</si>
  <si>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</si>
  <si>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</si>
  <si>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</si>
  <si>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</si>
  <si>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</si>
  <si>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</si>
  <si>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</si>
  <si>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</si>
  <si>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</si>
  <si>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</si>
  <si>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</si>
  <si>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</si>
  <si>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</si>
  <si>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</si>
  <si>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</si>
  <si>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</si>
  <si>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</si>
  <si>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</si>
  <si>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</si>
  <si>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</si>
  <si>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</si>
  <si>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</si>
  <si>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</si>
  <si>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</si>
  <si>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</si>
  <si>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</si>
  <si>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</si>
  <si>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</si>
  <si>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</si>
  <si>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</si>
  <si>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</si>
  <si>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</si>
  <si>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</si>
  <si>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</si>
  <si>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</si>
  <si>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</si>
  <si>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</si>
  <si>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</si>
  <si>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</si>
  <si>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</si>
  <si>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</si>
  <si>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</si>
  <si>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</si>
  <si>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</si>
  <si>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</si>
  <si>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</si>
  <si>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</si>
  <si>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</si>
  <si>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</si>
  <si>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</si>
  <si>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</si>
  <si>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</si>
  <si>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</si>
  <si>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</si>
  <si>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</si>
  <si>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</si>
  <si>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</si>
  <si>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</si>
  <si>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</si>
  <si>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</si>
  <si>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</si>
  <si>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</si>
  <si>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</si>
  <si>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</si>
  <si>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</si>
  <si>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</si>
  <si>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</si>
  <si>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</si>
  <si>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</si>
  <si>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</si>
  <si>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</si>
  <si>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</si>
  <si>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</si>
  <si>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</si>
  <si>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</si>
  <si>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</si>
  <si>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</si>
  <si>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</si>
  <si>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</si>
  <si>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</si>
  <si>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</si>
  <si>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</si>
  <si>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</si>
  <si>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</si>
  <si>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</si>
  <si>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</si>
  <si>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</si>
  <si>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</si>
  <si>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</si>
  <si>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</si>
  <si>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</si>
  <si>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</si>
  <si>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</si>
  <si>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</si>
  <si>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</si>
  <si>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</si>
  <si>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</si>
  <si>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</si>
  <si>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</si>
  <si>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</si>
  <si>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</si>
  <si>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</si>
  <si>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</si>
  <si>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</si>
  <si>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</si>
  <si>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</si>
  <si>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</si>
  <si>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</si>
  <si>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</si>
  <si>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</si>
  <si>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</si>
  <si>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</si>
  <si>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</si>
  <si>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</si>
  <si>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</si>
  <si>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</si>
  <si>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</si>
  <si>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</si>
  <si>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</si>
  <si>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</si>
  <si>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</si>
  <si>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</si>
  <si>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</si>
  <si>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</si>
  <si>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</si>
  <si>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</si>
  <si>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</si>
  <si>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</si>
  <si>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</si>
  <si>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</si>
  <si>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</si>
  <si>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</si>
  <si>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</si>
  <si>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</si>
  <si>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</si>
  <si>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</si>
  <si>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</si>
  <si>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</si>
  <si>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</si>
  <si>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</si>
  <si>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</si>
  <si>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</si>
  <si>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</si>
  <si>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</si>
  <si>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</si>
  <si>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</si>
  <si>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</si>
  <si>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</si>
  <si>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</si>
  <si>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</si>
  <si>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</si>
  <si>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</si>
  <si>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</si>
  <si>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</si>
  <si>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</si>
  <si>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</si>
  <si>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</si>
  <si>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</si>
  <si>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</si>
  <si>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</si>
  <si>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</si>
  <si>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</si>
  <si>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</si>
  <si>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</si>
  <si>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</si>
  <si>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</si>
  <si>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</si>
  <si>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</si>
  <si>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</si>
  <si>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</si>
  <si>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</si>
  <si>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</si>
  <si>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</si>
  <si>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</si>
  <si>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</si>
  <si>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</si>
  <si>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</si>
  <si>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</si>
  <si>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</si>
  <si>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</si>
  <si>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</si>
  <si>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</si>
  <si>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</si>
  <si>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</si>
  <si>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</si>
  <si>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</si>
  <si>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</si>
  <si>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</si>
  <si>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</si>
  <si>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</si>
  <si>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</si>
  <si>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</si>
  <si>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</si>
  <si>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</si>
  <si>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</si>
  <si>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</si>
  <si>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</si>
  <si>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</si>
  <si>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</si>
  <si>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</si>
  <si>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</si>
  <si>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</si>
  <si>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</si>
  <si>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</si>
  <si>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</si>
  <si>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</si>
  <si>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</si>
  <si>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</si>
  <si>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</si>
  <si>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</si>
  <si>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</si>
  <si>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</si>
  <si>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</si>
  <si>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</si>
  <si>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</si>
  <si>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</si>
  <si>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</si>
  <si>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</si>
  <si>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</si>
  <si>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</si>
  <si>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</si>
  <si>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</si>
  <si>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</si>
  <si>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</si>
  <si>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</si>
  <si>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</si>
  <si>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</si>
  <si>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</si>
  <si>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</si>
  <si>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</si>
  <si>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</si>
  <si>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</si>
  <si>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</si>
  <si>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</si>
  <si>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</si>
  <si>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</si>
  <si>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</si>
  <si>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</si>
  <si>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</si>
  <si>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</si>
  <si>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</si>
  <si>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</si>
  <si>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</si>
  <si>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</si>
  <si>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</si>
  <si>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</si>
  <si>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</si>
  <si>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</si>
  <si>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</si>
  <si>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</si>
  <si>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</si>
  <si>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</si>
  <si>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</si>
  <si>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</si>
  <si>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</si>
  <si>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</si>
  <si>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</si>
  <si>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</si>
  <si>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</si>
  <si>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</si>
  <si>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</si>
  <si>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</si>
  <si>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</si>
  <si>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</si>
  <si>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</si>
  <si>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</si>
  <si>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</si>
  <si>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</si>
  <si>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</si>
  <si>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</si>
  <si>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</si>
  <si>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</si>
  <si>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</si>
  <si>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</si>
  <si>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</si>
  <si>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</si>
  <si>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</si>
  <si>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</si>
  <si>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</si>
  <si>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</si>
  <si>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</si>
  <si>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</si>
  <si>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</si>
  <si>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</si>
  <si>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</si>
  <si>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</si>
  <si>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</si>
  <si>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</si>
  <si>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</si>
  <si>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</si>
  <si>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</si>
  <si>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</si>
  <si>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</si>
  <si>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</si>
  <si>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</si>
  <si>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</si>
  <si>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</si>
  <si>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</si>
  <si>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</si>
  <si>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</si>
  <si>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</si>
  <si>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</si>
  <si>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</si>
  <si>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</si>
  <si>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</si>
  <si>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</si>
  <si>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</si>
  <si>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</si>
  <si>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</si>
  <si>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</si>
  <si>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</si>
  <si>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</si>
  <si>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</si>
  <si>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</si>
  <si>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</si>
  <si>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</si>
  <si>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</si>
  <si>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</si>
  <si>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</si>
  <si>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</si>
  <si>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</si>
  <si>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</si>
  <si>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</si>
  <si>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</si>
  <si>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</si>
  <si>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</si>
  <si>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</si>
  <si>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</si>
  <si>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</si>
  <si>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</si>
  <si>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</si>
  <si>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</si>
  <si>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</si>
  <si>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</si>
  <si>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</si>
  <si>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</si>
  <si>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</si>
  <si>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</si>
  <si>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</si>
  <si>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</si>
  <si>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</si>
  <si>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</si>
  <si>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</si>
  <si>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</si>
  <si>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</si>
  <si>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</si>
  <si>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</si>
  <si>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</si>
  <si>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</si>
  <si>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</si>
  <si>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</si>
  <si>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</si>
  <si>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</si>
  <si>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</si>
  <si>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</si>
  <si>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</si>
  <si>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</si>
  <si>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</si>
  <si>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</si>
  <si>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</si>
  <si>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</si>
  <si>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</si>
  <si>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</si>
  <si>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</si>
  <si>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</si>
  <si>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</si>
  <si>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</si>
  <si>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</si>
  <si>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</si>
  <si>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</si>
  <si>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</si>
  <si>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</si>
  <si>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</si>
  <si>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</si>
  <si>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</si>
  <si>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</si>
  <si>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</si>
  <si>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</si>
  <si>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</si>
  <si>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</si>
  <si>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</si>
  <si>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</si>
  <si>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</si>
  <si>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</si>
  <si>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</si>
  <si>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</si>
  <si>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</si>
  <si>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</si>
  <si>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</si>
  <si>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</si>
  <si>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</si>
  <si>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</si>
  <si>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</si>
  <si>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</si>
  <si>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</si>
  <si>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</si>
  <si>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</si>
  <si>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</si>
  <si>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</si>
  <si>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</si>
  <si>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</si>
  <si>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</si>
  <si>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</si>
  <si>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</si>
  <si>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</si>
  <si>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</si>
  <si>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</si>
  <si>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</si>
  <si>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</si>
  <si>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</si>
  <si>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</si>
  <si>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</si>
  <si>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</si>
  <si>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</si>
  <si>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</si>
  <si>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</si>
  <si>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</si>
  <si>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</si>
  <si>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</si>
  <si>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</si>
  <si>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</si>
  <si>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</si>
  <si>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</si>
  <si>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</si>
  <si>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</si>
  <si>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</si>
  <si>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</si>
  <si>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</si>
  <si>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</si>
  <si>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</si>
  <si>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</si>
  <si>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</si>
  <si>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</si>
  <si>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</si>
  <si>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</si>
  <si>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</si>
  <si>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</si>
  <si>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</si>
  <si>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</si>
  <si>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</si>
  <si>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</si>
  <si>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</si>
  <si>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</si>
  <si>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</si>
  <si>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</si>
  <si>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</si>
  <si>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</si>
  <si>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</si>
  <si>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</si>
  <si>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</si>
  <si>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</si>
  <si>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</si>
  <si>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</si>
  <si>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</si>
  <si>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</si>
  <si>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</si>
  <si>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</si>
  <si>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</si>
  <si>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</si>
  <si>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</si>
  <si>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</si>
  <si>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</si>
  <si>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</si>
  <si>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</si>
  <si>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</si>
  <si>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</si>
  <si>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</si>
  <si>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</si>
  <si>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</si>
  <si>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</si>
  <si>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</si>
  <si>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</si>
  <si>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</si>
  <si>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</si>
  <si>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</si>
  <si>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</si>
  <si>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</si>
  <si>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</si>
  <si>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</si>
  <si>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</si>
  <si>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</si>
  <si>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</si>
  <si>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</si>
  <si>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</si>
  <si>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</si>
  <si>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</si>
  <si>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</si>
  <si>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</si>
  <si>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</si>
  <si>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</si>
  <si>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</si>
  <si>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</si>
  <si>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</si>
  <si>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</si>
  <si>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</si>
  <si>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</si>
  <si>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</si>
  <si>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</si>
  <si>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</si>
  <si>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</si>
  <si>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</si>
  <si>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</si>
  <si>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</si>
  <si>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</si>
  <si>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</si>
  <si>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</si>
  <si>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</si>
  <si>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</si>
  <si>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</si>
  <si>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</si>
  <si>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</si>
  <si>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</si>
  <si>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</si>
  <si>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</si>
  <si>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</si>
  <si>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</si>
  <si>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</si>
  <si>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</si>
  <si>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</si>
  <si>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</si>
  <si>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</si>
  <si>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</si>
  <si>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</si>
  <si>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</si>
  <si>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</si>
  <si>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</si>
  <si>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</si>
  <si>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</si>
  <si>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</si>
  <si>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</si>
  <si>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</si>
  <si>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</si>
  <si>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</si>
  <si>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</si>
  <si>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</si>
  <si>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</si>
  <si>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</si>
  <si>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</si>
  <si>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</si>
  <si>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</si>
  <si>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</si>
  <si>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</si>
  <si>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</si>
  <si>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</si>
  <si>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</si>
  <si>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</si>
  <si>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</si>
  <si>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</si>
  <si>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</si>
  <si>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</si>
  <si>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</si>
  <si>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</si>
  <si>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</si>
  <si>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</si>
  <si>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</si>
  <si>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</si>
  <si>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</si>
  <si>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</si>
  <si>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</si>
  <si>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</si>
  <si>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</si>
  <si>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</si>
  <si>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</si>
  <si>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</si>
  <si>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</si>
  <si>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</si>
  <si>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</si>
  <si>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</si>
  <si>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</si>
  <si>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</si>
  <si>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</si>
  <si>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</si>
  <si>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</si>
  <si>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</si>
  <si>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</si>
  <si>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</si>
  <si>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</si>
  <si>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</si>
  <si>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</si>
  <si>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</si>
  <si>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</si>
  <si>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</si>
  <si>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</si>
  <si>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</si>
  <si>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</si>
  <si>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</si>
  <si>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</si>
  <si>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</si>
  <si>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</si>
  <si>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</si>
  <si>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</si>
  <si>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</si>
  <si>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</si>
  <si>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</si>
  <si>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</si>
  <si>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</si>
  <si>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</si>
  <si>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</si>
  <si>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</si>
  <si>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</si>
  <si>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</si>
  <si>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</si>
  <si>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</si>
  <si>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</si>
  <si>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</si>
  <si>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</si>
  <si>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</si>
  <si>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</si>
  <si>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</si>
  <si>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</si>
  <si>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</si>
  <si>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</si>
  <si>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</si>
  <si>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</si>
  <si>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</si>
  <si>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</si>
  <si>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</si>
  <si>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</si>
  <si>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</si>
  <si>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</si>
  <si>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</si>
  <si>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</si>
  <si>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</si>
  <si>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</si>
  <si>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</si>
  <si>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</si>
  <si>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</si>
  <si>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</si>
  <si>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</si>
  <si>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</si>
  <si>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</si>
  <si>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</si>
  <si>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</si>
  <si>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</si>
  <si>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</si>
  <si>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</si>
  <si>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</si>
  <si>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</si>
  <si>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</si>
  <si>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</si>
  <si>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</si>
  <si>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</si>
  <si>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</si>
  <si>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</si>
  <si>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</si>
  <si>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</si>
  <si>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</si>
  <si>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</si>
  <si>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</si>
  <si>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</si>
  <si>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</si>
  <si>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</si>
  <si>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</si>
  <si>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</si>
  <si>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</si>
  <si>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</si>
  <si>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</si>
  <si>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</si>
  <si>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</si>
  <si>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</si>
  <si>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</si>
  <si>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</si>
  <si>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</si>
  <si>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</si>
  <si>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</si>
  <si>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</si>
  <si>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</si>
  <si>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</si>
  <si>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</si>
  <si>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</si>
  <si>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</si>
  <si>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</si>
  <si>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</si>
  <si>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</si>
  <si>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</si>
  <si>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</si>
  <si>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</si>
  <si>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</si>
  <si>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</si>
  <si>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</si>
  <si>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</si>
  <si>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</si>
  <si>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</si>
  <si>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</si>
  <si>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</si>
  <si>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</si>
  <si>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</si>
  <si>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</si>
  <si>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</si>
  <si>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</si>
  <si>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</si>
  <si>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</si>
  <si>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</si>
  <si>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</si>
  <si>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</si>
  <si>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</si>
  <si>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</si>
  <si>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</si>
  <si>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</si>
  <si>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</si>
  <si>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</si>
  <si>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</si>
  <si>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</si>
  <si>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</si>
  <si>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</si>
  <si>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</si>
  <si>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</si>
  <si>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</si>
  <si>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</si>
  <si>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</si>
  <si>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</si>
  <si>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</si>
  <si>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</si>
  <si>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</si>
  <si>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</si>
  <si>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</si>
  <si>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</si>
  <si>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</si>
  <si>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</si>
  <si>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</si>
  <si>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</si>
  <si>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</si>
  <si>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</si>
  <si>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</si>
  <si>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</si>
  <si>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</si>
  <si>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</si>
  <si>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</si>
  <si>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</si>
  <si>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</si>
  <si>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</si>
  <si>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</si>
  <si>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</si>
  <si>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</si>
  <si>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</si>
  <si>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</si>
  <si>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</si>
  <si>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</si>
  <si>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</si>
  <si>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</si>
  <si>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</si>
  <si>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</si>
  <si>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</si>
  <si>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</si>
  <si>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</si>
  <si>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</si>
  <si>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</si>
  <si>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</si>
  <si>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</si>
  <si>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</si>
  <si>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</si>
  <si>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</si>
  <si>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</si>
  <si>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</si>
  <si>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</si>
  <si>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</si>
  <si>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</si>
  <si>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</si>
  <si>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</si>
  <si>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</si>
  <si>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</si>
  <si>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</si>
  <si>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</si>
  <si>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</si>
  <si>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</si>
  <si>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</si>
  <si>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</si>
  <si>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</si>
  <si>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</si>
  <si>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</si>
  <si>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</si>
  <si>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</si>
  <si>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</si>
  <si>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</si>
  <si>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</si>
  <si>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</si>
  <si>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</si>
  <si>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</si>
  <si>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</si>
  <si>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</si>
  <si>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</si>
  <si>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</si>
  <si>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</si>
  <si>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</si>
  <si>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</si>
  <si>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</si>
  <si>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</si>
  <si>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</si>
  <si>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</si>
  <si>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</si>
  <si>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</si>
  <si>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</si>
  <si>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</si>
  <si>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</si>
  <si>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</si>
  <si>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</si>
  <si>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</si>
  <si>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</si>
  <si>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</si>
  <si>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</si>
  <si>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</si>
  <si>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</si>
  <si>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</si>
  <si>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</si>
  <si>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</si>
  <si>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</si>
  <si>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</si>
  <si>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</si>
  <si>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</si>
  <si>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</si>
  <si>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</si>
  <si>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</si>
  <si>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</si>
  <si>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</si>
  <si>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</si>
  <si>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</si>
  <si>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</si>
  <si>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</si>
  <si>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</si>
  <si>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</si>
  <si>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</si>
  <si>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</si>
  <si>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</si>
  <si>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</si>
  <si>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</si>
  <si>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</si>
  <si>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</si>
  <si>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</si>
  <si>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</si>
  <si>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</si>
  <si>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</si>
  <si>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</si>
  <si>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</si>
  <si>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</si>
  <si>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</si>
  <si>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</si>
  <si>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</si>
  <si>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</si>
  <si>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</si>
  <si>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</si>
  <si>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</si>
  <si>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</si>
  <si>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</si>
  <si>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</si>
  <si>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</si>
  <si>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</si>
  <si>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</si>
  <si>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</si>
  <si>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</si>
  <si>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</si>
  <si>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</si>
  <si>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</si>
  <si>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</si>
  <si>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</si>
  <si>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</si>
  <si>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</si>
  <si>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</si>
  <si>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</si>
  <si>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</si>
  <si>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</si>
  <si>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</si>
  <si>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</si>
  <si>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</si>
  <si>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</si>
  <si>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</si>
  <si>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</si>
  <si>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</si>
  <si>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</si>
  <si>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</si>
  <si>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</si>
  <si>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</si>
  <si>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</si>
  <si>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</si>
  <si>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</si>
  <si>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</si>
  <si>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</si>
  <si>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</si>
  <si>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</si>
  <si>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</si>
  <si>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</si>
  <si>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</si>
  <si>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</si>
  <si>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</si>
  <si>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</si>
  <si>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</si>
  <si>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</si>
  <si>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</si>
  <si>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</si>
  <si>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</si>
  <si>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</si>
  <si>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</si>
  <si>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</si>
  <si>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</si>
  <si>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</si>
  <si>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</si>
  <si>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</si>
  <si>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</si>
  <si>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</si>
  <si>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</si>
  <si>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</si>
  <si>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</si>
  <si>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</si>
  <si>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</si>
  <si>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</si>
  <si>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</si>
  <si>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</si>
  <si>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</si>
  <si>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</si>
  <si>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</si>
  <si>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</si>
  <si>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</si>
  <si>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</si>
  <si>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</si>
  <si>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</si>
  <si>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</si>
  <si>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</si>
  <si>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</si>
  <si>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</si>
  <si>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</si>
  <si>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</si>
  <si>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</si>
  <si>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</si>
  <si>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</si>
  <si>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</si>
  <si>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</si>
  <si>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</si>
  <si>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</si>
  <si>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</si>
  <si>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</si>
  <si>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</si>
  <si>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</si>
  <si>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</si>
  <si>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</si>
  <si>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</si>
  <si>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</si>
  <si>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</si>
  <si>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</si>
  <si>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</si>
  <si>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</si>
  <si>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</si>
  <si>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</si>
  <si>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</si>
  <si>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</si>
  <si>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</si>
  <si>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</si>
  <si>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</si>
  <si>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</si>
  <si>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</si>
  <si>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</si>
  <si>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</si>
  <si>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</si>
  <si>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</si>
  <si>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</si>
  <si>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</si>
  <si>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</si>
  <si>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</si>
  <si>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</si>
  <si>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</si>
  <si>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</si>
  <si>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</si>
  <si>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</si>
  <si>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</si>
  <si>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</si>
  <si>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</si>
  <si>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</si>
  <si>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</si>
  <si>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</si>
  <si>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</si>
  <si>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</si>
  <si>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</si>
  <si>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</si>
  <si>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</si>
  <si>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</si>
  <si>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</si>
  <si>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</si>
  <si>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</si>
  <si>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</si>
  <si>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</si>
  <si>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</si>
  <si>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</si>
  <si>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</si>
  <si>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</si>
  <si>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</si>
  <si>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</si>
  <si>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</si>
  <si>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</si>
  <si>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</si>
  <si>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</si>
  <si>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</si>
  <si>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</si>
  <si>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</si>
  <si>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</si>
  <si>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</si>
  <si>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</si>
  <si>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</si>
  <si>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</si>
  <si>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</si>
  <si>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</si>
  <si>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</si>
  <si>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</si>
  <si>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</si>
  <si>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</si>
  <si>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</si>
  <si>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</si>
  <si>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</si>
  <si>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</si>
  <si>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</si>
  <si>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</si>
  <si>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</si>
  <si>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</si>
  <si>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</si>
  <si>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</si>
  <si>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</si>
  <si>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</si>
  <si>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</si>
  <si>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</si>
  <si>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</si>
  <si>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</si>
  <si>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</si>
  <si>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</si>
  <si>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</si>
  <si>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</si>
  <si>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</si>
  <si>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</si>
  <si>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</si>
  <si>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</si>
  <si>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</si>
  <si>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</si>
  <si>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</si>
  <si>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</si>
  <si>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</si>
  <si>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</si>
  <si>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</si>
  <si>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</si>
  <si>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</si>
  <si>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</si>
  <si>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</si>
  <si>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</si>
  <si>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</si>
  <si>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</si>
  <si>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</si>
  <si>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</si>
  <si>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</si>
  <si>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</si>
  <si>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</si>
  <si>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</si>
  <si>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</si>
  <si>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</si>
  <si>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</si>
  <si>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</si>
  <si>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</si>
  <si>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</si>
  <si>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</si>
  <si>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</si>
  <si>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</si>
  <si>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</si>
  <si>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</si>
  <si>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</si>
  <si>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</si>
  <si>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</si>
  <si>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</si>
  <si>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</si>
  <si>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</si>
  <si>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</si>
  <si>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</si>
  <si>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</si>
  <si>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</si>
  <si>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</si>
  <si>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</si>
  <si>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</si>
  <si>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</si>
  <si>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</si>
  <si>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</si>
  <si>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</si>
  <si>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</si>
  <si>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</si>
  <si>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</si>
  <si>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</si>
  <si>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</si>
  <si>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</si>
  <si>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</si>
  <si>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</si>
  <si>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</si>
  <si>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</si>
  <si>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</si>
  <si>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</si>
  <si>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</si>
  <si>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</si>
  <si>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</si>
  <si>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</si>
  <si>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</si>
  <si>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</si>
  <si>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</si>
  <si>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</si>
  <si>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</si>
  <si>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</si>
  <si>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</si>
  <si>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</si>
  <si>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</si>
  <si>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</si>
  <si>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</si>
  <si>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</si>
  <si>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</si>
  <si>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</si>
  <si>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</si>
  <si>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</si>
  <si>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</si>
  <si>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</si>
  <si>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</si>
  <si>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</si>
  <si>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</si>
  <si>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</si>
  <si>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</si>
  <si>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</si>
  <si>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</si>
  <si>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</si>
  <si>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</si>
  <si>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</si>
  <si>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</si>
  <si>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</si>
  <si>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</si>
  <si>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</si>
  <si>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</si>
  <si>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</si>
  <si>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</si>
  <si>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</si>
  <si>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</si>
  <si>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</si>
  <si>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</si>
  <si>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</si>
  <si>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</si>
  <si>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</si>
  <si>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</si>
  <si>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</si>
  <si>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</si>
  <si>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</si>
  <si>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</si>
  <si>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</si>
  <si>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</si>
  <si>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</si>
  <si>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</si>
  <si>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</si>
  <si>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</si>
  <si>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</si>
  <si>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</si>
  <si>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</si>
  <si>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</si>
  <si>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</si>
  <si>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</si>
  <si>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</si>
  <si>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</si>
  <si>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</si>
  <si>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</si>
  <si>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</si>
  <si>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</si>
  <si>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</si>
  <si>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</si>
  <si>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</si>
  <si>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</si>
  <si>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</si>
  <si>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</si>
  <si>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</si>
  <si>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</si>
  <si>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</si>
  <si>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</si>
  <si>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</si>
  <si>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</si>
  <si>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</si>
  <si>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</si>
  <si>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</si>
  <si>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</si>
  <si>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</si>
  <si>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</si>
  <si>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</si>
  <si>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</si>
  <si>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</si>
  <si>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</si>
  <si>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</si>
  <si>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</si>
  <si>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</si>
  <si>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</si>
  <si>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</si>
  <si>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</si>
  <si>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</si>
  <si>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</si>
  <si>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</si>
  <si>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</si>
  <si>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</si>
  <si>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</si>
  <si>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</si>
  <si>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</si>
  <si>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</si>
  <si>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</si>
  <si>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</si>
  <si>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</si>
  <si>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</si>
  <si>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</si>
  <si>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</si>
  <si>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</si>
  <si>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</si>
  <si>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</si>
  <si>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</si>
  <si>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</si>
  <si>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</si>
  <si>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</si>
  <si>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</si>
  <si>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</si>
  <si>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</si>
  <si>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</si>
  <si>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</si>
  <si>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</si>
  <si>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</si>
  <si>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</si>
  <si>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</si>
  <si>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</si>
  <si>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</si>
  <si>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</si>
  <si>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</si>
  <si>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</si>
  <si>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</si>
  <si>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</si>
  <si>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</si>
  <si>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</si>
  <si>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</si>
  <si>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</si>
  <si>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</si>
  <si>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</si>
  <si>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</si>
  <si>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</si>
  <si>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</si>
  <si>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</si>
  <si>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</si>
  <si>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</si>
  <si>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</si>
  <si>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</si>
  <si>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</si>
  <si>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</si>
  <si>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</si>
  <si>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</si>
  <si>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</si>
  <si>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</si>
  <si>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</si>
  <si>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</si>
  <si>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</si>
  <si>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</si>
  <si>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</si>
  <si>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</si>
  <si>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</si>
  <si>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</si>
  <si>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</si>
  <si>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</si>
  <si>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</si>
  <si>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</si>
  <si>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</si>
  <si>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</si>
  <si>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</si>
  <si>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</si>
  <si>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</si>
  <si>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</si>
  <si>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</si>
  <si>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</si>
  <si>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</si>
  <si>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</si>
  <si>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</si>
  <si>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</si>
  <si>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</si>
  <si>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</si>
  <si>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</si>
  <si>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</si>
  <si>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</si>
  <si>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</si>
  <si>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</si>
  <si>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</si>
  <si>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</si>
  <si>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</si>
  <si>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</si>
  <si>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</si>
  <si>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</si>
  <si>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</si>
  <si>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</si>
  <si>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</si>
  <si>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</si>
  <si>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</si>
  <si>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</si>
  <si>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</si>
  <si>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</si>
  <si>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</si>
  <si>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</si>
  <si>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</si>
  <si>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</si>
  <si>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</si>
  <si>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</si>
  <si>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</si>
  <si>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</si>
  <si>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</si>
  <si>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</si>
  <si>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</si>
  <si>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</si>
  <si>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</si>
  <si>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</si>
  <si>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</si>
  <si>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</si>
  <si>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</si>
  <si>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</si>
  <si>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</si>
  <si>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</si>
  <si>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</si>
  <si>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</si>
  <si>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</si>
  <si>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</si>
  <si>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</si>
  <si>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</si>
  <si>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</si>
  <si>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</si>
  <si>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</si>
  <si>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</si>
  <si>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</si>
  <si>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</si>
  <si>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</si>
  <si>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</si>
  <si>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</si>
  <si>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</si>
  <si>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</si>
  <si>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</si>
  <si>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</si>
  <si>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</si>
  <si>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</si>
  <si>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</si>
  <si>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</si>
  <si>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</si>
  <si>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</si>
  <si>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</si>
  <si>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</si>
  <si>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</si>
  <si>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</si>
  <si>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</si>
  <si>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</si>
  <si>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</si>
  <si>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</si>
  <si>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</si>
  <si>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</si>
  <si>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</si>
  <si>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</si>
  <si>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</si>
  <si>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</si>
  <si>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</si>
  <si>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</si>
  <si>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</si>
  <si>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</si>
  <si>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</si>
  <si>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</si>
  <si>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</si>
  <si>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</si>
  <si>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</si>
  <si>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</si>
  <si>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</si>
  <si>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</si>
  <si>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</si>
  <si>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</si>
  <si>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</si>
  <si>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</si>
  <si>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</si>
  <si>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</si>
  <si>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</si>
  <si>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</si>
  <si>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</si>
  <si>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</si>
  <si>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</si>
  <si>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</si>
  <si>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</si>
  <si>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</si>
  <si>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</si>
  <si>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</si>
  <si>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</si>
  <si>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</si>
  <si>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</si>
  <si>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</si>
  <si>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</si>
  <si>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</si>
  <si>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</si>
  <si>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</si>
  <si>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</si>
  <si>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</si>
  <si>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</si>
  <si>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</si>
  <si>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</si>
  <si>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</si>
  <si>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</si>
  <si>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</si>
  <si>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</si>
  <si>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</si>
  <si>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</si>
  <si>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</si>
  <si>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</si>
  <si>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</si>
  <si>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</si>
  <si>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</si>
  <si>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</si>
  <si>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</si>
  <si>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</si>
  <si>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</si>
  <si>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</si>
  <si>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</si>
  <si>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</si>
  <si>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</si>
  <si>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</si>
  <si>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</si>
  <si>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</si>
  <si>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</si>
  <si>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</si>
  <si>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</si>
  <si>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</si>
  <si>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</si>
  <si>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</si>
  <si>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</si>
  <si>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</si>
  <si>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</si>
  <si>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</si>
  <si>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</si>
  <si>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</si>
  <si>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</si>
  <si>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</si>
  <si>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</si>
  <si>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</si>
  <si>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</si>
  <si>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</si>
  <si>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</si>
  <si>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</si>
  <si>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</si>
  <si>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</si>
  <si>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</si>
  <si>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</si>
  <si>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</si>
  <si>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</si>
  <si>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</si>
  <si>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</si>
  <si>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</si>
  <si>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</si>
  <si>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</si>
  <si>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</si>
  <si>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</si>
  <si>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</si>
  <si>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</si>
  <si>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</si>
  <si>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</si>
  <si>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</si>
  <si>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</si>
  <si>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</si>
  <si>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</si>
  <si>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</si>
  <si>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</si>
  <si>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</si>
  <si>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</si>
  <si>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</si>
  <si>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</si>
  <si>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</si>
  <si>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</si>
  <si>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</si>
  <si>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</si>
  <si>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</si>
  <si>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</si>
  <si>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</si>
  <si>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</si>
  <si>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</si>
  <si>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</si>
  <si>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</si>
  <si>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</si>
  <si>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</si>
  <si>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</si>
  <si>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</si>
  <si>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</si>
  <si>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</si>
  <si>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</si>
  <si>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</si>
  <si>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</si>
  <si>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</si>
  <si>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</si>
  <si>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</si>
  <si>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</si>
  <si>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</si>
  <si>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</si>
  <si>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</si>
  <si>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</si>
  <si>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</si>
  <si>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</si>
  <si>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</si>
  <si>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</si>
  <si>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</si>
  <si>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</si>
  <si>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</si>
  <si>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</si>
  <si>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</si>
  <si>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</si>
  <si>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</si>
  <si>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</si>
  <si>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</si>
  <si>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</si>
  <si>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</si>
  <si>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</si>
  <si>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</si>
  <si>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</si>
  <si>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</si>
  <si>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</si>
  <si>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</si>
  <si>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</si>
  <si>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</si>
  <si>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</si>
  <si>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</si>
  <si>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</si>
  <si>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</si>
  <si>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</si>
  <si>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</si>
  <si>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</si>
  <si>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</si>
  <si>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</si>
  <si>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</si>
  <si>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</si>
  <si>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</si>
  <si>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</si>
  <si>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</si>
  <si>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</si>
  <si>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</si>
  <si>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</si>
  <si>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</si>
  <si>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</si>
  <si>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</si>
  <si>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</si>
  <si>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</si>
  <si>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</si>
  <si>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</si>
  <si>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</si>
  <si>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</si>
  <si>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</si>
  <si>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</si>
  <si>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</si>
  <si>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</si>
  <si>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</si>
  <si>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</si>
  <si>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</si>
  <si>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</si>
  <si>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</si>
  <si>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</si>
  <si>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</si>
  <si>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</si>
  <si>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</si>
  <si>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</si>
  <si>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</si>
  <si>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</si>
  <si>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</si>
  <si>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</si>
  <si>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</si>
  <si>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</si>
  <si>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</si>
  <si>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</si>
  <si>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</si>
  <si>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</si>
  <si>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</si>
  <si>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</si>
  <si>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</si>
  <si>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</si>
  <si>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</si>
  <si>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</si>
  <si>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</si>
  <si>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</si>
  <si>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</si>
  <si>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</si>
  <si>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</si>
  <si>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</si>
  <si>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</si>
  <si>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</si>
  <si>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</si>
  <si>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</si>
  <si>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</si>
  <si>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</si>
  <si>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</si>
  <si>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</si>
  <si>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</si>
  <si>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</si>
  <si>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</si>
  <si>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</si>
  <si>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</si>
  <si>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</si>
  <si>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</si>
  <si>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</si>
  <si>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</si>
  <si>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</si>
  <si>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</si>
  <si>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</si>
  <si>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</si>
  <si>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</si>
  <si>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</si>
  <si>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</si>
  <si>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</si>
  <si>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</si>
  <si>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</si>
  <si>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</si>
  <si>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</si>
  <si>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</si>
  <si>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</si>
  <si>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</si>
  <si>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</si>
  <si>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</si>
  <si>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</si>
  <si>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</si>
  <si>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</si>
  <si>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</si>
  <si>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</si>
  <si>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</si>
  <si>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</si>
  <si>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</si>
  <si>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</si>
  <si>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</si>
  <si>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</si>
  <si>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</si>
  <si>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</si>
  <si>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</si>
  <si>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</si>
  <si>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</si>
  <si>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</si>
  <si>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</si>
  <si>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</si>
  <si>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</si>
  <si>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</si>
  <si>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</si>
  <si>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</si>
  <si>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</si>
  <si>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</si>
  <si>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</si>
  <si>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</si>
  <si>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</si>
  <si>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</si>
  <si>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</si>
  <si>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</si>
  <si>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</si>
  <si>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</si>
  <si>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</si>
  <si>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</si>
  <si>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</si>
  <si>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</si>
  <si>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</si>
  <si>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</si>
  <si>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</si>
  <si>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</si>
  <si>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</si>
  <si>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</si>
  <si>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</si>
  <si>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</si>
  <si>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</si>
  <si>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</si>
  <si>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</si>
  <si>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</si>
  <si>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</si>
  <si>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</si>
  <si>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</si>
  <si>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</si>
  <si>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</si>
  <si>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</si>
  <si>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</si>
  <si>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</si>
  <si>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</si>
  <si>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</si>
  <si>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</si>
  <si>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</si>
  <si>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</si>
  <si>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</si>
  <si>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</si>
  <si>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</si>
  <si>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</si>
  <si>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</si>
  <si>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</si>
  <si>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</si>
  <si>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</si>
  <si>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</si>
  <si>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</si>
  <si>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</si>
  <si>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</si>
  <si>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</si>
  <si>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</si>
  <si>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</si>
  <si>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</si>
  <si>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</si>
  <si>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</si>
  <si>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</si>
  <si>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</si>
  <si>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</si>
  <si>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</si>
  <si>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</si>
  <si>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</si>
  <si>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</si>
  <si>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</si>
  <si>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</si>
  <si>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</si>
  <si>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</si>
  <si>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</si>
  <si>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</si>
  <si>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</si>
  <si>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</si>
  <si>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</si>
  <si>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</si>
  <si>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</si>
  <si>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</si>
  <si>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</si>
  <si>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</si>
  <si>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</si>
  <si>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</si>
  <si>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</si>
  <si>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</si>
  <si>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</si>
  <si>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</si>
  <si>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</si>
  <si>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</si>
  <si>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</si>
  <si>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</si>
  <si>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</si>
  <si>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</si>
  <si>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</si>
  <si>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</si>
  <si>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</si>
  <si>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</si>
  <si>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</si>
  <si>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</si>
  <si>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</si>
  <si>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</si>
  <si>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</si>
  <si>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</si>
  <si>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</si>
  <si>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</si>
  <si>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</si>
  <si>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</si>
  <si>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</si>
  <si>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</si>
  <si>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</si>
  <si>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</si>
  <si>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</si>
  <si>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</si>
  <si>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</si>
  <si>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</si>
  <si>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</si>
  <si>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</si>
  <si>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</si>
  <si>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</si>
  <si>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</si>
  <si>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</si>
  <si>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</si>
  <si>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</si>
  <si>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</si>
  <si>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</si>
  <si>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</si>
  <si>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</si>
  <si>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</si>
  <si>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</si>
  <si>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</si>
  <si>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</si>
  <si>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</si>
  <si>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</si>
  <si>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</si>
  <si>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</si>
  <si>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</si>
  <si>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</si>
  <si>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</si>
  <si>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</si>
  <si>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</si>
  <si>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</si>
  <si>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</si>
  <si>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</si>
  <si>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</si>
  <si>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</si>
  <si>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</si>
  <si>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</si>
  <si>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</si>
  <si>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</si>
  <si>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</si>
  <si>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</si>
  <si>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</si>
  <si>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</si>
  <si>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</si>
  <si>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</si>
  <si>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</si>
  <si>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</si>
  <si>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</si>
  <si>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</si>
  <si>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</si>
  <si>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</si>
  <si>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</si>
  <si>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</si>
  <si>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</si>
  <si>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</si>
  <si>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</si>
  <si>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</si>
  <si>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</si>
  <si>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</si>
  <si>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</si>
  <si>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</si>
  <si>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</si>
  <si>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</si>
  <si>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</si>
  <si>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</si>
  <si>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</si>
  <si>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</si>
  <si>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</si>
  <si>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</si>
  <si>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</si>
  <si>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</si>
  <si>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</si>
  <si>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</si>
  <si>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</si>
  <si>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</si>
  <si>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</si>
  <si>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</si>
  <si>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</si>
  <si>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</si>
  <si>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</si>
  <si>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</si>
  <si>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</si>
  <si>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</si>
  <si>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</si>
  <si>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</si>
  <si>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</si>
  <si>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</si>
  <si>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</si>
  <si>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</si>
  <si>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</si>
  <si>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</si>
  <si>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</si>
  <si>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</si>
  <si>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</si>
  <si>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</si>
  <si>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</si>
  <si>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</si>
  <si>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</si>
  <si>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</si>
  <si>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</si>
  <si>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</si>
  <si>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</si>
  <si>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</si>
  <si>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</si>
  <si>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</si>
  <si>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</si>
  <si>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</si>
  <si>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</si>
  <si>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</si>
  <si>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</si>
  <si>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</si>
  <si>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</si>
  <si>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</si>
  <si>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</si>
  <si>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</si>
  <si>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</si>
  <si>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</si>
  <si>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</si>
  <si>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</si>
  <si>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</si>
  <si>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</si>
  <si>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</si>
  <si>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</si>
  <si>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</si>
  <si>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</si>
  <si>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</si>
  <si>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</si>
  <si>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</si>
  <si>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</si>
  <si>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</si>
  <si>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</si>
  <si>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</si>
  <si>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</si>
  <si>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</si>
  <si>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</si>
  <si>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</si>
  <si>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</si>
  <si>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</si>
  <si>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</si>
  <si>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</si>
  <si>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</si>
  <si>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</si>
  <si>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</si>
  <si>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</si>
  <si>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</si>
  <si>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</si>
  <si>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</si>
  <si>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</si>
  <si>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</si>
  <si>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</si>
  <si>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</si>
  <si>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</si>
  <si>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</si>
  <si>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</si>
  <si>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</si>
  <si>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</si>
  <si>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</si>
  <si>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</si>
  <si>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</si>
  <si>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</si>
  <si>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</si>
  <si>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</si>
  <si>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</si>
  <si>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</si>
  <si>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</si>
  <si>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</si>
  <si>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</si>
  <si>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</si>
  <si>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</si>
  <si>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</si>
  <si>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</si>
  <si>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</si>
  <si>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</si>
  <si>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</si>
  <si>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</si>
  <si>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</si>
  <si>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</si>
  <si>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</si>
  <si>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</si>
  <si>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</si>
  <si>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</si>
  <si>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</si>
  <si>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</si>
  <si>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</si>
  <si>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</si>
  <si>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</si>
  <si>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</si>
  <si>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</si>
  <si>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</si>
  <si>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</si>
  <si>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</si>
  <si>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</si>
  <si>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</si>
  <si>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</si>
  <si>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</si>
  <si>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</si>
  <si>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</si>
  <si>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</si>
  <si>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</si>
  <si>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</si>
  <si>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</si>
  <si>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</si>
  <si>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</si>
  <si>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</si>
  <si>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</si>
  <si>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</si>
  <si>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</si>
  <si>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</si>
  <si>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</si>
  <si>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</si>
  <si>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</si>
  <si>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</si>
  <si>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</si>
  <si>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</si>
  <si>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</si>
  <si>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</si>
  <si>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</si>
  <si>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</si>
  <si>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</si>
  <si>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</si>
  <si>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</si>
  <si>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</si>
  <si>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</si>
  <si>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</si>
  <si>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</si>
  <si>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</si>
  <si>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</si>
  <si>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</si>
  <si>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</si>
  <si>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</si>
  <si>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</si>
  <si>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</si>
  <si>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</si>
  <si>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</si>
  <si>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</si>
  <si>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</si>
  <si>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</si>
  <si>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</si>
  <si>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</si>
  <si>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</si>
  <si>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</si>
  <si>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</si>
  <si>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</si>
  <si>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</si>
  <si>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</si>
  <si>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</si>
  <si>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</si>
  <si>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</si>
  <si>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</si>
  <si>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</si>
  <si>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</si>
  <si>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</si>
  <si>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</si>
  <si>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</si>
  <si>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</si>
  <si>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</si>
  <si>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</si>
  <si>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</si>
  <si>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</si>
  <si>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</si>
  <si>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</si>
  <si>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</si>
  <si>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</si>
  <si>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</si>
  <si>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</si>
  <si>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</si>
  <si>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</si>
  <si>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</si>
  <si>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</si>
  <si>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</si>
  <si>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</si>
  <si>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</si>
  <si>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</si>
  <si>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</si>
  <si>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</si>
  <si>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</si>
  <si>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</si>
  <si>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</si>
  <si>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</si>
  <si>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</si>
  <si>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</si>
  <si>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</si>
  <si>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</si>
  <si>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</si>
  <si>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</si>
  <si>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</si>
  <si>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</si>
  <si>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</si>
  <si>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</si>
  <si>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</si>
  <si>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</si>
  <si>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</si>
  <si>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</si>
  <si>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</si>
  <si>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</si>
  <si>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</si>
  <si>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</si>
  <si>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</si>
  <si>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</si>
  <si>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</si>
  <si>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</si>
  <si>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</si>
  <si>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</si>
  <si>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</si>
  <si>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</si>
  <si>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</si>
  <si>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</si>
  <si>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</si>
  <si>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</si>
  <si>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</si>
  <si>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</si>
  <si>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</si>
  <si>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</si>
  <si>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</si>
  <si>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</si>
  <si>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</si>
  <si>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</si>
  <si>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</si>
  <si>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</si>
  <si>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</si>
  <si>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</si>
  <si>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</si>
  <si>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</si>
  <si>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</si>
  <si>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</si>
  <si>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</si>
  <si>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</si>
  <si>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</si>
  <si>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</si>
  <si>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</si>
  <si>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</si>
  <si>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</si>
  <si>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</si>
  <si>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</si>
  <si>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</si>
  <si>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</si>
  <si>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</si>
  <si>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</si>
  <si>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</si>
  <si>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</si>
  <si>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</si>
  <si>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</si>
  <si>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</si>
  <si>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</si>
  <si>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</si>
  <si>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</si>
  <si>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</si>
  <si>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</si>
  <si>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</si>
  <si>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</si>
  <si>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</si>
  <si>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</si>
  <si>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</si>
  <si>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</si>
  <si>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</si>
  <si>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</si>
  <si>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</si>
  <si>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</si>
  <si>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</si>
  <si>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</si>
  <si>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</si>
  <si>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</si>
  <si>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</si>
  <si>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</si>
  <si>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</si>
  <si>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</si>
  <si>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</si>
  <si>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</si>
  <si>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</si>
  <si>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</si>
  <si>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</si>
  <si>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</si>
  <si>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</si>
  <si>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</si>
  <si>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</si>
  <si>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</si>
  <si>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</si>
  <si>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</si>
  <si>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</si>
  <si>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</si>
  <si>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</si>
  <si>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</si>
  <si>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</si>
  <si>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</si>
  <si>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</si>
  <si>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</si>
  <si>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</si>
  <si>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</si>
  <si>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</si>
  <si>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</si>
  <si>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</si>
  <si>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</si>
  <si>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</si>
  <si>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</si>
  <si>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</si>
  <si>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</si>
  <si>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</si>
  <si>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</si>
  <si>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</si>
  <si>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</si>
  <si>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</si>
  <si>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</si>
  <si>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</si>
  <si>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</si>
  <si>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</si>
  <si>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</si>
  <si>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</si>
  <si>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</si>
  <si>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</si>
  <si>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</si>
  <si>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</si>
  <si>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</si>
  <si>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</si>
  <si>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</si>
  <si>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</si>
  <si>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</si>
  <si>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</si>
  <si>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</si>
  <si>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</si>
  <si>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</si>
  <si>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</si>
  <si>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</si>
  <si>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</si>
  <si>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</si>
  <si>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</si>
  <si>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</si>
  <si>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</si>
  <si>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</si>
  <si>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</si>
  <si>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</si>
  <si>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</si>
  <si>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</si>
  <si>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</si>
  <si>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</si>
  <si>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</si>
  <si>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</si>
  <si>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</si>
  <si>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</si>
  <si>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</si>
  <si>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</si>
  <si>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</si>
  <si>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</si>
  <si>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</si>
  <si>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</si>
  <si>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</si>
  <si>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</si>
  <si>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</si>
  <si>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</si>
  <si>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</si>
  <si>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</si>
  <si>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</si>
  <si>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</si>
  <si>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</si>
  <si>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</si>
  <si>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</si>
  <si>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</si>
  <si>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</si>
  <si>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</si>
  <si>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</si>
  <si>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</si>
  <si>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</si>
  <si>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</si>
  <si>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</si>
  <si>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</si>
  <si>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</si>
  <si>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</si>
  <si>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</si>
  <si>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</si>
  <si>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</si>
  <si>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</si>
  <si>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</si>
  <si>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</si>
  <si>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</si>
  <si>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</si>
  <si>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</si>
  <si>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</si>
  <si>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</si>
  <si>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</si>
  <si>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</si>
  <si>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</si>
  <si>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</si>
  <si>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</si>
  <si>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</si>
  <si>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</si>
  <si>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</si>
  <si>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</si>
  <si>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</si>
  <si>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</si>
  <si>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</si>
  <si>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</si>
  <si>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</si>
  <si>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</si>
  <si>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</si>
  <si>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</si>
  <si>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</si>
  <si>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</si>
  <si>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</si>
  <si>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</si>
  <si>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</si>
  <si>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</si>
  <si>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</si>
  <si>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</si>
  <si>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</si>
  <si>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</si>
  <si>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</si>
  <si>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</si>
  <si>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</si>
  <si>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</si>
  <si>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</si>
  <si>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</si>
  <si>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</si>
  <si>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</si>
  <si>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</si>
  <si>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</si>
  <si>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</si>
  <si>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</si>
  <si>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</si>
  <si>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</si>
  <si>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</si>
  <si>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</si>
  <si>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</si>
  <si>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</si>
  <si>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</si>
  <si>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</si>
  <si>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</si>
  <si>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</si>
  <si>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</si>
  <si>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</si>
  <si>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</si>
  <si>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</si>
  <si>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</si>
  <si>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</si>
  <si>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</si>
  <si>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</si>
  <si>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</si>
  <si>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</si>
  <si>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</si>
  <si>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</si>
  <si>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</si>
  <si>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</si>
  <si>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</si>
  <si>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</si>
  <si>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</si>
  <si>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</si>
  <si>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</si>
  <si>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</si>
  <si>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</si>
  <si>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</si>
  <si>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</si>
  <si>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</si>
  <si>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</si>
  <si>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</si>
  <si>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</si>
  <si>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</si>
  <si>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</si>
  <si>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</si>
  <si>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</si>
  <si>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</si>
  <si>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</si>
  <si>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</si>
  <si>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</si>
  <si>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</si>
  <si>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</si>
  <si>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</si>
  <si>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</si>
  <si>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</si>
  <si>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</si>
  <si>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</si>
  <si>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</si>
  <si>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</si>
  <si>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</si>
  <si>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</si>
  <si>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</si>
  <si>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</si>
  <si>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</si>
  <si>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</si>
  <si>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</si>
  <si>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</si>
  <si>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</si>
  <si>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</si>
  <si>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</si>
  <si>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</si>
  <si>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</si>
  <si>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</si>
  <si>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</si>
  <si>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</si>
  <si>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</si>
  <si>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</si>
  <si>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</si>
  <si>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</si>
  <si>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</si>
  <si>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</si>
  <si>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</si>
  <si>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</si>
  <si>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</si>
  <si>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</si>
  <si>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</si>
  <si>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</si>
  <si>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</si>
  <si>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</si>
  <si>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</si>
  <si>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</si>
  <si>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</si>
  <si>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</si>
  <si>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</si>
  <si>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</si>
  <si>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</si>
  <si>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</si>
  <si>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</si>
  <si>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</si>
  <si>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</si>
  <si>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</si>
  <si>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</si>
  <si>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</si>
  <si>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</si>
  <si>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</si>
  <si>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</si>
  <si>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</si>
  <si>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</si>
  <si>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</si>
  <si>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</si>
  <si>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</si>
  <si>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</si>
  <si>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</si>
  <si>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</si>
  <si>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</si>
  <si>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</si>
  <si>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</si>
  <si>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</si>
  <si>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</si>
  <si>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</si>
  <si>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</si>
  <si>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</si>
  <si>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</si>
  <si>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</si>
  <si>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</si>
  <si>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</si>
  <si>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</si>
  <si>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</si>
  <si>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</si>
  <si>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</si>
  <si>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</si>
  <si>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</si>
  <si>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</si>
  <si>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</si>
  <si>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</si>
  <si>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</si>
  <si>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</si>
  <si>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</si>
  <si>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</si>
  <si>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</si>
  <si>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</si>
  <si>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</si>
  <si>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</si>
  <si>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</si>
  <si>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</si>
  <si>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</si>
  <si>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</si>
  <si>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</si>
  <si>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</si>
  <si>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</si>
  <si>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</si>
  <si>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</si>
  <si>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</si>
  <si>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</si>
  <si>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</si>
  <si>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</si>
  <si>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</si>
  <si>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</si>
  <si>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</si>
  <si>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</si>
  <si>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</si>
  <si>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</si>
  <si>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</si>
  <si>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</si>
  <si>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</si>
  <si>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</si>
  <si>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</si>
  <si>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</si>
  <si>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</si>
  <si>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</si>
  <si>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</si>
  <si>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</si>
  <si>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</si>
  <si>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</si>
  <si>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</si>
  <si>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</si>
  <si>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</si>
  <si>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</si>
  <si>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</si>
  <si>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</si>
  <si>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</si>
  <si>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</si>
  <si>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</si>
  <si>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</si>
  <si>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</si>
  <si>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</si>
  <si>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</si>
  <si>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</si>
  <si>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</si>
  <si>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</si>
  <si>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</si>
  <si>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</si>
  <si>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</si>
  <si>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</si>
  <si>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</si>
  <si>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</si>
  <si>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</si>
  <si>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</si>
  <si>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</si>
  <si>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</si>
  <si>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</si>
  <si>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</si>
  <si>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</si>
  <si>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</si>
  <si>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</si>
  <si>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</si>
  <si>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</si>
  <si>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</si>
  <si>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</si>
  <si>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</si>
  <si>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</si>
  <si>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</si>
  <si>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</si>
  <si>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</si>
  <si>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</si>
  <si>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</si>
  <si>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</si>
  <si>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</si>
  <si>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</si>
  <si>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</si>
  <si>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</si>
  <si>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</si>
  <si>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</si>
  <si>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</si>
  <si>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</si>
  <si>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</si>
  <si>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</si>
  <si>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</si>
  <si>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</si>
  <si>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</si>
  <si>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</si>
  <si>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</si>
  <si>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</si>
  <si>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</si>
  <si>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</si>
  <si>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</si>
  <si>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</si>
  <si>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</si>
  <si>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</si>
  <si>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</si>
  <si>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</si>
  <si>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</si>
  <si>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</si>
  <si>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</si>
  <si>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</si>
  <si>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</si>
  <si>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</si>
  <si>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</si>
  <si>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</si>
  <si>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</si>
  <si>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</si>
  <si>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</si>
  <si>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</si>
  <si>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</si>
  <si>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</si>
  <si>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</si>
  <si>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</si>
  <si>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一致</t>
  </si>
  <si>
    <t>出让</t>
  </si>
  <si>
    <t>剩余法-待开发</t>
  </si>
  <si>
    <t>土地</t>
  </si>
  <si>
    <t>项目全部</t>
  </si>
  <si>
    <t>地上商业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</si>
  <si>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</si>
  <si>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</si>
  <si>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</si>
  <si>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</si>
  <si>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</si>
  <si>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</si>
  <si>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</si>
  <si>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</si>
  <si>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</si>
  <si>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</si>
  <si>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</si>
  <si>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</si>
  <si>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</si>
  <si>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</si>
  <si>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</si>
  <si>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</si>
  <si>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</si>
  <si>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</si>
  <si>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</si>
  <si>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</si>
  <si>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</si>
  <si>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</si>
  <si>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</si>
  <si>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</si>
  <si>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</si>
  <si>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</si>
  <si>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</si>
  <si>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</si>
  <si>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</si>
  <si>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</si>
  <si>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</si>
  <si>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</si>
  <si>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</si>
  <si>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</si>
  <si>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</si>
  <si>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</si>
  <si>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</si>
  <si>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</si>
  <si>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</si>
  <si>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</si>
  <si>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</si>
  <si>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</si>
  <si>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</si>
  <si>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</si>
  <si>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</si>
  <si>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</si>
  <si>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</si>
  <si>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</si>
  <si>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</si>
  <si>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</si>
  <si>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</si>
  <si>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</si>
  <si>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</si>
  <si>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</si>
  <si>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</si>
  <si>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</si>
  <si>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</si>
  <si>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</si>
  <si>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</si>
  <si>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</si>
  <si>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</si>
  <si>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</si>
  <si>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</si>
  <si>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</si>
  <si>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</si>
  <si>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</si>
  <si>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</si>
  <si>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</si>
  <si>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</si>
  <si>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</si>
  <si>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</si>
  <si>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</si>
  <si>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</si>
  <si>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</si>
  <si>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</si>
  <si>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</si>
  <si>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</si>
  <si>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</si>
  <si>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</si>
  <si>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</si>
  <si>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</si>
  <si>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</si>
  <si>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</si>
  <si>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</si>
  <si>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</si>
  <si>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</si>
  <si>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</si>
  <si>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</si>
  <si>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</si>
  <si>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</si>
  <si>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</si>
  <si>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</si>
  <si>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</si>
  <si>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</si>
  <si>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</si>
  <si>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</si>
  <si>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</si>
  <si>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</si>
  <si>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</si>
  <si>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</si>
  <si>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</si>
  <si>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</si>
  <si>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</si>
  <si>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</si>
  <si>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</si>
  <si>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</si>
  <si>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</si>
  <si>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</si>
  <si>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</si>
  <si>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</si>
  <si>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</si>
  <si>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</si>
  <si>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</si>
  <si>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</si>
  <si>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</si>
  <si>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</si>
  <si>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</si>
  <si>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</si>
  <si>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</si>
  <si>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</si>
  <si>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</si>
  <si>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</si>
  <si>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</si>
  <si>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</si>
  <si>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</si>
  <si>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</si>
  <si>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</si>
  <si>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</si>
  <si>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</si>
  <si>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</si>
  <si>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</si>
  <si>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</si>
  <si>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</si>
  <si>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</si>
  <si>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</si>
  <si>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</si>
  <si>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</si>
  <si>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</si>
  <si>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</si>
  <si>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</si>
  <si>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</si>
  <si>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</si>
  <si>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</si>
  <si>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</si>
  <si>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</si>
  <si>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</si>
  <si>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</si>
  <si>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</si>
  <si>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</si>
  <si>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</si>
  <si>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</si>
  <si>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</si>
  <si>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</si>
  <si>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</si>
  <si>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</si>
  <si>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</si>
  <si>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</si>
  <si>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</si>
  <si>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</si>
  <si>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</si>
  <si>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</si>
  <si>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</si>
  <si>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</si>
  <si>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</si>
  <si>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</si>
  <si>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</si>
  <si>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</si>
  <si>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</si>
  <si>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</si>
  <si>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</si>
  <si>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</si>
  <si>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</si>
  <si>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</si>
  <si>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</si>
  <si>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</si>
  <si>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</si>
  <si>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</si>
  <si>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</si>
  <si>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</si>
  <si>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</si>
  <si>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</si>
  <si>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</si>
  <si>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</si>
  <si>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</si>
  <si>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</si>
  <si>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</si>
  <si>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</si>
  <si>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刘梅</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</si>
  <si>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</si>
  <si>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</si>
  <si>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</si>
  <si>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</si>
  <si>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</si>
  <si>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</si>
  <si>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</si>
  <si>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</si>
  <si>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</si>
  <si>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</si>
  <si>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</si>
  <si>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</si>
  <si>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</si>
  <si>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</si>
  <si>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</si>
  <si>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</si>
  <si>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</si>
  <si>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</si>
  <si>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</si>
  <si>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</si>
  <si>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</si>
  <si>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</si>
  <si>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</si>
  <si>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</si>
  <si>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</si>
  <si>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</si>
  <si>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</si>
  <si>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</si>
  <si>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</si>
  <si>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</si>
  <si>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</si>
  <si>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</si>
  <si>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</si>
  <si>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</si>
  <si>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</si>
  <si>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</si>
  <si>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</si>
  <si>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</si>
  <si>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</si>
  <si>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</si>
  <si>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</si>
  <si>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</si>
  <si>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</si>
  <si>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</si>
  <si>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</si>
  <si>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</si>
  <si>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</si>
  <si>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</si>
  <si>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</si>
  <si>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</si>
  <si>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</si>
  <si>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</si>
  <si>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</si>
  <si>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</si>
  <si>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</si>
  <si>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</si>
  <si>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</si>
  <si>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</si>
  <si>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</si>
  <si>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</si>
  <si>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</si>
  <si>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</si>
  <si>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</si>
  <si>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</si>
  <si>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</si>
  <si>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</si>
  <si>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</si>
  <si>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</si>
  <si>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底商</t>
    <phoneticPr fontId="7" type="noConversion"/>
  </si>
  <si>
    <t>商业街商铺</t>
  </si>
  <si>
    <t>商业街商铺</t>
    <phoneticPr fontId="7" type="noConversion"/>
  </si>
  <si>
    <t>办公</t>
    <phoneticPr fontId="7" type="noConversion"/>
  </si>
  <si>
    <t>地库</t>
  </si>
  <si>
    <t>地库</t>
    <phoneticPr fontId="7" type="noConversion"/>
  </si>
  <si>
    <t>*</t>
  </si>
  <si>
    <t>底商</t>
    <phoneticPr fontId="21" type="noConversion"/>
  </si>
  <si>
    <t>地下商业</t>
    <phoneticPr fontId="21" type="noConversion"/>
  </si>
  <si>
    <t>类别</t>
  </si>
  <si>
    <t>项目类型</t>
  </si>
  <si>
    <t>（分摊）土地面积</t>
  </si>
  <si>
    <t>规划建筑面积</t>
  </si>
  <si>
    <t>经营性</t>
  </si>
  <si>
    <t>卸货场</t>
  </si>
  <si>
    <t>地下商业</t>
  </si>
  <si>
    <t>B地块</t>
    <phoneticPr fontId="233" type="noConversion"/>
  </si>
  <si>
    <t>C地块</t>
    <phoneticPr fontId="233" type="noConversion"/>
  </si>
  <si>
    <t>土地面积</t>
    <phoneticPr fontId="233" type="noConversion"/>
  </si>
  <si>
    <t>不计容</t>
    <phoneticPr fontId="233" type="noConversion"/>
  </si>
  <si>
    <t>办公底商</t>
  </si>
  <si>
    <t>按租金收入计税</t>
  </si>
  <si>
    <t>商业楼</t>
  </si>
  <si>
    <t>商业楼</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</si>
</sst>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196" fillId="0" borderId="156" xfId="0" applyFont="1" applyBorder="1" applyAlignment="1">
      <alignment vertical="center" wrapText="1"/>
    </xf>
    <xf numFmtId="0" fontId="196" fillId="0" borderId="154" xfId="0" applyFont="1" applyBorder="1" applyAlignment="1">
      <alignment vertical="center" wrapText="1"/>
    </xf>
    <xf numFmtId="0" fontId="287" fillId="0" borderId="156" xfId="0" applyFont="1" applyBorder="1" applyAlignment="1">
      <alignment vertical="center" wrapText="1"/>
    </xf>
    <xf numFmtId="0" fontId="76" fillId="17" borderId="8" xfId="0" applyFont="1" applyFill="1" applyBorder="1" applyAlignment="1" applyProtection="1">
      <alignment horizontal="left" vertical="center"/>
      <protection locked="0"/>
    </xf>
    <xf numFmtId="9" fontId="71" fillId="17" borderId="5" xfId="0"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0" fontId="71" fillId="17" borderId="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6" fillId="17" borderId="26" xfId="0" applyNumberFormat="1" applyFont="1" applyFill="1" applyBorder="1" applyAlignment="1" applyProtection="1">
      <alignment horizontal="center" vertical="center" wrapText="1"/>
    </xf>
    <xf numFmtId="0" fontId="269" fillId="17" borderId="105" xfId="0" applyNumberFormat="1" applyFont="1" applyFill="1" applyBorder="1" applyAlignment="1" applyProtection="1">
      <alignment horizontal="center" vertical="center" wrapText="1"/>
      <protection locked="0"/>
    </xf>
    <xf numFmtId="182" fontId="71" fillId="17" borderId="12" xfId="0" applyNumberFormat="1" applyFont="1" applyFill="1" applyBorder="1" applyAlignment="1" applyProtection="1">
      <alignment vertical="center"/>
      <protection locked="0"/>
    </xf>
    <xf numFmtId="182" fontId="71" fillId="17" borderId="2" xfId="0" applyNumberFormat="1" applyFont="1" applyFill="1" applyBorder="1" applyAlignment="1" applyProtection="1">
      <alignment horizontal="center" vertical="center"/>
      <protection locked="0"/>
    </xf>
    <xf numFmtId="177" fontId="11" fillId="17" borderId="2" xfId="0" applyNumberFormat="1" applyFont="1" applyFill="1" applyBorder="1" applyAlignment="1" applyProtection="1">
      <alignment vertical="center" wrapText="1"/>
      <protection locked="0"/>
    </xf>
    <xf numFmtId="177" fontId="11" fillId="17" borderId="2"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6" fillId="0" borderId="158" xfId="0" applyFont="1" applyBorder="1" applyAlignment="1">
      <alignment vertical="center" wrapText="1"/>
    </xf>
    <xf numFmtId="0" fontId="196" fillId="0" borderId="155" xfId="0" applyFont="1" applyBorder="1" applyAlignment="1">
      <alignment vertical="center" wrapText="1"/>
    </xf>
    <xf numFmtId="0" fontId="145" fillId="0" borderId="159" xfId="0" applyFont="1" applyBorder="1" applyAlignment="1">
      <alignment horizontal="center" vertical="center"/>
    </xf>
    <xf numFmtId="0" fontId="0" fillId="0" borderId="159" xfId="0" applyBorder="1" applyAlignment="1">
      <alignment horizontal="center" vertical="center"/>
    </xf>
    <xf numFmtId="0" fontId="196" fillId="0" borderId="153" xfId="0" applyFont="1" applyBorder="1" applyAlignment="1">
      <alignment vertical="center" wrapText="1"/>
    </xf>
    <xf numFmtId="0" fontId="196" fillId="0" borderId="154" xfId="0" applyFont="1" applyBorder="1" applyAlignment="1">
      <alignment vertical="center" wrapText="1"/>
    </xf>
    <xf numFmtId="0" fontId="196" fillId="0" borderId="157" xfId="0" applyFont="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0</xdr:colOff>
      <xdr:row>17</xdr:row>
      <xdr:rowOff>85725</xdr:rowOff>
    </xdr:from>
    <xdr:to>
      <xdr:col>6</xdr:col>
      <xdr:colOff>647105</xdr:colOff>
      <xdr:row>32</xdr:row>
      <xdr:rowOff>56832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00375"/>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#N/A</v>
      </c>
      <c r="C2" s="3180" t="s">
        <v>2979</v>
      </c>
      <c r="D2" s="3181" t="e">
        <f ca="1">C40+J29+L46</f>
        <v>#N/A</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0</v>
      </c>
      <c r="D5" s="3200" t="s">
        <v>2994</v>
      </c>
      <c r="E5" s="3201"/>
      <c r="F5" s="3202"/>
      <c r="G5" s="3196"/>
      <c r="H5" s="3197">
        <v>1</v>
      </c>
      <c r="I5" s="3198" t="s">
        <v>2993</v>
      </c>
      <c r="J5" s="3199">
        <f ca="1">J6+J10+J12</f>
        <v>0</v>
      </c>
      <c r="K5" s="3200" t="s">
        <v>2994</v>
      </c>
      <c r="L5" s="3201"/>
      <c r="M5" s="3202"/>
    </row>
    <row r="6" spans="1:37" ht="18" customHeight="1">
      <c r="A6" s="3203" t="s">
        <v>2995</v>
      </c>
      <c r="B6" s="3572" t="s">
        <v>2996</v>
      </c>
      <c r="C6" s="3204">
        <f ca="1">ROUND(F6*F8*F7*(1-F9),0)</f>
        <v>0</v>
      </c>
      <c r="D6" s="3205" t="s">
        <v>2997</v>
      </c>
      <c r="E6" s="3206" t="s">
        <v>2998</v>
      </c>
      <c r="F6" s="3207">
        <f ca="1">INDIRECT("'数据-取费表'!u"&amp;$G$1)</f>
        <v>0</v>
      </c>
      <c r="G6" s="3196"/>
      <c r="H6" s="3203" t="s">
        <v>2995</v>
      </c>
      <c r="I6" s="3572" t="s">
        <v>2996</v>
      </c>
      <c r="J6" s="3208">
        <f ca="1">ROUND(M6*M8*M7*(1-M9),0)</f>
        <v>0</v>
      </c>
      <c r="K6" s="3209" t="s">
        <v>2999</v>
      </c>
      <c r="L6" s="3206" t="s">
        <v>2998</v>
      </c>
      <c r="M6" s="3207">
        <f ca="1">INDIRECT("'数据-取费表'!z"&amp;$G$1)</f>
        <v>0</v>
      </c>
    </row>
    <row r="7" spans="1:37" ht="18" customHeight="1">
      <c r="A7" s="3210"/>
      <c r="B7" s="3573"/>
      <c r="C7" s="3211"/>
      <c r="D7" s="3212"/>
      <c r="E7" s="3213" t="s">
        <v>3000</v>
      </c>
      <c r="F7" s="3207">
        <f ca="1">IF(INDIRECT("'数据-取费表'!ah"&amp;$G$1)="",INDIRECT("'数据-取费表'!k"&amp;$G$1),INDIRECT("'数据-取费表'!ah"&amp;$G$1))</f>
        <v>807</v>
      </c>
      <c r="G7" s="3196"/>
      <c r="H7" s="3214"/>
      <c r="I7" s="3573"/>
      <c r="J7" s="3215"/>
      <c r="K7" s="3212"/>
      <c r="L7" s="3206" t="s">
        <v>3000</v>
      </c>
      <c r="M7" s="3207">
        <f ca="1">F7</f>
        <v>807</v>
      </c>
    </row>
    <row r="8" spans="1:37" ht="18" customHeight="1">
      <c r="A8" s="3214"/>
      <c r="B8" s="3573"/>
      <c r="C8" s="3215"/>
      <c r="D8" s="3212"/>
      <c r="E8" s="3206" t="s">
        <v>3001</v>
      </c>
      <c r="F8" s="3207">
        <f ca="1">INDIRECT("'数据-取费表'!ai"&amp;$G$1)</f>
        <v>365</v>
      </c>
      <c r="G8" s="3196"/>
      <c r="H8" s="3214"/>
      <c r="I8" s="3573"/>
      <c r="J8" s="3215"/>
      <c r="K8" s="3212"/>
      <c r="L8" s="3206" t="s">
        <v>3001</v>
      </c>
      <c r="M8" s="3207">
        <f ca="1">INDIRECT("'数据-取费表'!ai"&amp;$G$1)</f>
        <v>365</v>
      </c>
    </row>
    <row r="9" spans="1:37" ht="18" customHeight="1">
      <c r="A9" s="3214"/>
      <c r="B9" s="3574"/>
      <c r="C9" s="3215"/>
      <c r="D9" s="3212"/>
      <c r="E9" s="3206" t="s">
        <v>3002</v>
      </c>
      <c r="F9" s="3216">
        <f ca="1">INDIRECT("'数据-取费表'!w"&amp;$G$1)</f>
        <v>0</v>
      </c>
      <c r="G9" s="3196"/>
      <c r="H9" s="3214"/>
      <c r="I9" s="3574"/>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3026250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2421000</v>
      </c>
      <c r="D14" s="3249" t="s">
        <v>3018</v>
      </c>
      <c r="E14" s="3250"/>
      <c r="F14" s="3251"/>
      <c r="G14" s="3196"/>
      <c r="H14" s="3247" t="s">
        <v>3019</v>
      </c>
      <c r="I14" s="3206" t="s">
        <v>3020</v>
      </c>
      <c r="J14" s="3252">
        <f ca="1">C29</f>
        <v>3026250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70815</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25421</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2421000</v>
      </c>
      <c r="D19" s="3270" t="s">
        <v>3044</v>
      </c>
      <c r="E19" s="3271"/>
      <c r="F19" s="3267"/>
      <c r="G19" s="3196"/>
      <c r="H19" s="3247" t="s">
        <v>3021</v>
      </c>
      <c r="I19" s="3206" t="s">
        <v>3045</v>
      </c>
      <c r="J19" s="3252">
        <f ca="1">IF(K19="按租金收入计税",ROUND(J5*M19,0),ROUND(C29*M19*0.7,0))</f>
        <v>25421</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130.85</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45394</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-70815</v>
      </c>
      <c r="K25" s="3288" t="s">
        <v>3074</v>
      </c>
      <c r="L25" s="3289"/>
      <c r="M25" s="3290"/>
    </row>
    <row r="26" spans="1:37" ht="18" customHeight="1">
      <c r="A26" s="3247" t="s">
        <v>3016</v>
      </c>
      <c r="B26" s="3206" t="s">
        <v>3075</v>
      </c>
      <c r="C26" s="3252">
        <f ca="1">ROUND((C19+C20)*F26,0)</f>
        <v>605250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3026250</v>
      </c>
      <c r="D29" s="3286"/>
      <c r="E29" s="3234"/>
      <c r="F29" s="3295"/>
      <c r="G29" s="3258"/>
      <c r="H29" s="3296" t="s">
        <v>3092</v>
      </c>
      <c r="I29" s="3297" t="s">
        <v>3093</v>
      </c>
      <c r="J29" s="3298" t="e">
        <f ca="1">ROUND(J26/(1+F40)^F41,0)</f>
        <v>#N/A</v>
      </c>
      <c r="K29" s="3299" t="s">
        <v>3094</v>
      </c>
      <c r="L29" s="3300"/>
      <c r="M29" s="3301">
        <f ca="1">INDIRECT("'数据-取费表'!k"&amp;$G$1)</f>
        <v>807</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75354</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25421</v>
      </c>
      <c r="D31" s="3249" t="s">
        <v>3037</v>
      </c>
      <c r="E31" s="3268" t="s">
        <v>3038</v>
      </c>
      <c r="F31" s="3269">
        <f ca="1">IF([1]项目基本情况!B11="企业","",IF(INDIRECT("'数据-取费表'!c"&amp;$G$1)="住宅",5%,IF(F6*F7*F8/12/(1+'[1]数据-取费表'!C42)&gt;20000,12%,7%)))</f>
        <v>7.0000000000000007E-2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25421</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130.85</v>
      </c>
      <c r="G35" s="3196"/>
      <c r="H35" s="3302"/>
      <c r="I35" s="3308"/>
      <c r="J35" s="3309"/>
      <c r="K35" s="3310"/>
      <c r="L35" s="3307"/>
      <c r="M35" s="3307"/>
    </row>
    <row r="36" spans="1:18" ht="18" customHeight="1">
      <c r="A36" s="3315" t="s">
        <v>3003</v>
      </c>
      <c r="B36" s="3206" t="s">
        <v>3059</v>
      </c>
      <c r="C36" s="3252">
        <f ca="1">ROUND(C29*F36,0)</f>
        <v>45394</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4539</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0</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-75354</v>
      </c>
      <c r="D39" s="3288" t="s">
        <v>3074</v>
      </c>
      <c r="E39" s="3289"/>
      <c r="F39" s="3290"/>
      <c r="G39" s="3196"/>
      <c r="H39" s="3307"/>
      <c r="I39" s="3308"/>
      <c r="J39" s="3309"/>
      <c r="K39" s="3317"/>
      <c r="L39" s="3307"/>
      <c r="M39" s="3307"/>
    </row>
    <row r="40" spans="1:18" ht="18" customHeight="1">
      <c r="A40" s="3197" t="s">
        <v>3078</v>
      </c>
      <c r="B40" s="3198" t="s">
        <v>3099</v>
      </c>
      <c r="C40" s="3208" t="e">
        <f ca="1">ROUND(C39*(1-((1+F42)/(1+F40))^F41)/(F40-F42),0)</f>
        <v>#N/A</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t="e">
        <f ca="1">IF(INDIRECT("'数据-取费表'!af"&amp;$G$1)=0,INDIRECT("'数据-取费表'!ae"&amp;$G$1),INDIRECT("'数据-取费表'!af"&amp;$G$1))</f>
        <v>#N/A</v>
      </c>
      <c r="G41" s="3196"/>
      <c r="H41" s="3319"/>
      <c r="I41" s="3308"/>
      <c r="J41" s="3309"/>
      <c r="K41" s="3316"/>
      <c r="L41" s="3319"/>
      <c r="M41" s="3319"/>
    </row>
    <row r="42" spans="1:18" ht="18" customHeight="1">
      <c r="A42" s="3224"/>
      <c r="B42" s="3294"/>
      <c r="C42" s="3240"/>
      <c r="D42" s="3280"/>
      <c r="E42" s="3206" t="s">
        <v>3089</v>
      </c>
      <c r="F42" s="3216">
        <f ca="1">INDIRECT("'数据-取费表'!v"&amp;$G$1)</f>
        <v>0</v>
      </c>
      <c r="G42" s="3196"/>
      <c r="H42" s="3319"/>
      <c r="I42" s="3308"/>
      <c r="J42" s="3309"/>
      <c r="K42" s="3316"/>
      <c r="L42" s="3319"/>
      <c r="M42" s="3319"/>
    </row>
    <row r="43" spans="1:18" ht="18" customHeight="1" thickBot="1">
      <c r="A43" s="3296" t="s">
        <v>3092</v>
      </c>
      <c r="B43" s="3297" t="s">
        <v>3100</v>
      </c>
      <c r="C43" s="3298" t="e">
        <f ca="1">ROUND(C40/F43,0)</f>
        <v>#N/A</v>
      </c>
      <c r="D43" s="3299" t="s">
        <v>3101</v>
      </c>
      <c r="E43" s="3300" t="s">
        <v>3102</v>
      </c>
      <c r="F43" s="3301">
        <f ca="1">INDIRECT("'数据-取费表'!k"&amp;$G$1)</f>
        <v>807</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t="e">
        <f ca="1">C68-C40</f>
        <v>#N/A</v>
      </c>
      <c r="D45" s="3324" t="s">
        <v>3103</v>
      </c>
      <c r="E45" s="3320"/>
      <c r="F45" s="3320"/>
      <c r="O45" s="3325" t="s">
        <v>3104</v>
      </c>
      <c r="P45" s="3318"/>
      <c r="Q45" s="3318"/>
      <c r="R45" s="3318"/>
    </row>
    <row r="46" spans="1:18" s="3187" customFormat="1" ht="13.5" thickBot="1">
      <c r="A46" s="3326" t="s">
        <v>3105</v>
      </c>
      <c r="C46" s="3327" t="e">
        <f ca="1">ROUND(C45/10000,0)</f>
        <v>#N/A</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t="e">
        <f ca="1">C40+J29</f>
        <v>#N/A</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35.76</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3026250</v>
      </c>
      <c r="R49" s="3348" t="s">
        <v>3114</v>
      </c>
    </row>
    <row r="50" spans="1:18" s="3187" customFormat="1" ht="13.5" thickBot="1">
      <c r="A50" s="3369"/>
      <c r="B50" s="3370"/>
      <c r="C50" s="3371"/>
      <c r="D50" s="3372"/>
      <c r="E50" s="3373" t="s">
        <v>3000</v>
      </c>
      <c r="F50" s="3374">
        <f ca="1">F7</f>
        <v>807</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-5489712</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75" t="s">
        <v>3140</v>
      </c>
      <c r="L53" s="3576"/>
      <c r="O53" s="3346" t="s">
        <v>2393</v>
      </c>
      <c r="P53" s="3347" t="s">
        <v>3141</v>
      </c>
      <c r="Q53" s="3348" t="e">
        <f ca="1">Q47+Q48</f>
        <v>#N/A</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3026250</v>
      </c>
      <c r="D56" s="3403"/>
      <c r="E56" s="3404"/>
      <c r="F56" s="3393"/>
      <c r="I56" s="3405" t="s">
        <v>3145</v>
      </c>
      <c r="J56" s="3406"/>
      <c r="K56" s="3355" t="s">
        <v>3146</v>
      </c>
      <c r="L56" s="3358">
        <f ca="1">IF(L48&lt;J51,"——",L48-J51)</f>
        <v>35.76</v>
      </c>
      <c r="O56" s="3346" t="s">
        <v>2381</v>
      </c>
      <c r="P56" s="3347" t="s">
        <v>3113</v>
      </c>
      <c r="Q56" s="3348" t="e">
        <f ca="1">C40+J29</f>
        <v>#N/A</v>
      </c>
      <c r="R56" s="3348" t="s">
        <v>3114</v>
      </c>
    </row>
    <row r="57" spans="1:18" s="3187" customFormat="1" ht="24.75" thickBot="1">
      <c r="A57" s="3407"/>
      <c r="B57" s="3408" t="s">
        <v>3091</v>
      </c>
      <c r="C57" s="3409">
        <f ca="1">C29</f>
        <v>3026250</v>
      </c>
      <c r="D57" s="3410"/>
      <c r="E57" s="3411"/>
      <c r="F57" s="3412"/>
      <c r="I57" s="3413" t="s">
        <v>3147</v>
      </c>
      <c r="J57" s="3414" t="str">
        <f ca="1">IF(OR(M47="住宅",J51&lt;L48,J56="是"),"——",J51-L48)</f>
        <v>——</v>
      </c>
      <c r="K57" s="3355" t="s">
        <v>3148</v>
      </c>
      <c r="L57" s="3358">
        <f ca="1">IF(L48&lt;J51,"——",IF(L55="比较法",L49,IF(L55="基准地价",L50,L51)))</f>
        <v>-5489712</v>
      </c>
      <c r="O57" s="3346" t="s">
        <v>2383</v>
      </c>
      <c r="P57" s="3347" t="s">
        <v>3149</v>
      </c>
      <c r="Q57" s="3348" t="e">
        <f ca="1">L60</f>
        <v>#DIV/0!</v>
      </c>
      <c r="R57" s="3348" t="s">
        <v>3150</v>
      </c>
    </row>
    <row r="58" spans="1:18" s="3187" customFormat="1" ht="24.75" thickBot="1">
      <c r="A58" s="3415" t="s">
        <v>3095</v>
      </c>
      <c r="B58" s="3401" t="s">
        <v>3030</v>
      </c>
      <c r="C58" s="3220">
        <f ca="1">ROUND(C59+C64+C65+C66,0)</f>
        <v>75354</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25421</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25421</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#N/A</v>
      </c>
      <c r="R62" s="3348" t="s">
        <v>2394</v>
      </c>
    </row>
    <row r="63" spans="1:18" s="3187" customFormat="1" ht="13.5" thickBot="1">
      <c r="A63" s="3277"/>
      <c r="B63" s="3430"/>
      <c r="C63" s="3279"/>
      <c r="D63" s="3431"/>
      <c r="E63" s="3408" t="s">
        <v>3056</v>
      </c>
      <c r="F63" s="3207">
        <f t="shared" ca="1" si="0"/>
        <v>130.85</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45394</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4539</v>
      </c>
      <c r="D65" s="3420" t="s">
        <v>3064</v>
      </c>
      <c r="E65" s="3408" t="s">
        <v>3024</v>
      </c>
      <c r="F65" s="3283">
        <f t="shared" ca="1" si="0"/>
        <v>1.5E-3</v>
      </c>
      <c r="I65" s="3427" t="s">
        <v>3172</v>
      </c>
      <c r="J65" s="3428">
        <v>40</v>
      </c>
      <c r="K65" s="3428">
        <v>30</v>
      </c>
      <c r="L65" s="3428">
        <v>50</v>
      </c>
      <c r="M65" s="3432">
        <v>0.02</v>
      </c>
      <c r="O65" s="3346" t="s">
        <v>2381</v>
      </c>
      <c r="P65" s="3347" t="s">
        <v>3113</v>
      </c>
      <c r="Q65" s="3348" t="e">
        <f ca="1">C40+J29</f>
        <v>#N/A</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-75354</v>
      </c>
      <c r="D67" s="3419" t="s">
        <v>3074</v>
      </c>
      <c r="E67" s="3434"/>
      <c r="F67" s="3435"/>
      <c r="O67" s="3368" t="s">
        <v>2385</v>
      </c>
      <c r="P67" s="3347" t="s">
        <v>3153</v>
      </c>
      <c r="Q67" s="3436">
        <f ca="1">L51</f>
        <v>-5489712</v>
      </c>
      <c r="R67" s="3348" t="s">
        <v>3175</v>
      </c>
    </row>
    <row r="68" spans="1:18" s="3187" customFormat="1" ht="16.5" thickBot="1">
      <c r="A68" s="3437" t="s">
        <v>3078</v>
      </c>
      <c r="B68" s="3438" t="s">
        <v>3099</v>
      </c>
      <c r="C68" s="3208" t="e">
        <f ca="1">ROUND(C67*(1-((1+F70)/(1+F68))^F69)/(F68-F70),0)</f>
        <v>#N/A</v>
      </c>
      <c r="D68" s="3426" t="s">
        <v>3080</v>
      </c>
      <c r="E68" s="3408" t="s">
        <v>3081</v>
      </c>
      <c r="F68" s="3216">
        <f ca="1">F40</f>
        <v>5.5E-2</v>
      </c>
      <c r="O68" s="3368" t="s">
        <v>2386</v>
      </c>
      <c r="P68" s="3439" t="s">
        <v>3176</v>
      </c>
      <c r="Q68" s="3348">
        <f ca="1">ROUND(Q69-Q70*Q71,0)</f>
        <v>-332585</v>
      </c>
      <c r="R68" s="3348" t="s">
        <v>3177</v>
      </c>
    </row>
    <row r="69" spans="1:18" s="3187" customFormat="1" ht="13.5" thickBot="1">
      <c r="A69" s="3440"/>
      <c r="B69" s="3441"/>
      <c r="C69" s="3215"/>
      <c r="D69" s="3442" t="s">
        <v>3084</v>
      </c>
      <c r="E69" s="3408" t="s">
        <v>3085</v>
      </c>
      <c r="F69" s="3293" t="e">
        <f ca="1">F41</f>
        <v>#N/A</v>
      </c>
      <c r="O69" s="3368" t="s">
        <v>2401</v>
      </c>
      <c r="P69" s="3439" t="s">
        <v>3178</v>
      </c>
      <c r="Q69" s="3348">
        <f ca="1">C39</f>
        <v>-75354</v>
      </c>
      <c r="R69" s="3348" t="s">
        <v>3114</v>
      </c>
    </row>
    <row r="70" spans="1:18" s="3187" customFormat="1" ht="13.5" thickBot="1">
      <c r="A70" s="3443"/>
      <c r="B70" s="3444"/>
      <c r="C70" s="3240"/>
      <c r="D70" s="3431"/>
      <c r="E70" s="3408" t="s">
        <v>3089</v>
      </c>
      <c r="F70" s="3385">
        <f ca="1">F42</f>
        <v>0</v>
      </c>
      <c r="O70" s="3368" t="s">
        <v>2403</v>
      </c>
      <c r="P70" s="3439" t="s">
        <v>3179</v>
      </c>
      <c r="Q70" s="3348">
        <f ca="1">C13</f>
        <v>3026250</v>
      </c>
      <c r="R70" s="3348" t="s">
        <v>3114</v>
      </c>
    </row>
    <row r="71" spans="1:18" s="3187" customFormat="1" ht="13.5" thickBot="1">
      <c r="A71" s="3445" t="s">
        <v>3092</v>
      </c>
      <c r="B71" s="3446" t="s">
        <v>3100</v>
      </c>
      <c r="C71" s="3298" t="e">
        <f ca="1">ROUND(C68/F71,0)</f>
        <v>#N/A</v>
      </c>
      <c r="D71" s="3447" t="s">
        <v>3101</v>
      </c>
      <c r="E71" s="3448" t="s">
        <v>3102</v>
      </c>
      <c r="F71" s="3301">
        <f ca="1">F43</f>
        <v>807</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257231</v>
      </c>
      <c r="D75" s="3187"/>
      <c r="E75" s="3187"/>
      <c r="F75" s="3187"/>
      <c r="K75" s="3322"/>
      <c r="L75" s="3187"/>
      <c r="O75" s="3346" t="s">
        <v>2393</v>
      </c>
      <c r="P75" s="3347" t="s">
        <v>3141</v>
      </c>
      <c r="Q75" s="3348" t="e">
        <f ca="1">Q65+Q66</f>
        <v>#N/A</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4.4139999999999997</v>
      </c>
    </row>
    <row r="80" spans="1:18">
      <c r="B80" s="3453" t="s">
        <v>3188</v>
      </c>
      <c r="C80" s="3461">
        <f ca="1">ROUND(C75/C39,3)</f>
        <v>-3.4140000000000001</v>
      </c>
    </row>
    <row r="81" spans="2:3">
      <c r="B81" s="3459" t="s">
        <v>3189</v>
      </c>
      <c r="C81" s="3409"/>
    </row>
    <row r="82" spans="2:3">
      <c r="B82" s="3451" t="s">
        <v>3190</v>
      </c>
      <c r="C82" s="3462" t="e">
        <f ca="1">1-C83</f>
        <v>#N/A</v>
      </c>
    </row>
    <row r="83" spans="2:3">
      <c r="B83" s="3451" t="s">
        <v>3191</v>
      </c>
      <c r="C83" s="3461" t="e">
        <f ca="1">ROUND(C13/C40,3)</f>
        <v>#N/A</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7" t="s">
        <v>3312</v>
      </c>
      <c r="C15" s="1546"/>
    </row>
    <row r="16" spans="1:23">
      <c r="A16" s="8" t="s">
        <v>117</v>
      </c>
      <c r="B16" s="3487" t="s">
        <v>3313</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604"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c r="D53" s="1760"/>
      <c r="E53" s="1760"/>
    </row>
    <row r="54" spans="1:5">
      <c r="A54" s="3604"/>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604"/>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604"/>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604"/>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58" sqref="I58"/>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07" t="str">
        <f>IF(B10="北京市","北京市",C10)&amp;F10&amp;B16&amp;"国有建设用地使用权"&amp;B9&amp;"预评估"</f>
        <v>出让国有建设用地使用权抵押价格预评估</v>
      </c>
      <c r="C1" s="3608"/>
      <c r="D1" s="3608"/>
      <c r="E1" s="3608"/>
      <c r="F1" s="3608"/>
      <c r="G1" s="3608"/>
      <c r="H1" s="3608"/>
      <c r="I1" s="3609"/>
      <c r="J1" s="1685"/>
      <c r="K1" s="2470"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0"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43271</v>
      </c>
      <c r="C3" s="1654" t="s">
        <v>1996</v>
      </c>
      <c r="D3" s="1653">
        <f>B3</f>
        <v>43271</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3405</v>
      </c>
      <c r="C4" s="1837">
        <f ca="1">SUMIF(土地估价师,B4,估价师及机构信息!E3:E24)</f>
        <v>2002110125</v>
      </c>
      <c r="D4" s="1834" t="s">
        <v>3406</v>
      </c>
      <c r="E4" s="1837">
        <f ca="1">SUMIF(土地估价师,D4,估价师及机构信息!E3:E24)</f>
        <v>2008110059</v>
      </c>
      <c r="F4" s="1834" t="s">
        <v>952</v>
      </c>
      <c r="G4" s="1837">
        <f>SUMIF(土地估价师,F4,估价师及机构信息!E3:E24)</f>
        <v>0</v>
      </c>
      <c r="H4" s="1834" t="s">
        <v>952</v>
      </c>
      <c r="I4" s="1837">
        <f>SUMIF(土地估价师,H4,估价师及机构信息!E3:E24)</f>
        <v>0</v>
      </c>
      <c r="J4" s="1685"/>
      <c r="K4" s="2470" t="str">
        <f>IF(AND(F4="——",H4="——"),B4&amp;"、"&amp;D4,IF(AND(F4&lt;&gt;"——",H4="——"),B4&amp;"、"&amp;D4&amp;"、"&amp;F4,B4&amp;"、"&amp;D4&amp;"、"&amp;F4&amp;"、"&amp;H4))</f>
        <v>吴薇、刘梅</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13" t="s">
        <v>1945</v>
      </c>
      <c r="E8" s="1835"/>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14"/>
      <c r="E9" s="1665"/>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3468</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10"/>
      <c r="C12" s="3611"/>
      <c r="D12" s="3612"/>
      <c r="E12" s="1690" t="s">
        <v>2062</v>
      </c>
      <c r="F12" s="3628" t="s">
        <v>2893</v>
      </c>
      <c r="G12" s="3629"/>
      <c r="H12" s="3629"/>
      <c r="I12" s="3630"/>
      <c r="J12" s="1685"/>
      <c r="K12" s="1765"/>
      <c r="L12" s="1714"/>
      <c r="M12" s="1714"/>
      <c r="N12" s="1685"/>
      <c r="O12" s="1686"/>
      <c r="P12" s="1685"/>
      <c r="Q12" s="1685"/>
      <c r="R12" s="1685"/>
      <c r="S12" s="1685"/>
      <c r="T12" s="1685"/>
      <c r="U12" s="1685"/>
    </row>
    <row r="13" spans="1:21">
      <c r="A13" s="1678" t="s">
        <v>2060</v>
      </c>
      <c r="B13" s="3610"/>
      <c r="C13" s="3611"/>
      <c r="D13" s="3612"/>
      <c r="E13" s="1690" t="s">
        <v>2062</v>
      </c>
      <c r="F13" s="3628" t="s">
        <v>2894</v>
      </c>
      <c r="G13" s="3629"/>
      <c r="H13" s="3629"/>
      <c r="I13" s="3630"/>
      <c r="J13" s="1685"/>
      <c r="K13" s="1765"/>
      <c r="L13" s="1714"/>
      <c r="M13" s="1714"/>
      <c r="N13" s="1685"/>
      <c r="O13" s="1686"/>
      <c r="P13" s="1685"/>
      <c r="Q13" s="1685"/>
      <c r="R13" s="1685"/>
      <c r="S13" s="1685"/>
      <c r="T13" s="1685"/>
      <c r="U13" s="1685"/>
    </row>
    <row r="14" spans="1:21">
      <c r="A14" s="1652" t="s">
        <v>2063</v>
      </c>
      <c r="B14" s="1690"/>
      <c r="C14" s="1836" t="s">
        <v>3213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1"/>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3214</v>
      </c>
      <c r="C16" s="1690" t="s">
        <v>1949</v>
      </c>
      <c r="D16" s="2662" t="s">
        <v>1950</v>
      </c>
      <c r="E16" s="1713" t="s">
        <v>3194</v>
      </c>
      <c r="F16" s="1713" t="s">
        <v>1678</v>
      </c>
      <c r="G16" s="1713" t="s">
        <v>35</v>
      </c>
      <c r="H16" s="1713"/>
      <c r="I16" s="1677" t="s">
        <v>1955</v>
      </c>
      <c r="J16" s="1685"/>
      <c r="K16" s="2471" t="str">
        <f>IF(D17="","",D16&amp;TEXT(D17,"yyyy年m月d日;;"))</f>
        <v>住宅2084年3月19日</v>
      </c>
      <c r="L16" s="1690" t="str">
        <f>IF(OR(K16="",M16=""),"","、")</f>
        <v>、</v>
      </c>
      <c r="M16" s="2471" t="str">
        <f>IF(E17="","",E16&amp;TEXT(E17,"yyyy年m月d日;;"))</f>
        <v>商业2054年3月19日</v>
      </c>
      <c r="N16" s="1690" t="str">
        <f>IF(OR(M16="",O16=""),"","、")</f>
        <v>、</v>
      </c>
      <c r="O16" s="2471" t="str">
        <f>IF(F17="","",F16&amp;TEXT(F17,"yyyy年m月d日;;"))</f>
        <v>办公2054年3月19日</v>
      </c>
      <c r="P16" s="1690" t="str">
        <f>IF(OR(O16="",Q16=""),"","、")</f>
        <v>、</v>
      </c>
      <c r="Q16" s="2471" t="str">
        <f>IF(G17="","",G16&amp;TEXT(G17,"yyyy年m月d日;;"))</f>
        <v>地下车库2064年3月19日</v>
      </c>
      <c r="R16" s="1690" t="str">
        <f>IF(OR(Q16="",S16=""),"","、")</f>
        <v/>
      </c>
      <c r="S16" s="2471" t="str">
        <f>IF(H17="","",H16&amp;TEXT(H17,"yyyy年m月d日;;"))</f>
        <v/>
      </c>
      <c r="T16" s="1690" t="str">
        <f>IF(OR(S16="",U16=""),"","、")</f>
        <v/>
      </c>
      <c r="U16" s="2471" t="str">
        <f>IF(I17="","",I16&amp;TEXT(I17,"yyyy年m月d日;;"))</f>
        <v/>
      </c>
    </row>
    <row r="17" spans="1:21">
      <c r="A17" s="1754"/>
      <c r="B17" s="1673"/>
      <c r="C17" s="1674" t="s">
        <v>1956</v>
      </c>
      <c r="D17" s="1691">
        <v>67285</v>
      </c>
      <c r="E17" s="1691">
        <v>56327</v>
      </c>
      <c r="F17" s="1691">
        <v>56327</v>
      </c>
      <c r="G17" s="1691">
        <v>59980</v>
      </c>
      <c r="H17" s="1691"/>
      <c r="I17" s="1691"/>
      <c r="J17" s="1685"/>
      <c r="K17" s="2470"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65.790000000000006</v>
      </c>
      <c r="E19" s="1676">
        <f>IF(B16="出让",IF(E17="","",ROUNDDOWN(MIN((E17-$D$3)/365,E18),2)),E18)</f>
        <v>35.76</v>
      </c>
      <c r="F19" s="1676">
        <f>IF(B16="出让",IF(F17="","",ROUNDDOWN(MIN((F17-$D$3)/365,F18),2)),F18)</f>
        <v>35.76</v>
      </c>
      <c r="G19" s="1676">
        <f>IF(B16="出让",IF(G17="","",ROUNDDOWN(MIN((G17-$D$3)/365,G18),2)),G18)</f>
        <v>45.77</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25"/>
      <c r="E20" s="3626"/>
      <c r="F20" s="3626"/>
      <c r="G20" s="3626"/>
      <c r="H20" s="3626"/>
      <c r="I20" s="3627"/>
      <c r="J20" s="1685"/>
      <c r="K20" s="1765"/>
      <c r="L20" s="1714"/>
      <c r="M20" s="1714"/>
      <c r="N20" s="1685"/>
      <c r="O20" s="1686"/>
      <c r="P20" s="1685"/>
      <c r="Q20" s="1685"/>
      <c r="R20" s="1685"/>
      <c r="S20" s="1685"/>
      <c r="T20" s="1685"/>
      <c r="U20" s="1685"/>
    </row>
    <row r="21" spans="1:21">
      <c r="A21" s="1754" t="s">
        <v>1959</v>
      </c>
      <c r="B21" s="1755" t="s">
        <v>1960</v>
      </c>
      <c r="C21" s="1750">
        <f>'数据-汇总表'!E3</f>
        <v>479506</v>
      </c>
      <c r="D21" s="1751" t="s">
        <v>1961</v>
      </c>
      <c r="E21" s="3615" t="s">
        <v>1999</v>
      </c>
      <c r="F21" s="3616"/>
      <c r="G21" s="3616"/>
      <c r="H21" s="3616"/>
      <c r="I21" s="3617"/>
      <c r="J21" s="1685"/>
      <c r="K21" s="1765"/>
      <c r="L21" s="1714"/>
      <c r="M21" s="1714"/>
      <c r="N21" s="1685"/>
      <c r="O21" s="1686"/>
      <c r="P21" s="1685"/>
      <c r="Q21" s="1685"/>
      <c r="R21" s="1685"/>
      <c r="S21" s="1685"/>
      <c r="T21" s="1685"/>
      <c r="U21" s="1685"/>
    </row>
    <row r="22" spans="1:21">
      <c r="A22" s="2653" t="s">
        <v>952</v>
      </c>
      <c r="B22" s="1652" t="s">
        <v>1962</v>
      </c>
      <c r="C22" s="1677">
        <f>'数据-汇总表'!D3</f>
        <v>74665.899999999994</v>
      </c>
      <c r="D22" s="1678" t="s">
        <v>1961</v>
      </c>
      <c r="E22" s="3615" t="s">
        <v>2895</v>
      </c>
      <c r="F22" s="3616"/>
      <c r="G22" s="3616"/>
      <c r="H22" s="3616"/>
      <c r="I22" s="3617"/>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18" t="s">
        <v>1967</v>
      </c>
      <c r="C24" s="3619"/>
      <c r="D24" s="3620" t="s">
        <v>1968</v>
      </c>
      <c r="E24" s="3621"/>
      <c r="F24" s="1699" t="s">
        <v>1969</v>
      </c>
      <c r="G24" s="1685"/>
      <c r="H24" s="1685"/>
      <c r="I24" s="1698"/>
      <c r="J24" s="1685"/>
      <c r="K24" s="3606" t="s">
        <v>1970</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06"/>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06"/>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7"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8"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8"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69"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33" t="s">
        <v>2002</v>
      </c>
      <c r="B31" s="1755" t="s">
        <v>2003</v>
      </c>
      <c r="C31" s="3631"/>
      <c r="D31" s="3632"/>
      <c r="E31" s="1685"/>
      <c r="F31" s="1685"/>
      <c r="G31" s="1685"/>
      <c r="H31" s="1685"/>
      <c r="I31" s="1698"/>
      <c r="J31" s="1685"/>
      <c r="K31" s="2473"/>
      <c r="L31" s="1685"/>
      <c r="M31" s="1685"/>
      <c r="N31" s="1685"/>
      <c r="O31" s="1685"/>
      <c r="P31" s="1685"/>
      <c r="Q31" s="1685"/>
      <c r="R31" s="1685"/>
      <c r="S31" s="1685"/>
      <c r="T31" s="1685"/>
      <c r="U31" s="1685"/>
    </row>
    <row r="32" spans="1:21">
      <c r="A32" s="3633"/>
      <c r="B32" s="1652" t="s">
        <v>2004</v>
      </c>
      <c r="C32" s="1710"/>
      <c r="D32" s="1711"/>
      <c r="E32" s="1685"/>
      <c r="F32" s="1685"/>
      <c r="G32" s="1685"/>
      <c r="H32" s="1685"/>
      <c r="I32" s="1698"/>
      <c r="J32" s="1685"/>
      <c r="K32" s="2473"/>
      <c r="L32" s="1685"/>
      <c r="M32" s="1685"/>
      <c r="N32" s="1685"/>
      <c r="O32" s="1685"/>
      <c r="P32" s="1685"/>
      <c r="Q32" s="1685"/>
      <c r="R32" s="1685"/>
      <c r="S32" s="1685"/>
      <c r="T32" s="1685"/>
      <c r="U32" s="1685"/>
    </row>
    <row r="33" spans="1:21">
      <c r="A33" s="3633"/>
      <c r="B33" s="1652" t="s">
        <v>2005</v>
      </c>
      <c r="C33" s="1712"/>
      <c r="D33" s="1829"/>
      <c r="E33" s="1685"/>
      <c r="F33" s="1685"/>
      <c r="G33" s="1685"/>
      <c r="H33" s="1685"/>
      <c r="I33" s="1698"/>
      <c r="J33" s="1685"/>
      <c r="K33" s="2473"/>
      <c r="L33" s="1685"/>
      <c r="M33" s="1685"/>
      <c r="N33" s="1685"/>
      <c r="O33" s="1685"/>
      <c r="P33" s="1685"/>
      <c r="Q33" s="1685"/>
      <c r="R33" s="1685"/>
      <c r="S33" s="1685"/>
      <c r="T33" s="1685"/>
      <c r="U33" s="1685"/>
    </row>
    <row r="34" spans="1:21">
      <c r="A34" s="3634"/>
      <c r="B34" s="1652" t="s">
        <v>2006</v>
      </c>
      <c r="C34" s="3635"/>
      <c r="D34" s="3636"/>
      <c r="E34" s="1685"/>
      <c r="F34" s="1685"/>
      <c r="G34" s="1685"/>
      <c r="H34" s="1685"/>
      <c r="I34" s="1698"/>
      <c r="J34" s="1685"/>
      <c r="K34" s="2473"/>
      <c r="L34" s="1685"/>
      <c r="M34" s="1685"/>
      <c r="N34" s="1685"/>
      <c r="O34" s="1685"/>
      <c r="P34" s="1685"/>
      <c r="Q34" s="1685"/>
      <c r="R34" s="1685"/>
      <c r="S34" s="1685"/>
      <c r="T34" s="1685"/>
      <c r="U34" s="1685"/>
    </row>
    <row r="35" spans="1:21">
      <c r="A35" s="3637" t="s">
        <v>847</v>
      </c>
      <c r="B35" s="1713"/>
      <c r="C35" s="1767" t="str">
        <f>IF(B35="场地平整","——","具体情况：")</f>
        <v>具体情况：</v>
      </c>
      <c r="D35" s="3639"/>
      <c r="E35" s="3640"/>
      <c r="F35" s="3640"/>
      <c r="G35" s="3640"/>
      <c r="H35" s="3640"/>
      <c r="I35" s="3641"/>
      <c r="J35" s="1685"/>
      <c r="K35" s="1766"/>
      <c r="L35" s="1714"/>
      <c r="M35" s="1714"/>
      <c r="N35" s="1685"/>
      <c r="O35" s="1686"/>
      <c r="P35" s="1685"/>
      <c r="Q35" s="1685"/>
      <c r="R35" s="1685"/>
      <c r="S35" s="1685"/>
      <c r="T35" s="1685"/>
      <c r="U35" s="1685"/>
    </row>
    <row r="36" spans="1:21">
      <c r="A36" s="3633"/>
      <c r="B36" s="3642" t="s">
        <v>2055</v>
      </c>
      <c r="C36" s="3643"/>
      <c r="D36" s="1783"/>
      <c r="E36" s="3644"/>
      <c r="F36" s="3644"/>
      <c r="G36" s="1678" t="str">
        <f>IF(B35="场地未平整","估价结果处理","")</f>
        <v/>
      </c>
      <c r="H36" s="3645"/>
      <c r="I36" s="3645"/>
      <c r="J36" s="1685"/>
      <c r="K36" s="1766"/>
      <c r="L36" s="1714"/>
      <c r="M36" s="1714"/>
      <c r="N36" s="1685"/>
      <c r="O36" s="1686"/>
      <c r="P36" s="1685"/>
      <c r="Q36" s="1685"/>
      <c r="R36" s="1685"/>
      <c r="S36" s="1685"/>
      <c r="T36" s="1685"/>
      <c r="U36" s="1685"/>
    </row>
    <row r="37" spans="1:21" ht="28.5">
      <c r="A37" s="3633"/>
      <c r="B37" s="3622"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33"/>
      <c r="B38" s="3623"/>
      <c r="C38" s="1660" t="s">
        <v>850</v>
      </c>
      <c r="D38" s="1782">
        <f>ROUNDDOWN(MIN(('数据-取费表'!$B$2-D37)/365,D34),1)</f>
        <v>118.5</v>
      </c>
      <c r="E38" s="1718" t="s">
        <v>851</v>
      </c>
      <c r="F38" s="1685"/>
      <c r="G38" s="1685"/>
      <c r="H38" s="1685"/>
      <c r="I38" s="1698"/>
      <c r="J38" s="1685"/>
      <c r="K38" s="1766"/>
      <c r="L38" s="1685"/>
      <c r="M38" s="1685"/>
      <c r="N38" s="1685"/>
      <c r="O38" s="1685"/>
      <c r="P38" s="1685"/>
      <c r="Q38" s="1685"/>
      <c r="R38" s="1685"/>
      <c r="S38" s="1685"/>
      <c r="T38" s="1685"/>
      <c r="U38" s="1685"/>
    </row>
    <row r="39" spans="1:21">
      <c r="A39" s="3634"/>
      <c r="B39" s="3624"/>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05" t="s">
        <v>1986</v>
      </c>
      <c r="T40" s="1722" t="str">
        <f>NUMBERSTRING(7-K40,1)&amp;"通"</f>
        <v>七通</v>
      </c>
      <c r="U40" s="1685"/>
    </row>
    <row r="41" spans="1:21">
      <c r="A41" s="1654"/>
      <c r="B41" s="3638" t="s">
        <v>1720</v>
      </c>
      <c r="C41" s="3638"/>
      <c r="D41" s="3638"/>
      <c r="E41" s="3638"/>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05"/>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Q13" activePane="bottomRight" state="frozen"/>
      <selection pane="topRight" activeCell="E1" sqref="E1"/>
      <selection pane="bottomLeft" activeCell="A12" sqref="A12"/>
      <selection pane="bottomRight" activeCell="AO22" sqref="AO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1" t="s">
        <v>2334</v>
      </c>
      <c r="BA2" s="2352"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74665.899999999994</v>
      </c>
      <c r="B3" s="22">
        <f>IF(C3="否",G5-AT5,G5)</f>
        <v>479506</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479506</v>
      </c>
      <c r="H5" s="27">
        <f t="shared" ref="H5:AT5" si="0">SUM(H13:H641)</f>
        <v>460492</v>
      </c>
      <c r="I5" s="27">
        <f t="shared" si="0"/>
        <v>807</v>
      </c>
      <c r="J5" s="27">
        <f t="shared" si="0"/>
        <v>0</v>
      </c>
      <c r="K5" s="27">
        <f t="shared" si="0"/>
        <v>273359</v>
      </c>
      <c r="L5" s="27">
        <f t="shared" si="0"/>
        <v>0</v>
      </c>
      <c r="M5" s="27">
        <f t="shared" si="0"/>
        <v>72552</v>
      </c>
      <c r="N5" s="27">
        <f t="shared" si="0"/>
        <v>0</v>
      </c>
      <c r="O5" s="27">
        <f t="shared" si="0"/>
        <v>97995</v>
      </c>
      <c r="P5" s="27">
        <f t="shared" si="0"/>
        <v>0</v>
      </c>
      <c r="Q5" s="27">
        <f t="shared" si="0"/>
        <v>15779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19014</v>
      </c>
      <c r="AD5" s="27">
        <f t="shared" si="0"/>
        <v>0</v>
      </c>
      <c r="AE5" s="27">
        <f t="shared" si="0"/>
        <v>0</v>
      </c>
      <c r="AF5" s="27">
        <f t="shared" si="0"/>
        <v>0</v>
      </c>
      <c r="AG5" s="27">
        <f t="shared" si="0"/>
        <v>0</v>
      </c>
      <c r="AH5" s="27">
        <f t="shared" si="0"/>
        <v>0</v>
      </c>
      <c r="AI5" s="27">
        <f t="shared" si="0"/>
        <v>0</v>
      </c>
      <c r="AJ5" s="27">
        <f t="shared" si="0"/>
        <v>0</v>
      </c>
      <c r="AK5" s="27">
        <f t="shared" si="0"/>
        <v>0</v>
      </c>
      <c r="AL5" s="27">
        <f t="shared" si="0"/>
        <v>7667</v>
      </c>
      <c r="AM5" s="27">
        <f t="shared" si="0"/>
        <v>0</v>
      </c>
      <c r="AN5" s="27">
        <f t="shared" si="0"/>
        <v>11347</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479506</v>
      </c>
      <c r="BA5" s="29">
        <f t="shared" si="1"/>
        <v>460492</v>
      </c>
      <c r="BB5" s="29">
        <f t="shared" si="1"/>
        <v>807</v>
      </c>
      <c r="BC5" s="29">
        <f t="shared" si="1"/>
        <v>273359</v>
      </c>
      <c r="BD5" s="29">
        <f t="shared" si="1"/>
        <v>72552</v>
      </c>
      <c r="BE5" s="29">
        <f t="shared" si="1"/>
        <v>97995</v>
      </c>
      <c r="BF5" s="29">
        <f t="shared" si="1"/>
        <v>15779</v>
      </c>
      <c r="BG5" s="29">
        <f t="shared" si="1"/>
        <v>0</v>
      </c>
      <c r="BH5" s="29">
        <f t="shared" si="1"/>
        <v>0</v>
      </c>
      <c r="BI5" s="29">
        <f t="shared" si="1"/>
        <v>0</v>
      </c>
      <c r="BJ5" s="29">
        <f t="shared" si="1"/>
        <v>0</v>
      </c>
      <c r="BK5" s="29">
        <f t="shared" si="1"/>
        <v>0</v>
      </c>
      <c r="BL5" s="29">
        <f t="shared" si="1"/>
        <v>19014</v>
      </c>
      <c r="BM5" s="29">
        <f t="shared" si="1"/>
        <v>0</v>
      </c>
      <c r="BN5" s="29">
        <f t="shared" si="1"/>
        <v>0</v>
      </c>
      <c r="BO5" s="29">
        <f t="shared" si="1"/>
        <v>0</v>
      </c>
      <c r="BP5" s="29">
        <f t="shared" si="1"/>
        <v>0</v>
      </c>
      <c r="BQ5" s="29">
        <f t="shared" si="1"/>
        <v>7667</v>
      </c>
      <c r="BR5" s="29">
        <f t="shared" si="1"/>
        <v>11347</v>
      </c>
      <c r="BS5" s="29">
        <f t="shared" si="1"/>
        <v>0</v>
      </c>
      <c r="BT5" s="30">
        <f t="shared" si="1"/>
        <v>0</v>
      </c>
    </row>
    <row r="6" spans="1:72" s="37" customFormat="1" ht="12.75">
      <c r="A6" s="26" t="s">
        <v>169</v>
      </c>
      <c r="B6" s="31"/>
      <c r="C6" s="31"/>
      <c r="D6" s="32"/>
      <c r="E6" s="27">
        <f>H6+AC6+AT6</f>
        <v>74665.89</v>
      </c>
      <c r="F6" s="27" t="s">
        <v>1</v>
      </c>
      <c r="G6" s="27" t="s">
        <v>2</v>
      </c>
      <c r="H6" s="33">
        <f>SUMIF(I$12:AB$12,"总值",I6:AB6)</f>
        <v>71705.14</v>
      </c>
      <c r="I6" s="27">
        <f t="shared" ref="I6:AB6" si="2">ROUND($A$3*I5/$B$3,2)</f>
        <v>125.66</v>
      </c>
      <c r="J6" s="27">
        <f t="shared" si="2"/>
        <v>0</v>
      </c>
      <c r="K6" s="27">
        <f t="shared" si="2"/>
        <v>42565.88</v>
      </c>
      <c r="L6" s="27">
        <f t="shared" si="2"/>
        <v>0</v>
      </c>
      <c r="M6" s="27">
        <f t="shared" si="2"/>
        <v>11297.38</v>
      </c>
      <c r="N6" s="27">
        <f t="shared" si="2"/>
        <v>0</v>
      </c>
      <c r="O6" s="27">
        <f t="shared" si="2"/>
        <v>15259.21</v>
      </c>
      <c r="P6" s="27">
        <f t="shared" si="2"/>
        <v>0</v>
      </c>
      <c r="Q6" s="27">
        <f t="shared" si="2"/>
        <v>2457.0100000000002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2960.75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1193.8599999999999</v>
      </c>
      <c r="AM6" s="27">
        <f t="shared" si="3"/>
        <v>0</v>
      </c>
      <c r="AN6" s="27">
        <f t="shared" si="3"/>
        <v>1766.89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74665.899999999994</v>
      </c>
      <c r="AZ6" s="27" t="s">
        <v>3</v>
      </c>
      <c r="BA6" s="27">
        <f>ROUND($AY$6*BA5/$AZ$5,2)</f>
        <v>71705.149999999994</v>
      </c>
      <c r="BB6" s="27">
        <f>ROUND($AY$6*BB5/$AZ$5,2)</f>
        <v>125.66</v>
      </c>
      <c r="BC6" s="27">
        <f t="shared" ref="BC6:BH6" si="4">ROUND($AY$6*BC5/$AZ$5,2)</f>
        <v>42565.88</v>
      </c>
      <c r="BD6" s="27">
        <f t="shared" si="4"/>
        <v>11297.38</v>
      </c>
      <c r="BE6" s="27">
        <f t="shared" si="4"/>
        <v>15259.21</v>
      </c>
      <c r="BF6" s="27">
        <f t="shared" si="4"/>
        <v>2457.0100000000002</v>
      </c>
      <c r="BG6" s="27">
        <f t="shared" si="4"/>
        <v>0</v>
      </c>
      <c r="BH6" s="27">
        <f t="shared" si="4"/>
        <v>0</v>
      </c>
      <c r="BI6" s="27">
        <f t="shared" ref="BI6:BT6" si="5">ROUND($AY$6*BI5/$AZ$5,2)</f>
        <v>0</v>
      </c>
      <c r="BJ6" s="27">
        <f t="shared" si="5"/>
        <v>0</v>
      </c>
      <c r="BK6" s="27">
        <f t="shared" si="5"/>
        <v>0</v>
      </c>
      <c r="BL6" s="27">
        <f t="shared" si="5"/>
        <v>2960.75</v>
      </c>
      <c r="BM6" s="27">
        <f t="shared" si="5"/>
        <v>0</v>
      </c>
      <c r="BN6" s="27">
        <f t="shared" si="5"/>
        <v>0</v>
      </c>
      <c r="BO6" s="27">
        <f t="shared" si="5"/>
        <v>0</v>
      </c>
      <c r="BP6" s="27">
        <f t="shared" si="5"/>
        <v>0</v>
      </c>
      <c r="BQ6" s="27">
        <f t="shared" si="5"/>
        <v>1193.8599999999999</v>
      </c>
      <c r="BR6" s="27">
        <f t="shared" si="5"/>
        <v>1766.89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8"/>
      <c r="AT8" s="2319"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3199</v>
      </c>
      <c r="J9" s="51"/>
      <c r="K9" s="3034" t="s">
        <v>3199</v>
      </c>
      <c r="L9" s="51"/>
      <c r="M9" s="3034" t="s">
        <v>3199</v>
      </c>
      <c r="N9" s="51"/>
      <c r="O9" s="59" t="s">
        <v>3204</v>
      </c>
      <c r="P9" s="51"/>
      <c r="Q9" s="59" t="s">
        <v>3204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0"/>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3212</v>
      </c>
      <c r="P10" s="51"/>
      <c r="Q10" s="66" t="s">
        <v>3194</v>
      </c>
      <c r="R10" s="51"/>
      <c r="S10" s="66"/>
      <c r="T10" s="51"/>
      <c r="U10" s="66"/>
      <c r="V10" s="51"/>
      <c r="W10" s="66"/>
      <c r="X10" s="51"/>
      <c r="Y10" s="66"/>
      <c r="Z10" s="51"/>
      <c r="AA10" s="66"/>
      <c r="AB10" s="51"/>
      <c r="AC10" s="55"/>
      <c r="AD10" s="2305" t="s">
        <v>2318</v>
      </c>
      <c r="AE10" s="2327"/>
      <c r="AF10" s="2305" t="s">
        <v>2318</v>
      </c>
      <c r="AG10" s="2327"/>
      <c r="AH10" s="2305" t="s">
        <v>2319</v>
      </c>
      <c r="AI10" s="2327"/>
      <c r="AJ10" s="26" t="s">
        <v>2332</v>
      </c>
      <c r="AK10" s="2324"/>
      <c r="AL10" s="2305" t="s">
        <v>2320</v>
      </c>
      <c r="AM10" s="2306"/>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3206</v>
      </c>
      <c r="J11" s="71"/>
      <c r="K11" s="3035" t="s">
        <v>3207</v>
      </c>
      <c r="L11" s="71"/>
      <c r="M11" s="70" t="s">
        <v>3205</v>
      </c>
      <c r="N11" s="71"/>
      <c r="O11" s="70" t="s">
        <v>3211</v>
      </c>
      <c r="P11" s="71"/>
      <c r="Q11" s="3559" t="s">
        <v>3481</v>
      </c>
      <c r="R11" s="71"/>
      <c r="S11" s="70"/>
      <c r="T11" s="71"/>
      <c r="U11" s="70"/>
      <c r="V11" s="71"/>
      <c r="W11" s="70"/>
      <c r="X11" s="71"/>
      <c r="Y11" s="70"/>
      <c r="Z11" s="71"/>
      <c r="AA11" s="70"/>
      <c r="AB11" s="71"/>
      <c r="AC11" s="55"/>
      <c r="AD11" s="2325" t="s">
        <v>2331</v>
      </c>
      <c r="AE11" s="995"/>
      <c r="AF11" s="2325" t="s">
        <v>2331</v>
      </c>
      <c r="AG11" s="995"/>
      <c r="AH11" s="2325" t="s">
        <v>2330</v>
      </c>
      <c r="AI11" s="2326"/>
      <c r="AJ11" s="2325" t="s">
        <v>2330</v>
      </c>
      <c r="AK11" s="2324"/>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商业</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9"/>
      <c r="B13" s="3029"/>
      <c r="C13" s="3029" t="s">
        <v>3195</v>
      </c>
      <c r="D13" s="3030" t="s">
        <v>3197</v>
      </c>
      <c r="E13" s="27">
        <f t="shared" ref="E13:E20" si="6">IF($C$3="是",ROUND($A$3*G13/$B$3,2),ROUND($A$3*(G13-AT13)/$B$3,2))</f>
        <v>11423.04</v>
      </c>
      <c r="F13" s="81"/>
      <c r="G13" s="82">
        <f t="shared" ref="G13:G20" si="7">H13+AC13+AT13</f>
        <v>73359</v>
      </c>
      <c r="H13" s="33">
        <f t="shared" ref="H13:H20" si="8">SUMIF(I$12:AB$12,"总值",I13:AB13)</f>
        <v>73359</v>
      </c>
      <c r="I13" s="3033">
        <f>807</f>
        <v>807</v>
      </c>
      <c r="J13" s="3033"/>
      <c r="K13" s="3033"/>
      <c r="L13" s="3033"/>
      <c r="M13" s="3570">
        <v>72552</v>
      </c>
      <c r="N13" s="83"/>
      <c r="O13" s="83"/>
      <c r="P13" s="83"/>
      <c r="Q13" s="83"/>
      <c r="R13" s="83"/>
      <c r="S13" s="83"/>
      <c r="T13" s="83"/>
      <c r="U13" s="83"/>
      <c r="V13" s="83"/>
      <c r="W13" s="83"/>
      <c r="X13" s="83"/>
      <c r="Y13" s="83"/>
      <c r="Z13" s="83"/>
      <c r="AA13" s="83"/>
      <c r="AB13" s="83"/>
      <c r="AC13" s="27">
        <f t="shared" ref="AC13:AC20" si="9">SUMIF(AD$12:AS$12,"总值",AD13:AS13)</f>
        <v>0</v>
      </c>
      <c r="AD13" s="3037"/>
      <c r="AE13" s="3037"/>
      <c r="AF13" s="3037"/>
      <c r="AG13" s="3037"/>
      <c r="AH13" s="3037"/>
      <c r="AI13" s="3037"/>
      <c r="AJ13" s="3037"/>
      <c r="AK13" s="3037"/>
      <c r="AL13" s="3037"/>
      <c r="AM13" s="3037"/>
      <c r="AN13" s="3037"/>
      <c r="AO13" s="3037"/>
      <c r="AP13" s="3037"/>
      <c r="AQ13" s="3037"/>
      <c r="AR13" s="3037"/>
      <c r="AS13" s="3037"/>
      <c r="AT13" s="3038"/>
      <c r="AU13" s="3039"/>
      <c r="AV13" s="17">
        <f t="shared" ref="AV13:AX20" si="10">A13</f>
        <v>0</v>
      </c>
      <c r="AW13" s="17">
        <f t="shared" si="10"/>
        <v>0</v>
      </c>
      <c r="AX13" s="17" t="str">
        <f t="shared" si="10"/>
        <v>商业</v>
      </c>
      <c r="AY13" s="989">
        <f t="shared" ref="AY13:AY20" si="11">ROUND($AY$6*AZ13/$AZ$5,2)</f>
        <v>11423.04</v>
      </c>
      <c r="AZ13" s="27">
        <f t="shared" ref="AZ13:AZ20" si="12">BA13+BL13</f>
        <v>73359</v>
      </c>
      <c r="BA13" s="27">
        <f t="shared" ref="BA13:BA20" si="13">SUM(BB13:BK13)</f>
        <v>73359</v>
      </c>
      <c r="BB13" s="27">
        <f t="shared" ref="BB13:BB20" si="14">IF($D13="是",I13-J13,0)</f>
        <v>807</v>
      </c>
      <c r="BC13" s="27">
        <f t="shared" ref="BC13:BC20" si="15">IF($D13="是",K13-L13,0)</f>
        <v>0</v>
      </c>
      <c r="BD13" s="27">
        <f t="shared" ref="BD13:BD20" si="16">IF($D13="是",M13-N13,0)</f>
        <v>72552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31" t="s">
        <v>3196</v>
      </c>
      <c r="D14" s="3030" t="s">
        <v>3198</v>
      </c>
      <c r="E14" s="27">
        <f t="shared" si="6"/>
        <v>42565.88</v>
      </c>
      <c r="F14" s="81"/>
      <c r="G14" s="82">
        <f t="shared" si="7"/>
        <v>273359</v>
      </c>
      <c r="H14" s="33">
        <f t="shared" si="8"/>
        <v>273359</v>
      </c>
      <c r="I14" s="3033"/>
      <c r="J14" s="3033"/>
      <c r="K14" s="3033">
        <f>86574-2065+18762+18838+86243+65007</f>
        <v>273359</v>
      </c>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办公</v>
      </c>
      <c r="AY14" s="989">
        <f t="shared" si="11"/>
        <v>42565.88</v>
      </c>
      <c r="AZ14" s="27">
        <f t="shared" si="12"/>
        <v>273359</v>
      </c>
      <c r="BA14" s="27">
        <f t="shared" si="13"/>
        <v>273359</v>
      </c>
      <c r="BB14" s="27">
        <f t="shared" si="14"/>
        <v>0</v>
      </c>
      <c r="BC14" s="27">
        <f t="shared" si="15"/>
        <v>273359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31" t="s">
        <v>3200</v>
      </c>
      <c r="D15" s="3030" t="s">
        <v>3201</v>
      </c>
      <c r="E15" s="27">
        <f t="shared" si="6"/>
        <v>2960.75</v>
      </c>
      <c r="F15" s="81"/>
      <c r="G15" s="82">
        <f t="shared" si="7"/>
        <v>19014</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19014</v>
      </c>
      <c r="AD15" s="3037"/>
      <c r="AE15" s="3037"/>
      <c r="AF15" s="3037"/>
      <c r="AG15" s="3037"/>
      <c r="AH15" s="3037"/>
      <c r="AI15" s="3037"/>
      <c r="AJ15" s="3037"/>
      <c r="AK15" s="3037"/>
      <c r="AL15" s="3571">
        <f>2065+80+213+694+551+73+59+87+13+23+2089+57+13+28+131+1463+28</f>
        <v>7667</v>
      </c>
      <c r="AM15" s="3037"/>
      <c r="AN15" s="3037">
        <v>11347</v>
      </c>
      <c r="AO15" s="3037"/>
      <c r="AP15" s="3037"/>
      <c r="AQ15" s="3037"/>
      <c r="AR15" s="3037"/>
      <c r="AS15" s="3037"/>
      <c r="AT15" s="3038"/>
      <c r="AU15" s="3039"/>
      <c r="AV15" s="17">
        <f t="shared" si="10"/>
        <v>0</v>
      </c>
      <c r="AW15" s="17">
        <f t="shared" si="10"/>
        <v>0</v>
      </c>
      <c r="AX15" s="17" t="str">
        <f t="shared" si="10"/>
        <v>配套及设备</v>
      </c>
      <c r="AY15" s="989">
        <f t="shared" si="11"/>
        <v>2960.75</v>
      </c>
      <c r="AZ15" s="27">
        <f t="shared" si="12"/>
        <v>19014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19014</v>
      </c>
      <c r="BM15" s="27">
        <f t="shared" si="25"/>
        <v>0</v>
      </c>
      <c r="BN15" s="27">
        <f t="shared" si="26"/>
        <v>0</v>
      </c>
      <c r="BO15" s="27">
        <f t="shared" si="27"/>
        <v>0</v>
      </c>
      <c r="BP15" s="27">
        <f t="shared" si="28"/>
        <v>0</v>
      </c>
      <c r="BQ15" s="27">
        <f t="shared" si="29"/>
        <v>7667</v>
      </c>
      <c r="BR15" s="27">
        <f t="shared" si="30"/>
        <v>11347</v>
      </c>
      <c r="BS15" s="27">
        <f t="shared" si="31"/>
        <v>0</v>
      </c>
      <c r="BT15" s="36">
        <f t="shared" si="32"/>
        <v>0</v>
      </c>
    </row>
    <row r="16" spans="1:72" s="18" customFormat="1" ht="12.75">
      <c r="A16" s="3029"/>
      <c r="B16" s="3029"/>
      <c r="C16" s="3031" t="s">
        <v>3202</v>
      </c>
      <c r="D16" s="3030" t="s">
        <v>3198</v>
      </c>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卸货场</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t="s">
        <v>3203</v>
      </c>
      <c r="D17" s="3030" t="s">
        <v>1679</v>
      </c>
      <c r="E17" s="27">
        <f t="shared" si="6"/>
        <v>2457.0100000000002</v>
      </c>
      <c r="F17" s="81"/>
      <c r="G17" s="82">
        <f t="shared" si="7"/>
        <v>15779</v>
      </c>
      <c r="H17" s="33">
        <f t="shared" si="8"/>
        <v>15779</v>
      </c>
      <c r="I17" s="3033"/>
      <c r="J17" s="3033"/>
      <c r="K17" s="3033"/>
      <c r="L17" s="3033"/>
      <c r="M17" s="3033"/>
      <c r="N17" s="83"/>
      <c r="O17" s="83"/>
      <c r="P17" s="83"/>
      <c r="Q17" s="83">
        <v>15779</v>
      </c>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地下商业</v>
      </c>
      <c r="AY17" s="989">
        <f t="shared" si="11"/>
        <v>2457.0100000000002</v>
      </c>
      <c r="AZ17" s="27">
        <f t="shared" si="12"/>
        <v>15779</v>
      </c>
      <c r="BA17" s="27">
        <f t="shared" si="13"/>
        <v>15779</v>
      </c>
      <c r="BB17" s="27">
        <f t="shared" si="14"/>
        <v>0</v>
      </c>
      <c r="BC17" s="27">
        <f t="shared" si="15"/>
        <v>0</v>
      </c>
      <c r="BD17" s="27">
        <f t="shared" si="16"/>
        <v>0</v>
      </c>
      <c r="BE17" s="27">
        <f t="shared" si="17"/>
        <v>0</v>
      </c>
      <c r="BF17" s="27">
        <f t="shared" si="18"/>
        <v>15779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4" t="s">
        <v>3208</v>
      </c>
      <c r="D18" s="3032" t="s">
        <v>3210</v>
      </c>
      <c r="E18" s="87">
        <f t="shared" si="6"/>
        <v>15259.21</v>
      </c>
      <c r="F18" s="88"/>
      <c r="G18" s="89">
        <f t="shared" si="7"/>
        <v>97995</v>
      </c>
      <c r="H18" s="90">
        <f t="shared" si="8"/>
        <v>97995</v>
      </c>
      <c r="I18" s="1386"/>
      <c r="J18" s="91"/>
      <c r="K18" s="1386"/>
      <c r="L18" s="91"/>
      <c r="M18" s="91"/>
      <c r="N18" s="91"/>
      <c r="O18" s="91">
        <f>125121-15779-11347</f>
        <v>97995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15259.21</v>
      </c>
      <c r="AZ18" s="87">
        <f t="shared" si="12"/>
        <v>97995</v>
      </c>
      <c r="BA18" s="87">
        <f t="shared" si="13"/>
        <v>97995</v>
      </c>
      <c r="BB18" s="87">
        <f t="shared" si="14"/>
        <v>0</v>
      </c>
      <c r="BC18" s="87">
        <f t="shared" si="15"/>
        <v>0</v>
      </c>
      <c r="BD18" s="87">
        <f t="shared" si="16"/>
        <v>0</v>
      </c>
      <c r="BE18" s="87">
        <f t="shared" si="17"/>
        <v>97995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5" t="s">
        <v>3198</v>
      </c>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5">
        <f t="shared" si="10"/>
        <v>0</v>
      </c>
      <c r="AW19" s="985">
        <f t="shared" si="10"/>
        <v>0</v>
      </c>
      <c r="AX19" s="985" t="str">
        <f t="shared" si="10"/>
        <v>地下设备</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t="s">
        <v>3344</v>
      </c>
      <c r="D20" s="80" t="s">
        <v>1679</v>
      </c>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6" t="s">
        <v>0</v>
      </c>
      <c r="B1" s="3646" t="s">
        <v>4</v>
      </c>
      <c r="C1" s="3646" t="s">
        <v>5</v>
      </c>
      <c r="D1" s="3647" t="s">
        <v>40</v>
      </c>
      <c r="E1" s="3647" t="s">
        <v>41</v>
      </c>
      <c r="F1" s="3647"/>
      <c r="G1" s="3647"/>
      <c r="H1" s="3647"/>
      <c r="I1" s="3647"/>
      <c r="J1" s="3647"/>
      <c r="K1" s="3647"/>
      <c r="L1" s="3647"/>
      <c r="M1" s="3647"/>
    </row>
    <row r="2" spans="1:13" ht="27" customHeight="1">
      <c r="A2" s="3646"/>
      <c r="B2" s="3646"/>
      <c r="C2" s="3646"/>
      <c r="D2" s="3647"/>
      <c r="E2" s="3647" t="s">
        <v>24</v>
      </c>
      <c r="F2" s="3647" t="s">
        <v>25</v>
      </c>
      <c r="G2" s="3647"/>
      <c r="H2" s="3647"/>
      <c r="I2" s="3647"/>
      <c r="J2" s="3647" t="s">
        <v>26</v>
      </c>
      <c r="K2" s="3647"/>
      <c r="L2" s="3647"/>
      <c r="M2" s="3647"/>
    </row>
    <row r="3" spans="1:13" ht="28.5">
      <c r="A3" s="3646"/>
      <c r="B3" s="3646"/>
      <c r="C3" s="3646"/>
      <c r="D3" s="3647"/>
      <c r="E3" s="364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7" t="s">
        <v>42</v>
      </c>
      <c r="B9" s="3647"/>
      <c r="C9" s="364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B1" zoomScale="90" zoomScaleNormal="90" zoomScaleSheetLayoutView="90" workbookViewId="0">
      <selection activeCell="G30" activeCellId="1" sqref="G22 G30"/>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202</v>
      </c>
      <c r="B1" s="1975"/>
      <c r="C1" s="1975"/>
      <c r="D1" s="1975"/>
      <c r="E1" s="1975"/>
      <c r="F1" s="1975"/>
      <c r="G1" s="1975"/>
      <c r="H1" s="1975"/>
      <c r="I1" s="1975"/>
      <c r="J1" s="1975"/>
      <c r="K1" s="1975"/>
      <c r="L1" s="1975"/>
    </row>
    <row r="2" spans="1:16" ht="15">
      <c r="A2" s="3657" t="s">
        <v>203</v>
      </c>
      <c r="B2" s="3657"/>
      <c r="C2" s="3657"/>
      <c r="D2" s="1966" t="s">
        <v>204</v>
      </c>
      <c r="E2" s="106" t="s">
        <v>205</v>
      </c>
      <c r="F2" s="1975"/>
      <c r="G2" s="1191"/>
      <c r="H2" s="1192"/>
      <c r="I2" s="1193" t="s">
        <v>857</v>
      </c>
      <c r="J2" s="1975"/>
      <c r="K2" s="1975"/>
      <c r="L2" s="1975"/>
    </row>
    <row r="3" spans="1:16" ht="15.75" thickBot="1">
      <c r="A3" s="3658" t="s">
        <v>206</v>
      </c>
      <c r="B3" s="3658"/>
      <c r="C3" s="3658"/>
      <c r="D3" s="107">
        <f>'数据-基础表'!AY6</f>
        <v>74665.899999999994</v>
      </c>
      <c r="E3" s="107">
        <f>'数据-基础表'!AZ5</f>
        <v>479506</v>
      </c>
      <c r="F3" s="1975"/>
      <c r="G3" s="278" t="s">
        <v>858</v>
      </c>
      <c r="H3" s="273" t="s">
        <v>859</v>
      </c>
      <c r="I3" s="1967">
        <f>ROUND('数据-基础表'!B3/'数据-基础表'!A3,2)</f>
        <v>6.42</v>
      </c>
      <c r="J3" s="1975"/>
      <c r="K3" s="1975"/>
      <c r="L3" s="1975"/>
    </row>
    <row r="4" spans="1:16" ht="15">
      <c r="A4" s="3659"/>
      <c r="B4" s="3660"/>
      <c r="C4" s="3661"/>
      <c r="D4" s="108" t="s">
        <v>204</v>
      </c>
      <c r="E4" s="109" t="s">
        <v>205</v>
      </c>
      <c r="F4" s="1975"/>
      <c r="G4" s="1194"/>
      <c r="H4" s="273" t="s">
        <v>860</v>
      </c>
      <c r="I4" s="1967">
        <f>ROUND(SUMIF('数据-基础表'!I9:AS9,"地上",'数据-基础表'!I5:AS5)/'数据-基础表'!A3,2)</f>
        <v>4.75</v>
      </c>
      <c r="J4" s="1975"/>
      <c r="K4" s="1975"/>
      <c r="L4" s="1975"/>
    </row>
    <row r="5" spans="1:16">
      <c r="A5" s="110" t="s">
        <v>207</v>
      </c>
      <c r="B5" s="3662" t="s">
        <v>230</v>
      </c>
      <c r="C5" s="3662"/>
      <c r="D5" s="111">
        <f>ROUND($D$3*E5/$E$3,2)</f>
        <v>0</v>
      </c>
      <c r="E5" s="112">
        <f>SUMIF('数据-基础表'!$11:$11,"住宅",'数据-基础表'!$5:$5)</f>
        <v>0</v>
      </c>
      <c r="F5" s="1975"/>
      <c r="G5" s="278" t="s">
        <v>861</v>
      </c>
      <c r="H5" s="273" t="s">
        <v>859</v>
      </c>
      <c r="I5" s="1967">
        <f>ROUND(E31/D31,2)</f>
        <v>6.42</v>
      </c>
      <c r="J5" s="1975"/>
      <c r="K5" s="1975"/>
      <c r="L5" s="1975"/>
    </row>
    <row r="6" spans="1:16" ht="15" thickBot="1">
      <c r="A6" s="113"/>
      <c r="B6" s="3662" t="s">
        <v>208</v>
      </c>
      <c r="C6" s="3662"/>
      <c r="D6" s="111">
        <f>ROUND($D$3*E6/$E$3,2)</f>
        <v>74665.899999999994</v>
      </c>
      <c r="E6" s="112">
        <f>E3-E5</f>
        <v>479506</v>
      </c>
      <c r="F6" s="1975"/>
      <c r="G6" s="1194"/>
      <c r="H6" s="273" t="s">
        <v>860</v>
      </c>
      <c r="I6" s="1967">
        <f>ROUND(F31/D31,2)</f>
        <v>4.75</v>
      </c>
      <c r="J6" s="1975"/>
      <c r="K6" s="1975"/>
      <c r="L6" s="1975"/>
    </row>
    <row r="7" spans="1:16" ht="15">
      <c r="A7" s="3654"/>
      <c r="B7" s="3655"/>
      <c r="C7" s="3656"/>
      <c r="D7" s="108" t="s">
        <v>204</v>
      </c>
      <c r="E7" s="114" t="s">
        <v>231</v>
      </c>
      <c r="F7" s="1975"/>
      <c r="G7" s="1149" t="s">
        <v>1646</v>
      </c>
      <c r="H7" s="1150"/>
      <c r="I7" s="3563">
        <v>6.34</v>
      </c>
      <c r="J7" s="1975"/>
      <c r="K7" s="1975"/>
      <c r="L7" s="1975"/>
    </row>
    <row r="8" spans="1:16">
      <c r="A8" s="110" t="s">
        <v>209</v>
      </c>
      <c r="B8" s="115" t="s">
        <v>210</v>
      </c>
      <c r="C8" s="111" t="s">
        <v>211</v>
      </c>
      <c r="D8" s="111">
        <f t="shared" ref="D8:D15" si="0">ROUND($D$3*E8/$E$3,2)</f>
        <v>53988.92</v>
      </c>
      <c r="E8" s="116">
        <f>SUMIF('数据-基础表'!BB10:BK10,"地上",'数据-基础表'!BB5:BK5)</f>
        <v>346718</v>
      </c>
      <c r="F8" s="1975"/>
      <c r="G8" s="1977"/>
      <c r="H8" s="1977"/>
      <c r="I8" s="1975"/>
      <c r="J8" s="1975"/>
      <c r="K8" s="1975"/>
      <c r="L8" s="1975"/>
    </row>
    <row r="9" spans="1:16">
      <c r="A9" s="117"/>
      <c r="B9" s="118"/>
      <c r="C9" s="111" t="s">
        <v>212</v>
      </c>
      <c r="D9" s="111">
        <f t="shared" si="0"/>
        <v>0</v>
      </c>
      <c r="E9" s="119">
        <v>0</v>
      </c>
      <c r="F9" s="1975"/>
      <c r="G9" s="1977"/>
      <c r="H9" s="1977"/>
      <c r="I9" s="1975"/>
      <c r="J9" s="1975"/>
      <c r="K9" s="1975"/>
      <c r="L9" s="1975"/>
    </row>
    <row r="10" spans="1:16">
      <c r="A10" s="117"/>
      <c r="B10" s="118"/>
      <c r="C10" s="111" t="s">
        <v>213</v>
      </c>
      <c r="D10" s="111">
        <f t="shared" si="0"/>
        <v>2457.0100000000002</v>
      </c>
      <c r="E10" s="116">
        <f>SUMPRODUCT(('数据-基础表'!BB10:BK10="地下")*('数据-基础表'!BB11:BK11="商业")*('数据-基础表'!BB5:BK5))</f>
        <v>15779</v>
      </c>
      <c r="F10" s="1975"/>
      <c r="G10" s="1977"/>
      <c r="H10" s="1977"/>
      <c r="I10" s="1975"/>
      <c r="J10" s="1975"/>
      <c r="K10" s="1975"/>
      <c r="L10" s="1975"/>
    </row>
    <row r="11" spans="1:16">
      <c r="A11" s="117"/>
      <c r="B11" s="118"/>
      <c r="C11" s="2322" t="s">
        <v>2328</v>
      </c>
      <c r="D11" s="111">
        <f t="shared" si="0"/>
        <v>0</v>
      </c>
      <c r="E11" s="116">
        <f>SUMPRODUCT(('数据-基础表'!BB10:BK10="地下")*('数据-基础表'!BB11:BK11="办公")*('数据-基础表'!BB5:BK5))+'数据-基础表'!AJ5</f>
        <v>0</v>
      </c>
      <c r="F11" s="1975"/>
      <c r="G11" s="1977"/>
      <c r="H11" s="1977"/>
      <c r="I11" s="1975"/>
      <c r="J11" s="1975"/>
      <c r="K11" s="1975"/>
      <c r="L11" s="1975"/>
    </row>
    <row r="12" spans="1:16">
      <c r="A12" s="117"/>
      <c r="B12" s="118"/>
      <c r="C12" s="111" t="s">
        <v>214</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2335</v>
      </c>
      <c r="D13" s="111">
        <f t="shared" si="0"/>
        <v>0</v>
      </c>
      <c r="E13" s="116">
        <f>SUMPRODUCT(('数据-基础表'!BB10:BK10="地下")*('数据-基础表'!BB11:BK11="车库")*('数据-基础表'!BB5:BK5))</f>
        <v>0</v>
      </c>
      <c r="F13" s="1975"/>
      <c r="G13" s="1977"/>
      <c r="H13" s="1977"/>
      <c r="I13" s="1975"/>
      <c r="J13" s="1975"/>
      <c r="K13" s="1975"/>
      <c r="L13" s="1975"/>
    </row>
    <row r="14" spans="1:16">
      <c r="A14" s="117"/>
      <c r="B14" s="118"/>
      <c r="C14" s="111" t="s">
        <v>232</v>
      </c>
      <c r="D14" s="111">
        <f t="shared" si="0"/>
        <v>15259.21</v>
      </c>
      <c r="E14" s="116">
        <f>SUMPRODUCT(('数据-基础表'!BB10:BK10="地下")*('数据-基础表'!BB11:BK11="车库—商业")*('数据-基础表'!BB5:BK5))</f>
        <v>97995</v>
      </c>
      <c r="F14" s="1975"/>
      <c r="G14" s="1977"/>
      <c r="H14" s="1977"/>
      <c r="I14" s="1975"/>
      <c r="J14" s="1975"/>
      <c r="K14" s="1975"/>
      <c r="L14" s="1975"/>
    </row>
    <row r="15" spans="1:16" ht="15" thickBot="1">
      <c r="A15" s="117"/>
      <c r="B15" s="118"/>
      <c r="C15" s="111" t="s">
        <v>233</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215</v>
      </c>
      <c r="D16" s="115">
        <f>SUM(D8:D15)</f>
        <v>71705.14</v>
      </c>
      <c r="E16" s="120">
        <f>SUM(E8:E15)</f>
        <v>460492</v>
      </c>
      <c r="F16" s="1975"/>
      <c r="G16" s="1977"/>
      <c r="H16" s="961" t="s">
        <v>219</v>
      </c>
      <c r="I16" s="962"/>
      <c r="J16" s="1975"/>
      <c r="K16" s="3648" t="s">
        <v>2570</v>
      </c>
      <c r="L16" s="3649"/>
      <c r="M16" s="3649"/>
      <c r="N16" s="3649"/>
      <c r="O16" s="3649"/>
      <c r="P16" s="3650"/>
    </row>
    <row r="17" spans="1:19" ht="15">
      <c r="A17" s="121" t="s">
        <v>216</v>
      </c>
      <c r="B17" s="122" t="s">
        <v>217</v>
      </c>
      <c r="C17" s="2289" t="s">
        <v>2314</v>
      </c>
      <c r="D17" s="108" t="s">
        <v>204</v>
      </c>
      <c r="E17" s="124" t="s">
        <v>205</v>
      </c>
      <c r="F17" s="125"/>
      <c r="G17" s="1358"/>
      <c r="H17" s="963" t="s">
        <v>218</v>
      </c>
      <c r="I17" s="964" t="s">
        <v>2313</v>
      </c>
      <c r="J17" s="1975"/>
      <c r="K17" s="3651" t="s">
        <v>2571</v>
      </c>
      <c r="L17" s="3652"/>
      <c r="M17" s="3653"/>
      <c r="N17" s="3651" t="s">
        <v>2572</v>
      </c>
      <c r="O17" s="3652"/>
      <c r="P17" s="3653"/>
      <c r="R17" s="2290" t="s">
        <v>2312</v>
      </c>
      <c r="S17" s="144"/>
    </row>
    <row r="18" spans="1:19" ht="15">
      <c r="A18" s="117"/>
      <c r="B18" s="128"/>
      <c r="C18" s="129"/>
      <c r="D18" s="2658"/>
      <c r="E18" s="130" t="s">
        <v>220</v>
      </c>
      <c r="F18" s="131" t="s">
        <v>221</v>
      </c>
      <c r="G18" s="1359" t="s">
        <v>222</v>
      </c>
      <c r="H18" s="965" t="s">
        <v>223</v>
      </c>
      <c r="I18" s="966" t="s">
        <v>224</v>
      </c>
      <c r="J18" s="1975"/>
      <c r="K18" s="2620" t="s">
        <v>2573</v>
      </c>
      <c r="L18" s="2621" t="s">
        <v>2574</v>
      </c>
      <c r="M18" s="2622" t="s">
        <v>2575</v>
      </c>
      <c r="N18" s="2620" t="s">
        <v>2573</v>
      </c>
      <c r="O18" s="2621" t="s">
        <v>2574</v>
      </c>
      <c r="P18" s="2622" t="s">
        <v>2575</v>
      </c>
      <c r="R18" s="2291" t="s">
        <v>2310</v>
      </c>
      <c r="S18" s="2291" t="s">
        <v>2311</v>
      </c>
    </row>
    <row r="19" spans="1:19">
      <c r="A19" s="133"/>
      <c r="B19" s="115" t="s">
        <v>225</v>
      </c>
      <c r="C19" s="3040" t="s">
        <v>3475</v>
      </c>
      <c r="D19" s="111">
        <f t="shared" ref="D19:D26" si="1">ROUND($D$3*E19/$E$3,2)</f>
        <v>125.66</v>
      </c>
      <c r="E19" s="134">
        <f t="shared" ref="E19:E26" si="2">SUM(F19:G19)</f>
        <v>807</v>
      </c>
      <c r="F19" s="135">
        <f>'数据-基础表'!I13</f>
        <v>807</v>
      </c>
      <c r="G19" s="1360"/>
      <c r="H19" s="967">
        <f>ROUND($D$3*I19/$E$3,2)</f>
        <v>5.19</v>
      </c>
      <c r="I19" s="116">
        <f>IF($I$17="自定义",P19,M19)</f>
        <v>33.32</v>
      </c>
      <c r="J19" s="1975"/>
      <c r="K19" s="2623">
        <f t="shared" ref="K19:K26" si="3">ROUND(E$28*E19/E$27,2)</f>
        <v>33.32</v>
      </c>
      <c r="L19" s="273">
        <f t="shared" ref="L19:L26" si="4">ROUND(IF(COUNTIF(C19,"*住宅*")&gt;0,E$29*E19/E$32,0),2)</f>
        <v>0</v>
      </c>
      <c r="M19" s="2624">
        <f>K19+L19</f>
        <v>33.32</v>
      </c>
      <c r="N19" s="2625"/>
      <c r="O19" s="2626"/>
      <c r="P19" s="2627">
        <f>N19+O19</f>
        <v>0</v>
      </c>
      <c r="R19" s="273">
        <f t="shared" ref="R19:S26" si="5">D19+H19</f>
        <v>130.85</v>
      </c>
      <c r="S19" s="2292">
        <f t="shared" si="5"/>
        <v>840.32</v>
      </c>
    </row>
    <row r="20" spans="1:19">
      <c r="A20" s="138"/>
      <c r="B20" s="115" t="s">
        <v>226</v>
      </c>
      <c r="C20" s="3040" t="s">
        <v>3477</v>
      </c>
      <c r="D20" s="111">
        <f t="shared" si="1"/>
        <v>13754.39</v>
      </c>
      <c r="E20" s="134">
        <f t="shared" si="2"/>
        <v>88331</v>
      </c>
      <c r="F20" s="135">
        <f>'数据-基础表'!M13</f>
        <v>72552</v>
      </c>
      <c r="G20" s="1360">
        <f>'数据-基础表'!Q17</f>
        <v>15779</v>
      </c>
      <c r="H20" s="967">
        <f t="shared" ref="H20:H26" si="6">ROUND($D$3*I20/$E$3,2)</f>
        <v>567.92999999999995</v>
      </c>
      <c r="I20" s="116">
        <f t="shared" ref="I20:I26" si="7">IF($I$17="自定义",P20,M20)</f>
        <v>3647.24</v>
      </c>
      <c r="J20" s="1975"/>
      <c r="K20" s="2623">
        <f t="shared" si="3"/>
        <v>3647.24</v>
      </c>
      <c r="L20" s="273">
        <f t="shared" si="4"/>
        <v>0</v>
      </c>
      <c r="M20" s="2624">
        <f t="shared" ref="M20:M26" si="8">K20+L20</f>
        <v>3647.24</v>
      </c>
      <c r="N20" s="2625"/>
      <c r="O20" s="2626"/>
      <c r="P20" s="2627">
        <f t="shared" ref="P20:P26" si="9">N20+O20</f>
        <v>0</v>
      </c>
      <c r="R20" s="273">
        <f t="shared" si="5"/>
        <v>14322.32</v>
      </c>
      <c r="S20" s="2292">
        <f t="shared" si="5"/>
        <v>91978.240000000005</v>
      </c>
    </row>
    <row r="21" spans="1:19">
      <c r="A21" s="138"/>
      <c r="B21" s="115" t="s">
        <v>226</v>
      </c>
      <c r="C21" s="3040" t="s">
        <v>3478</v>
      </c>
      <c r="D21" s="111">
        <f t="shared" si="1"/>
        <v>42565.88</v>
      </c>
      <c r="E21" s="134">
        <f t="shared" si="2"/>
        <v>273359</v>
      </c>
      <c r="F21" s="135">
        <f>'数据-基础表'!K14</f>
        <v>273359</v>
      </c>
      <c r="G21" s="1360"/>
      <c r="H21" s="967">
        <f t="shared" si="6"/>
        <v>1757.57</v>
      </c>
      <c r="I21" s="116">
        <f t="shared" si="7"/>
        <v>11287.16</v>
      </c>
      <c r="J21" s="1975"/>
      <c r="K21" s="2623">
        <f t="shared" si="3"/>
        <v>11287.16</v>
      </c>
      <c r="L21" s="273">
        <f t="shared" si="4"/>
        <v>0</v>
      </c>
      <c r="M21" s="2624">
        <f t="shared" si="8"/>
        <v>11287.16</v>
      </c>
      <c r="N21" s="2625"/>
      <c r="O21" s="2626"/>
      <c r="P21" s="2627">
        <f t="shared" si="9"/>
        <v>0</v>
      </c>
      <c r="R21" s="273">
        <f t="shared" si="5"/>
        <v>44323.45</v>
      </c>
      <c r="S21" s="2292">
        <f t="shared" si="5"/>
        <v>284646.15999999997</v>
      </c>
    </row>
    <row r="22" spans="1:19">
      <c r="A22" s="138"/>
      <c r="B22" s="115" t="s">
        <v>226</v>
      </c>
      <c r="C22" s="3466" t="s">
        <v>3480</v>
      </c>
      <c r="D22" s="111">
        <f t="shared" si="1"/>
        <v>15259.21</v>
      </c>
      <c r="E22" s="134">
        <f t="shared" si="2"/>
        <v>97995</v>
      </c>
      <c r="F22" s="140"/>
      <c r="G22" s="1361">
        <f>'数据-基础表'!O18</f>
        <v>97995</v>
      </c>
      <c r="H22" s="967">
        <f t="shared" si="6"/>
        <v>630.05999999999995</v>
      </c>
      <c r="I22" s="116">
        <f t="shared" si="7"/>
        <v>4046.27</v>
      </c>
      <c r="J22" s="1975"/>
      <c r="K22" s="2623">
        <f t="shared" si="3"/>
        <v>4046.27</v>
      </c>
      <c r="L22" s="273">
        <f t="shared" si="4"/>
        <v>0</v>
      </c>
      <c r="M22" s="2624">
        <f t="shared" si="8"/>
        <v>4046.27</v>
      </c>
      <c r="N22" s="2625"/>
      <c r="O22" s="2626"/>
      <c r="P22" s="2627">
        <f t="shared" si="9"/>
        <v>0</v>
      </c>
      <c r="R22" s="273">
        <f t="shared" si="5"/>
        <v>15889.269999999999</v>
      </c>
      <c r="S22" s="2292">
        <f t="shared" si="5"/>
        <v>102041.27</v>
      </c>
    </row>
    <row r="23" spans="1:19">
      <c r="A23" s="138"/>
      <c r="B23" s="115" t="s">
        <v>226</v>
      </c>
      <c r="C23" s="3466"/>
      <c r="D23" s="111">
        <f>ROUND($D$3*E23/$E$3,2)</f>
        <v>0</v>
      </c>
      <c r="E23" s="134">
        <f>SUM(F23:G23)</f>
        <v>0</v>
      </c>
      <c r="F23" s="140"/>
      <c r="G23" s="1361"/>
      <c r="H23" s="967">
        <f>ROUND($D$3*I23/$E$3,2)</f>
        <v>0</v>
      </c>
      <c r="I23" s="116">
        <f t="shared" si="7"/>
        <v>0</v>
      </c>
      <c r="J23" s="1975"/>
      <c r="K23" s="2623">
        <f t="shared" si="3"/>
        <v>0</v>
      </c>
      <c r="L23" s="273">
        <f t="shared" si="4"/>
        <v>0</v>
      </c>
      <c r="M23" s="2624">
        <f t="shared" si="8"/>
        <v>0</v>
      </c>
      <c r="N23" s="2625"/>
      <c r="O23" s="2626"/>
      <c r="P23" s="2627">
        <f t="shared" si="9"/>
        <v>0</v>
      </c>
      <c r="R23" s="273">
        <f t="shared" si="5"/>
        <v>0</v>
      </c>
      <c r="S23" s="2292">
        <f t="shared" si="5"/>
        <v>0</v>
      </c>
    </row>
    <row r="24" spans="1:19">
      <c r="A24" s="138"/>
      <c r="B24" s="115" t="s">
        <v>226</v>
      </c>
      <c r="C24" s="3466"/>
      <c r="D24" s="111">
        <f>ROUND($D$3*E24/$E$3,2)</f>
        <v>0</v>
      </c>
      <c r="E24" s="134">
        <f>SUM(F24:G24)</f>
        <v>0</v>
      </c>
      <c r="F24" s="140"/>
      <c r="G24" s="1361"/>
      <c r="H24" s="967">
        <f>ROUND($D$3*I24/$E$3,2)</f>
        <v>0</v>
      </c>
      <c r="I24" s="116">
        <f t="shared" si="7"/>
        <v>0</v>
      </c>
      <c r="J24" s="1975"/>
      <c r="K24" s="2623">
        <f t="shared" si="3"/>
        <v>0</v>
      </c>
      <c r="L24" s="273">
        <f t="shared" si="4"/>
        <v>0</v>
      </c>
      <c r="M24" s="2624">
        <f t="shared" si="8"/>
        <v>0</v>
      </c>
      <c r="N24" s="2625"/>
      <c r="O24" s="2626"/>
      <c r="P24" s="2627">
        <f t="shared" si="9"/>
        <v>0</v>
      </c>
      <c r="R24" s="273">
        <f t="shared" si="5"/>
        <v>0</v>
      </c>
      <c r="S24" s="2292">
        <f t="shared" si="5"/>
        <v>0</v>
      </c>
    </row>
    <row r="25" spans="1:19">
      <c r="A25" s="138"/>
      <c r="B25" s="115" t="s">
        <v>226</v>
      </c>
      <c r="C25" s="139"/>
      <c r="D25" s="111">
        <f t="shared" si="1"/>
        <v>0</v>
      </c>
      <c r="E25" s="134">
        <f t="shared" si="2"/>
        <v>0</v>
      </c>
      <c r="F25" s="140"/>
      <c r="G25" s="1361"/>
      <c r="H25" s="110">
        <f t="shared" si="6"/>
        <v>0</v>
      </c>
      <c r="I25" s="116">
        <f t="shared" si="7"/>
        <v>0</v>
      </c>
      <c r="J25" s="1975"/>
      <c r="K25" s="2623">
        <f t="shared" si="3"/>
        <v>0</v>
      </c>
      <c r="L25" s="273">
        <f t="shared" si="4"/>
        <v>0</v>
      </c>
      <c r="M25" s="2624">
        <f t="shared" si="8"/>
        <v>0</v>
      </c>
      <c r="N25" s="2625"/>
      <c r="O25" s="2626"/>
      <c r="P25" s="2627">
        <f t="shared" si="9"/>
        <v>0</v>
      </c>
      <c r="R25" s="273">
        <f t="shared" si="5"/>
        <v>0</v>
      </c>
      <c r="S25" s="2292">
        <f t="shared" si="5"/>
        <v>0</v>
      </c>
    </row>
    <row r="26" spans="1:19">
      <c r="A26" s="138"/>
      <c r="B26" s="115" t="s">
        <v>226</v>
      </c>
      <c r="C26" s="142"/>
      <c r="D26" s="111">
        <f t="shared" si="1"/>
        <v>0</v>
      </c>
      <c r="E26" s="134">
        <f t="shared" si="2"/>
        <v>0</v>
      </c>
      <c r="F26" s="140"/>
      <c r="G26" s="1361"/>
      <c r="H26" s="110">
        <f t="shared" si="6"/>
        <v>0</v>
      </c>
      <c r="I26" s="116">
        <f t="shared" si="7"/>
        <v>0</v>
      </c>
      <c r="J26" s="1975"/>
      <c r="K26" s="2628">
        <f t="shared" si="3"/>
        <v>0</v>
      </c>
      <c r="L26" s="278">
        <f t="shared" si="4"/>
        <v>0</v>
      </c>
      <c r="M26" s="146">
        <f t="shared" si="8"/>
        <v>0</v>
      </c>
      <c r="N26" s="2629"/>
      <c r="O26" s="2630"/>
      <c r="P26" s="2631">
        <f t="shared" si="9"/>
        <v>0</v>
      </c>
      <c r="R26" s="273">
        <f t="shared" si="5"/>
        <v>0</v>
      </c>
      <c r="S26" s="2292">
        <f t="shared" si="5"/>
        <v>0</v>
      </c>
    </row>
    <row r="27" spans="1:19" ht="29.25" thickBot="1">
      <c r="A27" s="138"/>
      <c r="B27" s="111"/>
      <c r="C27" s="127" t="s">
        <v>215</v>
      </c>
      <c r="D27" s="134">
        <f>SUM(D19:D26)</f>
        <v>71705.139999999985</v>
      </c>
      <c r="E27" s="143">
        <f>IF(SUM(E19:E26)='数据-基础表'!BA5,SUM(E19:E26),IF(F27="地上面积有误","面积有误","地下面积有误"))</f>
        <v>460492</v>
      </c>
      <c r="F27" s="134">
        <f>IF(SUM(F19:F26)=E8,SUM(F19:F26),"地上面积有误")</f>
        <v>346718</v>
      </c>
      <c r="G27" s="112">
        <f>SUM(G19:G26)</f>
        <v>113774</v>
      </c>
      <c r="H27" s="968">
        <f>SUM(H19:H26)</f>
        <v>2960.75</v>
      </c>
      <c r="I27" s="969">
        <f>SUM(I19:I26)</f>
        <v>19013.989999999998</v>
      </c>
      <c r="J27" s="1975"/>
      <c r="K27" s="2632">
        <f>SUM(K19:K26)</f>
        <v>19013.989999999998</v>
      </c>
      <c r="L27" s="2633">
        <f>SUM(L19:L26)</f>
        <v>0</v>
      </c>
      <c r="M27" s="2634">
        <f>SUM(M19:M26)</f>
        <v>19013.989999999998</v>
      </c>
      <c r="N27" s="2632">
        <f t="shared" ref="N27:O27" si="10">SUM(N19:N26)</f>
        <v>0</v>
      </c>
      <c r="O27" s="2633">
        <f t="shared" si="10"/>
        <v>0</v>
      </c>
      <c r="P27" s="2635">
        <f>SUM(P19:P26)</f>
        <v>0</v>
      </c>
      <c r="R27" s="2296" t="str">
        <f>IF(SUM(R19:R26)=$D$3,SUM(R19:R26),SUM(R19:R26)&amp;"误差"&amp;ROUND(SUM(R19:R26)-$D$3,2))</f>
        <v>74665.89误差-0.01</v>
      </c>
      <c r="S27" s="273" t="str">
        <f>IF(SUM(S19:S26)=$E$3,SUM(S19:S26),SUM(S19:S26)&amp;"误差"&amp;ROUND(SUM(S19:S26)-E3,2))</f>
        <v>479505.99误差-0.01</v>
      </c>
    </row>
    <row r="28" spans="1:19">
      <c r="A28" s="138"/>
      <c r="B28" s="115" t="s">
        <v>227</v>
      </c>
      <c r="C28" s="136" t="s">
        <v>228</v>
      </c>
      <c r="D28" s="111">
        <f>ROUND($D$3*E28/$E$3,2)</f>
        <v>2960.75</v>
      </c>
      <c r="E28" s="134">
        <f>SUM(F28:G28)</f>
        <v>19014</v>
      </c>
      <c r="F28" s="144">
        <f>'数据-基础表'!BQ5+'数据-基础表'!BS5</f>
        <v>7667</v>
      </c>
      <c r="G28" s="145">
        <f>'数据-基础表'!BR5+'数据-基础表'!BT5</f>
        <v>11347</v>
      </c>
      <c r="H28" s="1975"/>
      <c r="I28" s="1975"/>
      <c r="J28" s="1975"/>
      <c r="K28" s="1975"/>
      <c r="L28" s="1975"/>
    </row>
    <row r="29" spans="1:19">
      <c r="A29" s="138"/>
      <c r="B29" s="115" t="s">
        <v>227</v>
      </c>
      <c r="C29" s="2304" t="s">
        <v>2321</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215</v>
      </c>
      <c r="D30" s="134">
        <f>SUM(D28:D29)</f>
        <v>2960.75</v>
      </c>
      <c r="E30" s="134">
        <f>SUM(E28:E29)</f>
        <v>19014</v>
      </c>
      <c r="F30" s="134">
        <f>SUM(F28:F29)</f>
        <v>7667</v>
      </c>
      <c r="G30" s="112">
        <f>SUM(G28:G29)</f>
        <v>11347</v>
      </c>
      <c r="H30" s="1975"/>
      <c r="I30" s="1975"/>
      <c r="J30" s="1975"/>
      <c r="K30" s="1975"/>
      <c r="L30" s="1975"/>
    </row>
    <row r="31" spans="1:19" ht="32.25" customHeight="1" thickBot="1">
      <c r="A31" s="1362"/>
      <c r="B31" s="1363" t="s">
        <v>229</v>
      </c>
      <c r="C31" s="2321" t="s">
        <v>2323</v>
      </c>
      <c r="D31" s="1364">
        <f>D27+D30</f>
        <v>74665.889999999985</v>
      </c>
      <c r="E31" s="1364">
        <f>E27+E30</f>
        <v>479506</v>
      </c>
      <c r="F31" s="1365">
        <f>F27+F30</f>
        <v>354385</v>
      </c>
      <c r="G31" s="1366">
        <f>G27+G30</f>
        <v>125121</v>
      </c>
      <c r="H31" s="1975"/>
      <c r="I31" s="1975"/>
      <c r="J31" s="1975"/>
      <c r="K31" s="1975"/>
      <c r="L31" s="1975"/>
    </row>
    <row r="32" spans="1:19">
      <c r="A32" s="1975"/>
      <c r="B32" s="2354" t="s">
        <v>2322</v>
      </c>
      <c r="C32" s="2663"/>
      <c r="D32" s="1194"/>
      <c r="E32" s="1194">
        <f>SUMIF(C19:C26,"*住宅*",E19:E26)</f>
        <v>0</v>
      </c>
      <c r="F32" s="1194"/>
      <c r="G32" s="1194"/>
    </row>
    <row r="33" spans="4:7">
      <c r="D33" s="1979"/>
    </row>
    <row r="35" spans="4:7">
      <c r="G35"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H28" sqref="H28"/>
    </sheetView>
  </sheetViews>
  <sheetFormatPr defaultRowHeight="13.5"/>
  <cols>
    <col min="2" max="2" width="12.75" customWidth="1"/>
    <col min="3" max="3" width="11.25" customWidth="1"/>
  </cols>
  <sheetData>
    <row r="1" spans="1:15">
      <c r="A1" s="3501" t="s">
        <v>3316</v>
      </c>
      <c r="I1" s="3501">
        <f>38973+76324</f>
        <v>115297</v>
      </c>
      <c r="O1" s="3501" t="s">
        <v>3458</v>
      </c>
    </row>
    <row r="2" spans="1:15">
      <c r="A2" s="3501" t="s">
        <v>3317</v>
      </c>
      <c r="B2" s="3501" t="s">
        <v>3318</v>
      </c>
      <c r="C2" s="3501" t="s">
        <v>3321</v>
      </c>
      <c r="D2" s="3501"/>
      <c r="O2" s="3501" t="s">
        <v>3459</v>
      </c>
    </row>
    <row r="3" spans="1:15">
      <c r="A3" s="3501"/>
      <c r="B3" s="3501"/>
      <c r="C3" s="3501" t="s">
        <v>3320</v>
      </c>
      <c r="D3" s="3501" t="s">
        <v>3322</v>
      </c>
      <c r="E3" s="3501" t="s">
        <v>3323</v>
      </c>
      <c r="F3" s="3501" t="s">
        <v>3324</v>
      </c>
      <c r="G3" s="3501" t="s">
        <v>3325</v>
      </c>
      <c r="H3" s="3501" t="s">
        <v>3346</v>
      </c>
      <c r="I3" s="3501" t="s">
        <v>3457</v>
      </c>
      <c r="J3" s="3501" t="s">
        <v>3460</v>
      </c>
      <c r="K3" s="3501" t="s">
        <v>3461</v>
      </c>
      <c r="O3">
        <v>56274.92</v>
      </c>
    </row>
    <row r="4" spans="1:15">
      <c r="A4">
        <v>1</v>
      </c>
      <c r="B4" s="3501">
        <v>1</v>
      </c>
      <c r="C4" s="3542">
        <v>29184</v>
      </c>
      <c r="D4" s="3501"/>
      <c r="E4" s="3501">
        <v>312</v>
      </c>
      <c r="G4">
        <f>273</f>
        <v>273</v>
      </c>
      <c r="H4">
        <f>39+100</f>
        <v>139</v>
      </c>
      <c r="I4">
        <f>11958+2586</f>
        <v>14544</v>
      </c>
      <c r="J4">
        <v>78730.2</v>
      </c>
      <c r="K4">
        <f>I1-I4-J4</f>
        <v>22022.800000000003</v>
      </c>
      <c r="O4">
        <v>8868.58</v>
      </c>
    </row>
    <row r="5" spans="1:15">
      <c r="A5">
        <v>2</v>
      </c>
      <c r="B5">
        <v>2</v>
      </c>
      <c r="C5" s="3543"/>
      <c r="E5">
        <v>16775</v>
      </c>
      <c r="G5" s="3501">
        <f>246+145+60+334</f>
        <v>785</v>
      </c>
      <c r="H5">
        <f>167+21+11</f>
        <v>199</v>
      </c>
      <c r="O5">
        <v>4081.9</v>
      </c>
    </row>
    <row r="6" spans="1:15">
      <c r="A6">
        <v>3</v>
      </c>
      <c r="B6">
        <v>3</v>
      </c>
      <c r="C6" s="3543">
        <v>70205</v>
      </c>
      <c r="G6" s="3501"/>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1" t="s">
        <v>3345</v>
      </c>
      <c r="C11">
        <f>SUM(C4:C10)</f>
        <v>99389</v>
      </c>
      <c r="D11">
        <f t="shared" ref="D11:H11" si="0">SUM(D4:D10)</f>
        <v>180419</v>
      </c>
      <c r="E11">
        <f t="shared" si="0"/>
        <v>103369</v>
      </c>
      <c r="F11">
        <f t="shared" si="0"/>
        <v>0</v>
      </c>
      <c r="G11">
        <f t="shared" si="0"/>
        <v>2771</v>
      </c>
      <c r="H11">
        <f t="shared" si="0"/>
        <v>8140</v>
      </c>
    </row>
    <row r="12" spans="1:15">
      <c r="B12" s="3501" t="s">
        <v>3462</v>
      </c>
      <c r="C12">
        <f>C11+D11+E11+G11</f>
        <v>385948</v>
      </c>
    </row>
    <row r="14" spans="1:15">
      <c r="A14" s="3501" t="s">
        <v>3382</v>
      </c>
    </row>
    <row r="15" spans="1:15">
      <c r="A15" s="3531" t="s">
        <v>3318</v>
      </c>
      <c r="B15" s="3501" t="s">
        <v>3387</v>
      </c>
      <c r="C15" s="3501" t="s">
        <v>3388</v>
      </c>
      <c r="D15" s="3501" t="s">
        <v>3389</v>
      </c>
      <c r="E15" s="3501" t="s">
        <v>3390</v>
      </c>
      <c r="F15" s="3532" t="s">
        <v>3391</v>
      </c>
    </row>
    <row r="16" spans="1:15">
      <c r="A16" s="3501" t="s">
        <v>3383</v>
      </c>
      <c r="B16">
        <v>312</v>
      </c>
    </row>
    <row r="17" spans="1:6">
      <c r="A17" s="3501" t="s">
        <v>3384</v>
      </c>
      <c r="B17">
        <f>E5/4</f>
        <v>4193.75</v>
      </c>
      <c r="C17">
        <f>B17</f>
        <v>4193.75</v>
      </c>
      <c r="D17">
        <f>B17</f>
        <v>4193.75</v>
      </c>
      <c r="E17">
        <f>B17</f>
        <v>4193.75</v>
      </c>
    </row>
    <row r="18" spans="1:6">
      <c r="A18" s="3501" t="s">
        <v>3385</v>
      </c>
      <c r="B18">
        <f>E8/4</f>
        <v>14900.5</v>
      </c>
      <c r="C18">
        <f>B18</f>
        <v>14900.5</v>
      </c>
      <c r="D18">
        <f>B18</f>
        <v>14900.5</v>
      </c>
      <c r="E18">
        <f>B18</f>
        <v>14900.5</v>
      </c>
    </row>
    <row r="19" spans="1:6">
      <c r="A19" s="3501" t="s">
        <v>3386</v>
      </c>
      <c r="B19">
        <f>22651/2</f>
        <v>11325.5</v>
      </c>
      <c r="C19">
        <f>B19</f>
        <v>11325.5</v>
      </c>
    </row>
    <row r="20" spans="1:6">
      <c r="A20" s="3501" t="s">
        <v>3345</v>
      </c>
      <c r="B20">
        <f>SUM(B16:B19)</f>
        <v>30731.75</v>
      </c>
      <c r="C20">
        <f>SUM(C17:C19)</f>
        <v>30419.75</v>
      </c>
      <c r="D20">
        <f>SUM(D17:D18)</f>
        <v>19094.25</v>
      </c>
      <c r="E20">
        <f>SUM(E16:E19)</f>
        <v>19094.25</v>
      </c>
    </row>
    <row r="21" spans="1:6">
      <c r="A21" s="3501" t="s">
        <v>3392</v>
      </c>
      <c r="B21">
        <v>4029</v>
      </c>
    </row>
    <row r="22" spans="1:6">
      <c r="A22" s="3501" t="s">
        <v>3393</v>
      </c>
      <c r="F22">
        <f>'数据-基础表'!M17</f>
        <v>0</v>
      </c>
    </row>
    <row r="28" spans="1:6">
      <c r="B28">
        <f>99340/476451.2*32933.8</f>
        <v>6866.6921019403462</v>
      </c>
    </row>
  </sheetData>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7" sqref="A26:E2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9"/>
    <col min="42" max="42" width="0" style="1989" hidden="1" customWidth="1"/>
    <col min="43" max="83" width="13.75" style="1989"/>
    <col min="84" max="16384" width="13.75" style="1196"/>
  </cols>
  <sheetData>
    <row r="1" spans="1:83" ht="19.5" thickBot="1">
      <c r="A1" s="148" t="s">
        <v>234</v>
      </c>
      <c r="B1" s="1195"/>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9" customFormat="1" ht="15.75" thickBot="1">
      <c r="A2" s="149" t="s">
        <v>235</v>
      </c>
      <c r="B2" s="2329">
        <f>项目基本情况!D3</f>
        <v>43271</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9" customFormat="1" ht="15" thickBot="1">
      <c r="A3" s="1200"/>
      <c r="B3" s="1197"/>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5" customFormat="1" ht="40.5">
      <c r="A5" s="229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6"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6" t="s">
        <v>2375</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9" customFormat="1" ht="14.25">
      <c r="A6" s="2293" t="str">
        <f>'数据-汇总表'!C19</f>
        <v>底商</v>
      </c>
      <c r="B6" s="2328" t="str">
        <f>IF(A6=0,"","经营性")</f>
        <v>经营性</v>
      </c>
      <c r="C6" s="173" t="s">
        <v>3194</v>
      </c>
      <c r="D6" s="2299">
        <f>SUMIF(项目基本情况!D$15:I$15,C6,项目基本情况!D$18:I$18)</f>
        <v>40</v>
      </c>
      <c r="E6" s="2300">
        <f>IF(B6="","",SUMIF(项目基本情况!D$15:I$15,C6,项目基本情况!D$17:I$17))</f>
        <v>56327</v>
      </c>
      <c r="F6" s="174">
        <f>SUMIF(项目基本情况!D$15:I$15,C6,项目基本情况!D$19:I$19)</f>
        <v>35.76</v>
      </c>
      <c r="G6" s="175">
        <f>IF(ISERROR(ROUND(POWER(1+H6,D6-F6)*(POWER(1+H6,F6)-1)/(POWER(1+H6,D6)-1),3)),0,ROUND(POWER(1+H6,D6-F6)*(POWER(1+H6,F6)-1)/(POWER(1+H6,D6)-1),3))</f>
        <v>0.96199999999999997</v>
      </c>
      <c r="H6" s="3041">
        <v>0.05</v>
      </c>
      <c r="I6" s="3041">
        <v>5.5E-2</v>
      </c>
      <c r="J6" s="176">
        <v>8.5000000000000006E-2</v>
      </c>
      <c r="K6" s="179">
        <f>SUMIF('数据-汇总表'!C$19:C$33,'数据-取费表'!A6,'数据-汇总表'!E$19:E$33)</f>
        <v>807</v>
      </c>
      <c r="L6" s="3042">
        <v>3000</v>
      </c>
      <c r="M6" s="177">
        <f t="shared" ref="M6:M14" si="0">ROUND(K6*L6/10000,0)</f>
        <v>242</v>
      </c>
      <c r="N6" s="3043">
        <v>0</v>
      </c>
      <c r="O6" s="177">
        <f>IF($N$5="成新度","——",ROUND(M6*N6,0))</f>
        <v>0</v>
      </c>
      <c r="P6" s="178">
        <f>IF($N$5="成新度","——",M6-O6)</f>
        <v>242</v>
      </c>
      <c r="Q6" s="3552">
        <v>0.25</v>
      </c>
      <c r="R6" s="179">
        <f>SUMIF('数据-汇总表'!C$19:C$33,A6,'数据-汇总表'!R$19:R$33)</f>
        <v>130.85</v>
      </c>
      <c r="S6" s="132">
        <f>IF('数据-汇总表'!$I$17="按面积比例",SUMIF('数据-汇总表'!C$19:C$33,A6,'数据-汇总表'!K$19:K$33),SUMIF('数据-汇总表'!C$19:C$33,A6,'数据-汇总表'!N$19:N$33))</f>
        <v>33.32</v>
      </c>
      <c r="T6" s="2225">
        <f>IF($T$4="按面积比例",IF(ISERROR(ROUND($M$14*S6/S$16,0)),"0",ROUND($M$14*S6/S$16,0)),"需自行计算录入")</f>
        <v>7</v>
      </c>
      <c r="U6" s="180"/>
      <c r="V6" s="181"/>
      <c r="W6" s="181"/>
      <c r="X6" s="2312"/>
      <c r="Y6" s="182">
        <v>1</v>
      </c>
      <c r="Z6" s="183"/>
      <c r="AA6" s="176"/>
      <c r="AB6" s="176"/>
      <c r="AC6" s="2315"/>
      <c r="AD6" s="184"/>
      <c r="AE6" s="965" t="e">
        <f ca="1">IF(AN6="",0,SUMIF(INDIRECT("'"&amp;AN6&amp;"'"&amp;"!E:E"),$AE$5,INDIRECT("'"&amp;AN6&amp;"'"&amp;"!F:F")))</f>
        <v>#N/A</v>
      </c>
      <c r="AF6" s="141"/>
      <c r="AG6" s="1206">
        <f>IF(AF6="",0,AE6-AF6)</f>
        <v>0</v>
      </c>
      <c r="AH6" s="141"/>
      <c r="AI6" s="187">
        <v>365</v>
      </c>
      <c r="AJ6" s="188"/>
      <c r="AK6" s="189">
        <v>1.4999999999999999E-2</v>
      </c>
      <c r="AL6" s="190">
        <v>1.5E-3</v>
      </c>
      <c r="AM6" s="3054">
        <v>0.02</v>
      </c>
      <c r="AN6" s="2407" t="s">
        <v>3314</v>
      </c>
      <c r="AO6" s="1991"/>
      <c r="AP6" s="1197">
        <f>ROUND(1-1/(1+H6)^F6,3)</f>
        <v>0.82499999999999996</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9" customFormat="1" ht="14.25">
      <c r="A7" s="2293" t="str">
        <f>'数据-汇总表'!C20</f>
        <v>商业街商铺</v>
      </c>
      <c r="B7" s="2328" t="str">
        <f t="shared" ref="B7:B13" si="1">IF(A7=0,"","经营性")</f>
        <v>经营性</v>
      </c>
      <c r="C7" s="173" t="s">
        <v>3194</v>
      </c>
      <c r="D7" s="2299">
        <f>SUMIF(项目基本情况!D$15:I$15,C7,项目基本情况!D$18:I$18)</f>
        <v>40</v>
      </c>
      <c r="E7" s="2300">
        <f>IF(B7="","",SUMIF(项目基本情况!D$15:I$15,C7,项目基本情况!D$17:I$17))</f>
        <v>56327</v>
      </c>
      <c r="F7" s="174">
        <f>SUMIF(项目基本情况!D$15:I$15,C7,项目基本情况!D$19:I$19)</f>
        <v>35.76</v>
      </c>
      <c r="G7" s="175">
        <f t="shared" ref="G7:G11" si="2">IF(ISERROR(ROUND(POWER(1+H7,D7-F7)*(POWER(1+H7,F7)-1)/(POWER(1+H7,D7)-1),3)),0,ROUND(POWER(1+H7,D7-F7)*(POWER(1+H7,F7)-1)/(POWER(1+H7,D7)-1),3))</f>
        <v>0.96199999999999997</v>
      </c>
      <c r="H7" s="3041">
        <v>0.05</v>
      </c>
      <c r="I7" s="3041">
        <v>5.5E-2</v>
      </c>
      <c r="J7" s="176">
        <v>8.5000000000000006E-2</v>
      </c>
      <c r="K7" s="179">
        <f>SUMIF('数据-汇总表'!C$19:C$33,'数据-取费表'!A7,'数据-汇总表'!E$19:E$33)</f>
        <v>88331</v>
      </c>
      <c r="L7" s="3042">
        <v>3200</v>
      </c>
      <c r="M7" s="177">
        <f t="shared" si="0"/>
        <v>28266</v>
      </c>
      <c r="N7" s="3043">
        <v>0</v>
      </c>
      <c r="O7" s="177">
        <f t="shared" ref="O7:O14" si="3">IF($N$5="成新度","——",ROUND(M7*N7,0))</f>
        <v>0</v>
      </c>
      <c r="P7" s="178">
        <f t="shared" ref="P7:P14" si="4">IF($N$5="成新度","——",M7-O7)</f>
        <v>28266</v>
      </c>
      <c r="Q7" s="3552">
        <v>0.25</v>
      </c>
      <c r="R7" s="179">
        <f>SUMIF('数据-汇总表'!C$19:C$33,A7,'数据-汇总表'!R$19:R$33)</f>
        <v>14322.32</v>
      </c>
      <c r="S7" s="132">
        <f>IF('数据-汇总表'!$I$17="按面积比例",SUMIF('数据-汇总表'!C$19:C$33,A7,'数据-汇总表'!K$19:K$33),SUMIF('数据-汇总表'!C$19:C$33,A7,'数据-汇总表'!N$19:N$33))</f>
        <v>3647.24</v>
      </c>
      <c r="T7" s="2225">
        <f t="shared" ref="T7:T13" si="5">IF($T$4="按面积比例",IF(ISERROR(ROUND($M$14*S7/S$16,0)),"0",ROUND($M$14*S7/S$16,0)),"需自行计算录入")</f>
        <v>729</v>
      </c>
      <c r="U7" s="180"/>
      <c r="V7" s="181"/>
      <c r="W7" s="181"/>
      <c r="X7" s="2312"/>
      <c r="Y7" s="182">
        <v>1</v>
      </c>
      <c r="Z7" s="183"/>
      <c r="AA7" s="176"/>
      <c r="AB7" s="176"/>
      <c r="AC7" s="2315"/>
      <c r="AD7" s="184"/>
      <c r="AE7" s="965">
        <f t="shared" ref="AE7:AE13" ca="1" si="6">IF(AN7="",0,SUMIF(INDIRECT("'"&amp;AN7&amp;"'"&amp;"!E:E"),$AE$5,INDIRECT("'"&amp;AN7&amp;"'"&amp;"!F:F")))</f>
        <v>32.76</v>
      </c>
      <c r="AF7" s="141"/>
      <c r="AG7" s="1206">
        <f t="shared" ref="AG7:AG13" si="7">IF(AF7="",0,AE7-AF7)</f>
        <v>0</v>
      </c>
      <c r="AH7" s="141"/>
      <c r="AI7" s="187">
        <v>365</v>
      </c>
      <c r="AJ7" s="188"/>
      <c r="AK7" s="189">
        <v>1.4999999999999999E-2</v>
      </c>
      <c r="AL7" s="190">
        <v>1.5E-3</v>
      </c>
      <c r="AM7" s="2405">
        <v>0.02</v>
      </c>
      <c r="AN7" s="2407" t="s">
        <v>3315</v>
      </c>
      <c r="AO7" s="1991"/>
      <c r="AP7" s="1197">
        <f t="shared" ref="AP7:AP13" si="8">ROUND(1-1/(1+H7)^F7,3)</f>
        <v>0.82499999999999996</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9" customFormat="1" ht="14.25">
      <c r="A8" s="2293" t="str">
        <f>'数据-汇总表'!C21</f>
        <v>办公</v>
      </c>
      <c r="B8" s="2328" t="str">
        <f t="shared" si="1"/>
        <v>经营性</v>
      </c>
      <c r="C8" s="173" t="s">
        <v>1678</v>
      </c>
      <c r="D8" s="2299">
        <f>SUMIF(项目基本情况!D$15:I$15,C8,项目基本情况!D$18:I$18)</f>
        <v>40</v>
      </c>
      <c r="E8" s="2300">
        <f>IF(B8="","",SUMIF(项目基本情况!D$15:I$15,C8,项目基本情况!D$17:I$17))</f>
        <v>56327</v>
      </c>
      <c r="F8" s="174">
        <f>SUMIF(项目基本情况!D$15:I$15,C8,项目基本情况!D$19:I$19)</f>
        <v>35.76</v>
      </c>
      <c r="G8" s="175">
        <f t="shared" si="2"/>
        <v>0.96199999999999997</v>
      </c>
      <c r="H8" s="3041">
        <v>0.05</v>
      </c>
      <c r="I8" s="3041">
        <v>5.5E-2</v>
      </c>
      <c r="J8" s="176">
        <v>8.5000000000000006E-2</v>
      </c>
      <c r="K8" s="179">
        <f>SUMIF('数据-汇总表'!C$19:C$33,'数据-取费表'!A8,'数据-汇总表'!E$19:E$33)</f>
        <v>273359</v>
      </c>
      <c r="L8" s="3042">
        <v>3000</v>
      </c>
      <c r="M8" s="177">
        <f>ROUND(K8*L8/10000,0)</f>
        <v>82008</v>
      </c>
      <c r="N8" s="3043">
        <v>0</v>
      </c>
      <c r="O8" s="177">
        <f t="shared" si="3"/>
        <v>0</v>
      </c>
      <c r="P8" s="178">
        <f t="shared" si="4"/>
        <v>82008</v>
      </c>
      <c r="Q8" s="3552">
        <v>0.2</v>
      </c>
      <c r="R8" s="179">
        <f>SUMIF('数据-汇总表'!C$19:C$33,A8,'数据-汇总表'!R$19:R$33)</f>
        <v>44323.45</v>
      </c>
      <c r="S8" s="132">
        <f>IF('数据-汇总表'!$I$17="按面积比例",SUMIF('数据-汇总表'!C$19:C$33,A8,'数据-汇总表'!K$19:K$33),SUMIF('数据-汇总表'!C$19:C$33,A8,'数据-汇总表'!N$19:N$33))</f>
        <v>11287.16</v>
      </c>
      <c r="T8" s="2225">
        <f t="shared" si="5"/>
        <v>2258</v>
      </c>
      <c r="U8" s="180"/>
      <c r="V8" s="181"/>
      <c r="W8" s="181"/>
      <c r="X8" s="2312"/>
      <c r="Y8" s="182">
        <v>1</v>
      </c>
      <c r="Z8" s="183"/>
      <c r="AA8" s="176"/>
      <c r="AB8" s="176"/>
      <c r="AC8" s="2315"/>
      <c r="AD8" s="184"/>
      <c r="AE8" s="965">
        <f t="shared" ca="1" si="6"/>
        <v>0</v>
      </c>
      <c r="AF8" s="141"/>
      <c r="AG8" s="1206">
        <f t="shared" si="7"/>
        <v>0</v>
      </c>
      <c r="AH8" s="141"/>
      <c r="AI8" s="187"/>
      <c r="AJ8" s="188"/>
      <c r="AK8" s="189"/>
      <c r="AL8" s="190"/>
      <c r="AM8" s="2405"/>
      <c r="AN8" s="2407"/>
      <c r="AO8" s="1991"/>
      <c r="AP8" s="1197">
        <f t="shared" si="8"/>
        <v>0.82499999999999996</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9" customFormat="1" ht="14.25">
      <c r="A9" s="2293" t="str">
        <f>'数据-汇总表'!C22</f>
        <v>地库</v>
      </c>
      <c r="B9" s="2328" t="str">
        <f t="shared" si="1"/>
        <v>经营性</v>
      </c>
      <c r="C9" s="173" t="s">
        <v>3211</v>
      </c>
      <c r="D9" s="2299">
        <f>SUMIF(项目基本情况!D$15:I$15,C9,项目基本情况!D$18:I$18)</f>
        <v>50</v>
      </c>
      <c r="E9" s="2300">
        <f>IF(B9="","",SUMIF(项目基本情况!D$15:I$15,C9,项目基本情况!D$17:I$17))</f>
        <v>59980</v>
      </c>
      <c r="F9" s="174">
        <f>SUMIF(项目基本情况!D$15:I$15,C9,项目基本情况!D$19:I$19)</f>
        <v>45.77</v>
      </c>
      <c r="G9" s="175">
        <f t="shared" si="2"/>
        <v>0.97499999999999998</v>
      </c>
      <c r="H9" s="3569">
        <v>4.4999999999999998E-2</v>
      </c>
      <c r="I9" s="3569">
        <v>0.05</v>
      </c>
      <c r="J9" s="176">
        <v>8.5000000000000006E-2</v>
      </c>
      <c r="K9" s="179">
        <f>SUMIF('数据-汇总表'!C$19:C$33,'数据-取费表'!A9,'数据-汇总表'!E$19:E$33)</f>
        <v>97995</v>
      </c>
      <c r="L9" s="193">
        <v>2500</v>
      </c>
      <c r="M9" s="177">
        <f t="shared" si="0"/>
        <v>24499</v>
      </c>
      <c r="N9" s="194">
        <v>0</v>
      </c>
      <c r="O9" s="177">
        <f t="shared" si="3"/>
        <v>0</v>
      </c>
      <c r="P9" s="178">
        <f t="shared" si="4"/>
        <v>24499</v>
      </c>
      <c r="Q9" s="3560">
        <v>0.1</v>
      </c>
      <c r="R9" s="179">
        <f>SUMIF('数据-汇总表'!C$19:C$33,A9,'数据-汇总表'!R$19:R$33)</f>
        <v>15889.269999999999</v>
      </c>
      <c r="S9" s="132">
        <f>IF('数据-汇总表'!$I$17="按面积比例",SUMIF('数据-汇总表'!C$19:C$33,A9,'数据-汇总表'!K$19:K$33),SUMIF('数据-汇总表'!C$19:C$33,A9,'数据-汇总表'!N$19:N$33))</f>
        <v>4046.27</v>
      </c>
      <c r="T9" s="2225">
        <f t="shared" si="5"/>
        <v>809</v>
      </c>
      <c r="U9" s="180">
        <v>0.6</v>
      </c>
      <c r="V9" s="181">
        <v>0.02</v>
      </c>
      <c r="W9" s="181">
        <v>0.1</v>
      </c>
      <c r="X9" s="2312"/>
      <c r="Y9" s="3568">
        <v>1</v>
      </c>
      <c r="Z9" s="183"/>
      <c r="AA9" s="176"/>
      <c r="AB9" s="176"/>
      <c r="AC9" s="2315"/>
      <c r="AD9" s="184"/>
      <c r="AE9" s="965">
        <f t="shared" ca="1" si="6"/>
        <v>42.77</v>
      </c>
      <c r="AF9" s="141"/>
      <c r="AG9" s="1206">
        <f t="shared" si="7"/>
        <v>0</v>
      </c>
      <c r="AH9" s="141"/>
      <c r="AI9" s="187">
        <v>365</v>
      </c>
      <c r="AJ9" s="188"/>
      <c r="AK9" s="189">
        <v>1.4999999999999999E-2</v>
      </c>
      <c r="AL9" s="190">
        <v>1.5E-3</v>
      </c>
      <c r="AM9" s="2405">
        <v>0.02</v>
      </c>
      <c r="AN9" s="2407" t="s">
        <v>3300</v>
      </c>
      <c r="AO9" s="1991"/>
      <c r="AP9" s="1197">
        <f t="shared" si="8"/>
        <v>0.86699999999999999</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9" customFormat="1" ht="14.25">
      <c r="A10" s="2293">
        <f>'数据-汇总表'!C23</f>
        <v>0</v>
      </c>
      <c r="B10" s="2328" t="str">
        <f t="shared" si="1"/>
        <v/>
      </c>
      <c r="C10" s="173"/>
      <c r="D10" s="2299">
        <f>SUMIF(项目基本情况!D$15:I$15,C10,项目基本情况!D$18:I$18)</f>
        <v>0</v>
      </c>
      <c r="E10" s="230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5">
        <f t="shared" si="5"/>
        <v>0</v>
      </c>
      <c r="U10" s="180"/>
      <c r="V10" s="181"/>
      <c r="W10" s="181"/>
      <c r="X10" s="2312"/>
      <c r="Y10" s="182"/>
      <c r="Z10" s="183"/>
      <c r="AA10" s="176"/>
      <c r="AB10" s="176"/>
      <c r="AC10" s="2315"/>
      <c r="AD10" s="184"/>
      <c r="AE10" s="965">
        <f t="shared" ca="1" si="6"/>
        <v>0</v>
      </c>
      <c r="AF10" s="141"/>
      <c r="AG10" s="1206">
        <f t="shared" si="7"/>
        <v>0</v>
      </c>
      <c r="AH10" s="141"/>
      <c r="AI10" s="187">
        <v>365</v>
      </c>
      <c r="AJ10" s="188"/>
      <c r="AK10" s="189">
        <v>1.4999999999999999E-2</v>
      </c>
      <c r="AL10" s="190">
        <v>1.5E-3</v>
      </c>
      <c r="AM10" s="2405">
        <v>0.02</v>
      </c>
      <c r="AN10" s="2407"/>
      <c r="AO10" s="1991"/>
      <c r="AP10" s="1197">
        <f t="shared" si="8"/>
        <v>0</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9" customFormat="1" ht="14.25">
      <c r="A11" s="2293">
        <f>'数据-汇总表'!C24</f>
        <v>0</v>
      </c>
      <c r="B11" s="2328" t="str">
        <f t="shared" si="1"/>
        <v/>
      </c>
      <c r="C11" s="173"/>
      <c r="D11" s="2299">
        <f>SUMIF(项目基本情况!D$15:I$15,C11,项目基本情况!D$18:I$18)</f>
        <v>0</v>
      </c>
      <c r="E11" s="230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5">
        <f t="shared" si="5"/>
        <v>0</v>
      </c>
      <c r="U11" s="185"/>
      <c r="V11" s="176"/>
      <c r="W11" s="176"/>
      <c r="X11" s="2315"/>
      <c r="Y11" s="182"/>
      <c r="Z11" s="195"/>
      <c r="AA11" s="176"/>
      <c r="AB11" s="176"/>
      <c r="AC11" s="2315"/>
      <c r="AD11" s="184"/>
      <c r="AE11" s="965">
        <f t="shared" ca="1" si="6"/>
        <v>0</v>
      </c>
      <c r="AF11" s="141"/>
      <c r="AG11" s="1206">
        <f t="shared" si="7"/>
        <v>0</v>
      </c>
      <c r="AH11" s="141"/>
      <c r="AI11" s="187"/>
      <c r="AJ11" s="188"/>
      <c r="AK11" s="196"/>
      <c r="AL11" s="197"/>
      <c r="AM11" s="1809"/>
      <c r="AN11" s="2407"/>
      <c r="AO11" s="1991"/>
      <c r="AP11" s="1197">
        <f t="shared" si="8"/>
        <v>0</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9" customFormat="1" ht="14.25">
      <c r="A12" s="2293">
        <f>'数据-汇总表'!C25</f>
        <v>0</v>
      </c>
      <c r="B12" s="2328" t="str">
        <f t="shared" si="1"/>
        <v/>
      </c>
      <c r="C12" s="173"/>
      <c r="D12" s="2299">
        <f>SUMIF(项目基本情况!D$15:I$15,C12,项目基本情况!D$18:I$18)</f>
        <v>0</v>
      </c>
      <c r="E12" s="230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5">
        <f t="shared" si="5"/>
        <v>0</v>
      </c>
      <c r="U12" s="185"/>
      <c r="V12" s="176"/>
      <c r="W12" s="176"/>
      <c r="X12" s="2315"/>
      <c r="Y12" s="182"/>
      <c r="Z12" s="195"/>
      <c r="AA12" s="176"/>
      <c r="AB12" s="176"/>
      <c r="AC12" s="2315"/>
      <c r="AD12" s="184"/>
      <c r="AE12" s="965">
        <f t="shared" ca="1" si="6"/>
        <v>0</v>
      </c>
      <c r="AF12" s="141"/>
      <c r="AG12" s="1206">
        <f t="shared" si="7"/>
        <v>0</v>
      </c>
      <c r="AH12" s="141"/>
      <c r="AI12" s="187"/>
      <c r="AJ12" s="188"/>
      <c r="AK12" s="196"/>
      <c r="AL12" s="197"/>
      <c r="AM12" s="1809"/>
      <c r="AN12" s="2407"/>
      <c r="AO12" s="1991"/>
      <c r="AP12" s="1197">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9"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5">
        <f t="shared" ca="1" si="6"/>
        <v>0</v>
      </c>
      <c r="AF13" s="141"/>
      <c r="AG13" s="1206">
        <f t="shared" si="7"/>
        <v>0</v>
      </c>
      <c r="AH13" s="141"/>
      <c r="AI13" s="187"/>
      <c r="AJ13" s="188"/>
      <c r="AK13" s="189"/>
      <c r="AL13" s="190"/>
      <c r="AM13" s="2405"/>
      <c r="AN13" s="2407"/>
      <c r="AO13" s="1991"/>
      <c r="AP13" s="1197">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9" customFormat="1" ht="14.25">
      <c r="A14" s="2294" t="s">
        <v>2315</v>
      </c>
      <c r="B14" s="2297" t="s">
        <v>1680</v>
      </c>
      <c r="C14" s="2298" t="s">
        <v>2315</v>
      </c>
      <c r="D14" s="2299"/>
      <c r="E14" s="2300"/>
      <c r="F14" s="174"/>
      <c r="G14" s="175"/>
      <c r="H14" s="2301"/>
      <c r="I14" s="2301"/>
      <c r="J14" s="2301"/>
      <c r="K14" s="179">
        <f>SUMIF('数据-汇总表'!C$19:C$33,'数据-取费表'!A14,'数据-汇总表'!E$19:E$33)</f>
        <v>19014</v>
      </c>
      <c r="L14" s="193">
        <v>2000</v>
      </c>
      <c r="M14" s="177">
        <f t="shared" si="0"/>
        <v>3803</v>
      </c>
      <c r="N14" s="194">
        <v>0</v>
      </c>
      <c r="O14" s="177">
        <f t="shared" si="3"/>
        <v>0</v>
      </c>
      <c r="P14" s="178">
        <f t="shared" si="4"/>
        <v>3803</v>
      </c>
      <c r="Q14" s="2309"/>
      <c r="R14" s="179"/>
      <c r="S14" s="132"/>
      <c r="T14" s="2308"/>
      <c r="U14" s="967"/>
      <c r="V14" s="2311"/>
      <c r="W14" s="2311"/>
      <c r="X14" s="2312"/>
      <c r="Y14" s="2313"/>
      <c r="Z14" s="136"/>
      <c r="AA14" s="2314"/>
      <c r="AB14" s="2314"/>
      <c r="AC14" s="2315"/>
      <c r="AD14" s="2312"/>
      <c r="AE14" s="965"/>
      <c r="AF14" s="2287"/>
      <c r="AG14" s="1206"/>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9" customFormat="1" ht="27">
      <c r="A15" s="2303" t="s">
        <v>2317</v>
      </c>
      <c r="B15" s="2297" t="s">
        <v>1680</v>
      </c>
      <c r="C15" s="2298" t="s">
        <v>2316</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67"/>
      <c r="V15" s="2311"/>
      <c r="W15" s="2311"/>
      <c r="X15" s="2312"/>
      <c r="Y15" s="2313"/>
      <c r="Z15" s="136"/>
      <c r="AA15" s="2314"/>
      <c r="AB15" s="2314"/>
      <c r="AC15" s="2315"/>
      <c r="AD15" s="2312"/>
      <c r="AE15" s="965"/>
      <c r="AF15" s="2287"/>
      <c r="AG15" s="1206"/>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9"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479506</v>
      </c>
      <c r="L16" s="206">
        <f>ROUND(M16*10000/SUM(K6:K14),0)</f>
        <v>2895</v>
      </c>
      <c r="M16" s="206">
        <f>SUM(M6:M14)</f>
        <v>138818</v>
      </c>
      <c r="N16" s="207">
        <f>ROUND(SUMPRODUCT(M6:M14,N6:N14)/M16,3)</f>
        <v>0</v>
      </c>
      <c r="O16" s="206">
        <f>SUM(O6:O14)</f>
        <v>0</v>
      </c>
      <c r="P16" s="206">
        <f>SUM(P6:P14)</f>
        <v>138818</v>
      </c>
      <c r="Q16" s="208">
        <f>ROUND(SUMPRODUCT(Q6:Q13,K6:K13)/SUMPRODUCT((Q6:Q13&gt;0)*(K6:K13)),2)</f>
        <v>0.19</v>
      </c>
      <c r="R16" s="2302">
        <f>SUM(R6:R13)</f>
        <v>74665.89</v>
      </c>
      <c r="S16" s="209">
        <f>SUM(S6:S13)</f>
        <v>19013.989999999998</v>
      </c>
      <c r="T16" s="210">
        <f>IF(SUMIF(T6:T13,"&lt;9E307")=M14,SUMIF(T6:T13,"&lt;9E307"),"有误，请检查")</f>
        <v>3803</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197">
        <f>ROUND(SUMPRODUCT(AP6:AP13,K6:K13)/SUMPRODUCT((AP6:AP13&gt;0)*(K6:K13)),3)</f>
        <v>0.83399999999999996</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7"/>
      <c r="B17" s="1195"/>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263</v>
      </c>
      <c r="B18" s="1197"/>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264</v>
      </c>
      <c r="B19" s="218">
        <v>0</v>
      </c>
      <c r="C19" s="2355" t="s">
        <v>2337</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265</v>
      </c>
      <c r="B20" s="3555">
        <v>3</v>
      </c>
      <c r="C20" s="2355" t="s">
        <v>2336</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266</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267</v>
      </c>
      <c r="B22" s="222">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268</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269</v>
      </c>
      <c r="B24" s="224">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0"/>
      <c r="B25" s="1197"/>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270</v>
      </c>
      <c r="B26" s="225"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8" customFormat="1" ht="27.75">
      <c r="A27" s="226" t="s">
        <v>2339</v>
      </c>
      <c r="B27" s="227">
        <v>105</v>
      </c>
      <c r="C27" s="2358" t="s">
        <v>2343</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8" customFormat="1" ht="27.75">
      <c r="A28" s="228" t="s">
        <v>2340</v>
      </c>
      <c r="B28" s="229">
        <v>105</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8" customFormat="1" ht="28.5" thickBot="1">
      <c r="A29" s="231" t="s">
        <v>2338</v>
      </c>
      <c r="B29" s="3561">
        <f ca="1">'剩余法-待开发'!C22</f>
        <v>5035</v>
      </c>
      <c r="C29" s="1544" t="s">
        <v>2341</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8" customFormat="1" ht="27">
      <c r="A30" s="234" t="s">
        <v>273</v>
      </c>
      <c r="B30" s="971">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8" customFormat="1" ht="27">
      <c r="A31" s="228" t="s">
        <v>274</v>
      </c>
      <c r="B31" s="230">
        <f>B30-B32</f>
        <v>130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8" customFormat="1" ht="27.75" thickBot="1">
      <c r="A32" s="235" t="s">
        <v>275</v>
      </c>
      <c r="B32" s="3547">
        <v>70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8" customFormat="1" ht="14.25">
      <c r="A33" s="226"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279</v>
      </c>
      <c r="B34" s="232">
        <v>0</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276</v>
      </c>
      <c r="B35" s="229">
        <v>150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277</v>
      </c>
      <c r="B36" s="233">
        <v>1.4999999999999999E-2</v>
      </c>
      <c r="C36" s="2356" t="s">
        <v>2900</v>
      </c>
      <c r="D36" s="1981"/>
      <c r="E36" s="1195"/>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4" t="s">
        <v>280</v>
      </c>
      <c r="B37" s="3553">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281</v>
      </c>
      <c r="B38" s="3554">
        <v>0.03</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2459</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2460</v>
      </c>
      <c r="B40" s="2496">
        <f ca="1">存贷款利率!E2</f>
        <v>4.7500000000000001E-2</v>
      </c>
      <c r="C40" s="2356" t="s">
        <v>2342</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282</v>
      </c>
      <c r="B41" s="236">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2" t="s">
        <v>283</v>
      </c>
      <c r="B42" s="238">
        <v>0.05</v>
      </c>
      <c r="C42" s="3112">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2" t="s">
        <v>284</v>
      </c>
      <c r="B43" s="239">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7" t="s">
        <v>285</v>
      </c>
      <c r="B44" s="240">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7" t="s">
        <v>286</v>
      </c>
      <c r="B45" s="238">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7" t="s">
        <v>287</v>
      </c>
      <c r="B46" s="238">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1" t="s">
        <v>288</v>
      </c>
      <c r="B47" s="242"/>
      <c r="C47" s="3089"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3" t="s">
        <v>289</v>
      </c>
      <c r="B48" s="244">
        <v>0.03</v>
      </c>
      <c r="C48" s="3090"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5" t="s">
        <v>290</v>
      </c>
      <c r="B49" s="238">
        <v>5.0000000000000001E-4</v>
      </c>
      <c r="C49" s="3090"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5" t="s">
        <v>291</v>
      </c>
      <c r="B50" s="246">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292</v>
      </c>
      <c r="B51" s="247">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5" t="s">
        <v>293</v>
      </c>
      <c r="B52" s="248">
        <f>SUMIF(A54:A63,B53,B54:B63)</f>
        <v>14</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294</v>
      </c>
      <c r="B53" s="249" t="s">
        <v>1156</v>
      </c>
      <c r="C53" s="3091" t="s">
        <v>2908</v>
      </c>
      <c r="D53" s="3092"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4" t="s">
        <v>2910</v>
      </c>
      <c r="B54" s="186"/>
      <c r="C54" s="1985">
        <v>30</v>
      </c>
      <c r="D54" s="3093"/>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4" t="s">
        <v>2911</v>
      </c>
      <c r="B55" s="186">
        <v>14</v>
      </c>
      <c r="C55" s="1985">
        <v>24</v>
      </c>
      <c r="D55" s="3093"/>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4" t="s">
        <v>2912</v>
      </c>
      <c r="B56" s="186"/>
      <c r="C56" s="1985">
        <v>18</v>
      </c>
      <c r="D56" s="3093"/>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4" t="s">
        <v>2913</v>
      </c>
      <c r="B57" s="186"/>
      <c r="C57" s="1985">
        <v>12</v>
      </c>
      <c r="D57" s="3093"/>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4" t="s">
        <v>2914</v>
      </c>
      <c r="B58" s="186"/>
      <c r="C58" s="1985">
        <v>3</v>
      </c>
      <c r="D58" s="3093"/>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4" t="s">
        <v>2915</v>
      </c>
      <c r="B59" s="186"/>
      <c r="C59" s="1985">
        <v>1.5</v>
      </c>
      <c r="D59" s="3093"/>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4" t="s">
        <v>2916</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4" t="s">
        <v>2917</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4" t="s">
        <v>2918</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5" t="s">
        <v>2919</v>
      </c>
      <c r="B63" s="250"/>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1"/>
      <c r="D64" s="1990"/>
      <c r="K64" s="57"/>
      <c r="L64" s="57"/>
    </row>
    <row r="65" spans="1:12" s="1989" customFormat="1">
      <c r="A65" s="251"/>
      <c r="D65" s="1990"/>
      <c r="K65" s="57"/>
      <c r="L65" s="57"/>
    </row>
    <row r="66" spans="1:12" s="1989" customFormat="1">
      <c r="A66" s="251"/>
      <c r="D66" s="1990"/>
      <c r="K66" s="57"/>
      <c r="L66" s="57"/>
    </row>
    <row r="67" spans="1:12" s="1989" customFormat="1">
      <c r="A67" s="251"/>
      <c r="D67" s="1990"/>
      <c r="K67" s="57"/>
      <c r="L67" s="57"/>
    </row>
    <row r="68" spans="1:12" s="1989" customFormat="1">
      <c r="A68" s="251"/>
      <c r="D68" s="1990"/>
      <c r="K68" s="57"/>
      <c r="L68" s="57"/>
    </row>
    <row r="69" spans="1:12" s="1989" customFormat="1">
      <c r="A69" s="251"/>
      <c r="D69" s="1990"/>
      <c r="K69" s="57"/>
      <c r="L69" s="57"/>
    </row>
    <row r="70" spans="1:12" s="1989" customFormat="1">
      <c r="A70" s="251"/>
      <c r="D70" s="1990"/>
      <c r="K70" s="57"/>
      <c r="L70" s="57"/>
    </row>
    <row r="71" spans="1:12" s="1989" customFormat="1">
      <c r="A71" s="251"/>
      <c r="D71" s="1990"/>
      <c r="K71" s="57"/>
      <c r="L71" s="57"/>
    </row>
    <row r="72" spans="1:12" s="1989" customFormat="1">
      <c r="A72" s="251"/>
      <c r="D72" s="1990"/>
      <c r="K72" s="57"/>
      <c r="L72" s="57"/>
    </row>
    <row r="73" spans="1:12" s="1989" customFormat="1">
      <c r="A73" s="251"/>
      <c r="D73" s="1990"/>
      <c r="K73" s="57"/>
      <c r="L73" s="57"/>
    </row>
    <row r="74" spans="1:12" s="1989" customFormat="1">
      <c r="A74" s="251"/>
      <c r="D74" s="1990"/>
      <c r="K74" s="57"/>
      <c r="L74" s="57"/>
    </row>
    <row r="75" spans="1:12" s="1989" customFormat="1">
      <c r="A75" s="251"/>
      <c r="D75" s="1990"/>
      <c r="K75" s="57"/>
      <c r="L75" s="57"/>
    </row>
    <row r="76" spans="1:12" s="1989" customFormat="1">
      <c r="A76" s="251"/>
      <c r="D76" s="1990"/>
      <c r="K76" s="57"/>
      <c r="L76" s="57"/>
    </row>
    <row r="77" spans="1:12" s="1989" customFormat="1">
      <c r="A77" s="251"/>
      <c r="D77" s="1990"/>
      <c r="K77" s="57"/>
      <c r="L77" s="57"/>
    </row>
    <row r="78" spans="1:12" s="1989" customFormat="1">
      <c r="A78" s="251"/>
      <c r="D78" s="1990"/>
      <c r="K78" s="57"/>
      <c r="L78" s="57"/>
    </row>
    <row r="79" spans="1:12" s="1989" customFormat="1">
      <c r="A79" s="251"/>
      <c r="D79" s="1990"/>
      <c r="K79" s="57"/>
      <c r="L79" s="57"/>
    </row>
    <row r="80" spans="1:12" s="1989" customFormat="1">
      <c r="A80" s="251"/>
      <c r="D80" s="1990"/>
      <c r="K80" s="57"/>
      <c r="L80" s="57"/>
    </row>
    <row r="81" spans="1:12" s="1989" customFormat="1">
      <c r="A81" s="251"/>
      <c r="D81" s="1990"/>
      <c r="K81" s="57"/>
      <c r="L81" s="57"/>
    </row>
    <row r="82" spans="1:12" s="1989" customFormat="1">
      <c r="A82" s="251"/>
      <c r="D82" s="1990"/>
      <c r="K82" s="57"/>
      <c r="L82" s="57"/>
    </row>
    <row r="83" spans="1:12" s="1989" customFormat="1">
      <c r="A83" s="251"/>
      <c r="D83" s="1990"/>
      <c r="K83" s="57"/>
      <c r="L83" s="57"/>
    </row>
    <row r="84" spans="1:12" s="1989" customFormat="1">
      <c r="A84" s="251"/>
      <c r="D84" s="1990"/>
      <c r="K84" s="57"/>
      <c r="L84" s="57"/>
    </row>
    <row r="85" spans="1:12" s="1989" customFormat="1">
      <c r="A85" s="251"/>
      <c r="D85" s="1990"/>
      <c r="K85" s="57"/>
      <c r="L85" s="57"/>
    </row>
    <row r="86" spans="1:12" s="1989" customFormat="1">
      <c r="A86" s="251"/>
      <c r="D86" s="1990"/>
      <c r="K86" s="57"/>
      <c r="L86" s="57"/>
    </row>
    <row r="87" spans="1:12" s="1989" customFormat="1">
      <c r="A87" s="251"/>
      <c r="D87" s="1990"/>
      <c r="K87" s="57"/>
      <c r="L87" s="57"/>
    </row>
    <row r="88" spans="1:12" s="1989" customFormat="1">
      <c r="A88" s="251"/>
      <c r="D88" s="1990"/>
      <c r="K88" s="57"/>
      <c r="L88" s="57"/>
    </row>
    <row r="89" spans="1:12" s="1989" customFormat="1">
      <c r="A89" s="251"/>
      <c r="D89" s="1990"/>
      <c r="K89" s="57"/>
      <c r="L89" s="57"/>
    </row>
    <row r="90" spans="1:12" s="1989" customFormat="1">
      <c r="A90" s="251"/>
      <c r="D90" s="1990"/>
      <c r="K90" s="57"/>
      <c r="L90" s="57"/>
    </row>
    <row r="91" spans="1:12" s="1989" customFormat="1">
      <c r="A91" s="251"/>
      <c r="D91" s="1990"/>
      <c r="K91" s="57"/>
      <c r="L91" s="57"/>
    </row>
    <row r="92" spans="1:12" s="1989" customFormat="1">
      <c r="A92" s="251"/>
      <c r="D92" s="1990"/>
      <c r="K92" s="57"/>
      <c r="L92" s="57"/>
    </row>
    <row r="93" spans="1:12" s="1989" customFormat="1">
      <c r="A93" s="251"/>
      <c r="D93" s="1990"/>
      <c r="K93" s="57"/>
      <c r="L93" s="57"/>
    </row>
    <row r="94" spans="1:12" s="1989" customFormat="1">
      <c r="A94" s="251"/>
      <c r="D94" s="1990"/>
      <c r="K94" s="57"/>
      <c r="L94" s="57"/>
    </row>
    <row r="95" spans="1:12" s="1989" customFormat="1">
      <c r="A95" s="251"/>
      <c r="D95" s="1990"/>
      <c r="K95" s="57"/>
      <c r="L95" s="57"/>
    </row>
    <row r="96" spans="1:12" s="1989" customFormat="1">
      <c r="A96" s="251"/>
      <c r="D96" s="1990"/>
      <c r="K96" s="57"/>
      <c r="L96" s="57"/>
    </row>
    <row r="97" spans="1:12" s="1989" customFormat="1">
      <c r="A97" s="251"/>
      <c r="D97" s="1990"/>
      <c r="K97" s="57"/>
      <c r="L97" s="57"/>
    </row>
    <row r="98" spans="1:12" s="1989" customFormat="1">
      <c r="A98" s="251"/>
      <c r="D98" s="1990"/>
      <c r="K98" s="57"/>
      <c r="L98" s="57"/>
    </row>
    <row r="99" spans="1:12" s="1989" customFormat="1">
      <c r="A99" s="251"/>
      <c r="D99" s="1990"/>
      <c r="K99" s="57"/>
      <c r="L99" s="57"/>
    </row>
    <row r="100" spans="1:12" s="1989" customFormat="1">
      <c r="A100" s="251"/>
      <c r="D100" s="1990"/>
      <c r="K100" s="57"/>
      <c r="L100" s="57"/>
    </row>
    <row r="101" spans="1:12" s="1989" customFormat="1">
      <c r="A101" s="251"/>
      <c r="D101" s="1990"/>
      <c r="K101" s="57"/>
      <c r="L101" s="57"/>
    </row>
    <row r="102" spans="1:12" s="1989" customFormat="1">
      <c r="A102" s="251"/>
      <c r="D102" s="1990"/>
      <c r="K102" s="57"/>
      <c r="L102" s="57"/>
    </row>
    <row r="103" spans="1:12" s="1989" customFormat="1">
      <c r="A103" s="251"/>
      <c r="D103" s="1990"/>
      <c r="K103" s="57"/>
      <c r="L103" s="57"/>
    </row>
    <row r="104" spans="1:12" s="1989" customFormat="1">
      <c r="A104" s="251"/>
      <c r="D104" s="1990"/>
      <c r="K104" s="57"/>
      <c r="L104" s="57"/>
    </row>
    <row r="105" spans="1:12" s="1989" customFormat="1">
      <c r="A105" s="251"/>
      <c r="D105" s="1990"/>
      <c r="K105" s="57"/>
      <c r="L105" s="57"/>
    </row>
    <row r="106" spans="1:12" s="1989" customFormat="1">
      <c r="A106" s="251"/>
      <c r="D106" s="1990"/>
      <c r="K106" s="57"/>
      <c r="L106" s="57"/>
    </row>
    <row r="107" spans="1:12" s="1989" customFormat="1">
      <c r="A107" s="251"/>
      <c r="D107" s="1990"/>
      <c r="K107" s="57"/>
      <c r="L107" s="57"/>
    </row>
    <row r="108" spans="1:12" s="1989" customFormat="1">
      <c r="A108" s="251"/>
      <c r="D108" s="1990"/>
      <c r="K108" s="57"/>
      <c r="L108" s="57"/>
    </row>
    <row r="109" spans="1:12" s="1989" customFormat="1">
      <c r="A109" s="251"/>
      <c r="D109" s="1990"/>
      <c r="K109" s="57"/>
      <c r="L109" s="57"/>
    </row>
    <row r="110" spans="1:12" s="1989" customFormat="1">
      <c r="A110" s="251"/>
      <c r="D110" s="1990"/>
      <c r="K110" s="57"/>
      <c r="L110" s="57"/>
    </row>
    <row r="111" spans="1:12" s="1989" customFormat="1">
      <c r="A111" s="251"/>
      <c r="D111" s="1990"/>
      <c r="K111" s="57"/>
      <c r="L111" s="57"/>
    </row>
    <row r="112" spans="1:12" s="1989" customFormat="1">
      <c r="A112" s="251"/>
      <c r="D112" s="1990"/>
      <c r="K112" s="57"/>
      <c r="L112" s="57"/>
    </row>
    <row r="113" spans="1:12" s="1989" customFormat="1">
      <c r="A113" s="251"/>
      <c r="D113" s="1990"/>
      <c r="K113" s="57"/>
      <c r="L113" s="57"/>
    </row>
    <row r="114" spans="1:12" s="1989" customFormat="1">
      <c r="A114" s="251"/>
      <c r="D114" s="1990"/>
      <c r="K114" s="57"/>
      <c r="L114" s="57"/>
    </row>
    <row r="115" spans="1:12" s="1989" customFormat="1">
      <c r="A115" s="251"/>
      <c r="D115" s="1990"/>
      <c r="K115" s="57"/>
      <c r="L115" s="57"/>
    </row>
    <row r="116" spans="1:12" s="1989" customFormat="1">
      <c r="A116" s="251"/>
      <c r="D116" s="1990"/>
      <c r="K116" s="57"/>
      <c r="L116" s="57"/>
    </row>
    <row r="117" spans="1:12" s="1989" customFormat="1">
      <c r="A117" s="251"/>
      <c r="D117" s="1990"/>
      <c r="K117" s="57"/>
      <c r="L117" s="57"/>
    </row>
    <row r="118" spans="1:12" s="1989" customFormat="1">
      <c r="A118" s="251"/>
      <c r="D118" s="1990"/>
      <c r="K118" s="57"/>
      <c r="L118" s="57"/>
    </row>
    <row r="119" spans="1:12" s="1989" customFormat="1">
      <c r="A119" s="251"/>
      <c r="D119" s="1990"/>
      <c r="K119" s="57"/>
      <c r="L119" s="57"/>
    </row>
    <row r="120" spans="1:12" s="1989" customFormat="1">
      <c r="A120" s="251"/>
      <c r="D120" s="1990"/>
      <c r="K120" s="57"/>
      <c r="L120" s="57"/>
    </row>
    <row r="121" spans="1:12" s="1989" customFormat="1">
      <c r="A121" s="251"/>
      <c r="D121" s="1990"/>
      <c r="K121" s="57"/>
      <c r="L121" s="57"/>
    </row>
    <row r="122" spans="1:12" s="1989" customFormat="1">
      <c r="A122" s="251"/>
      <c r="D122" s="1990"/>
      <c r="K122" s="57"/>
      <c r="L122" s="57"/>
    </row>
    <row r="123" spans="1:12" s="1989" customFormat="1">
      <c r="A123" s="251"/>
      <c r="D123" s="1990"/>
      <c r="K123" s="57"/>
      <c r="L123" s="57"/>
    </row>
    <row r="124" spans="1:12" s="1989" customFormat="1">
      <c r="A124" s="251"/>
      <c r="D124" s="1990"/>
      <c r="K124" s="57"/>
      <c r="L124" s="57"/>
    </row>
    <row r="125" spans="1:12" s="1989" customFormat="1">
      <c r="A125" s="251"/>
      <c r="D125" s="1990"/>
      <c r="K125" s="57"/>
      <c r="L125" s="57"/>
    </row>
    <row r="126" spans="1:12" s="1989" customFormat="1">
      <c r="A126" s="251"/>
      <c r="D126" s="1990"/>
      <c r="K126" s="57"/>
      <c r="L126" s="57"/>
    </row>
    <row r="127" spans="1:12" s="1989" customFormat="1">
      <c r="A127" s="251"/>
      <c r="D127" s="1990"/>
      <c r="K127" s="57"/>
      <c r="L127" s="57"/>
    </row>
    <row r="128" spans="1:12" s="1989" customFormat="1">
      <c r="A128" s="251"/>
      <c r="D128" s="1990"/>
      <c r="K128" s="57"/>
      <c r="L128" s="57"/>
    </row>
    <row r="129" spans="1:12" s="1989" customFormat="1">
      <c r="A129" s="251"/>
      <c r="D129" s="1990"/>
      <c r="K129" s="57"/>
      <c r="L129" s="57"/>
    </row>
    <row r="130" spans="1:12" s="1989" customFormat="1">
      <c r="A130" s="251"/>
      <c r="D130" s="1990"/>
      <c r="K130" s="57"/>
      <c r="L130" s="57"/>
    </row>
    <row r="131" spans="1:12" s="1989" customFormat="1">
      <c r="A131" s="251"/>
      <c r="D131" s="1990"/>
      <c r="K131" s="57"/>
      <c r="L131" s="57"/>
    </row>
    <row r="132" spans="1:12" s="1989" customFormat="1">
      <c r="A132" s="251"/>
      <c r="D132" s="1990"/>
      <c r="K132" s="57"/>
      <c r="L132" s="57"/>
    </row>
    <row r="133" spans="1:12" s="1989" customFormat="1">
      <c r="A133" s="251"/>
      <c r="D133" s="1990"/>
      <c r="K133" s="57"/>
      <c r="L133" s="57"/>
    </row>
    <row r="134" spans="1:12" s="1989" customFormat="1">
      <c r="A134" s="251"/>
      <c r="D134" s="1990"/>
      <c r="K134" s="57"/>
      <c r="L134" s="57"/>
    </row>
    <row r="135" spans="1:12" s="1989" customFormat="1">
      <c r="A135" s="251"/>
      <c r="D135" s="1990"/>
      <c r="K135" s="57"/>
      <c r="L135" s="57"/>
    </row>
    <row r="136" spans="1:12" s="1989" customFormat="1">
      <c r="A136" s="251"/>
      <c r="D136" s="1990"/>
      <c r="K136" s="57"/>
      <c r="L136" s="57"/>
    </row>
    <row r="137" spans="1:12" s="1989" customFormat="1">
      <c r="A137" s="251"/>
      <c r="D137" s="1990"/>
      <c r="K137" s="57"/>
      <c r="L137" s="57"/>
    </row>
    <row r="138" spans="1:12" s="1989" customFormat="1">
      <c r="A138" s="251"/>
      <c r="D138" s="1990"/>
      <c r="K138" s="57"/>
      <c r="L138" s="57"/>
    </row>
    <row r="139" spans="1:12" s="1989" customFormat="1">
      <c r="A139" s="251"/>
      <c r="D139" s="1990"/>
      <c r="K139" s="57"/>
      <c r="L139" s="57"/>
    </row>
    <row r="140" spans="1:12" s="1989" customFormat="1">
      <c r="A140" s="251"/>
      <c r="D140" s="1990"/>
      <c r="K140" s="57"/>
      <c r="L140" s="57"/>
    </row>
    <row r="141" spans="1:12" s="1989" customFormat="1">
      <c r="A141" s="251"/>
      <c r="D141" s="1990"/>
      <c r="K141" s="57"/>
      <c r="L141" s="57"/>
    </row>
    <row r="142" spans="1:12" s="1989" customFormat="1">
      <c r="A142" s="251"/>
      <c r="D142" s="1990"/>
      <c r="K142" s="57"/>
      <c r="L142" s="57"/>
    </row>
    <row r="143" spans="1:12" s="1989" customFormat="1">
      <c r="A143" s="251"/>
      <c r="D143" s="1990"/>
      <c r="K143" s="57"/>
      <c r="L143" s="57"/>
    </row>
    <row r="144" spans="1:12" s="1989" customFormat="1">
      <c r="A144" s="251"/>
      <c r="D144" s="1990"/>
      <c r="K144" s="57"/>
      <c r="L144" s="57"/>
    </row>
    <row r="145" spans="1:12" s="1989" customFormat="1">
      <c r="A145" s="251"/>
      <c r="D145" s="1990"/>
      <c r="K145" s="57"/>
      <c r="L145" s="57"/>
    </row>
    <row r="146" spans="1:12" s="1989" customFormat="1">
      <c r="A146" s="251"/>
      <c r="D146" s="1990"/>
      <c r="K146" s="57"/>
      <c r="L146" s="57"/>
    </row>
    <row r="147" spans="1:12" s="1989" customFormat="1">
      <c r="A147" s="251"/>
      <c r="D147" s="1990"/>
      <c r="K147" s="57"/>
      <c r="L147" s="57"/>
    </row>
    <row r="148" spans="1:12" s="1989" customFormat="1">
      <c r="A148" s="251"/>
      <c r="D148" s="1990"/>
      <c r="K148" s="57"/>
      <c r="L148" s="57"/>
    </row>
    <row r="149" spans="1:12" s="1989" customFormat="1">
      <c r="A149" s="251"/>
      <c r="D149" s="1990"/>
      <c r="K149" s="57"/>
      <c r="L149" s="57"/>
    </row>
    <row r="150" spans="1:12" s="1989" customFormat="1">
      <c r="A150" s="251"/>
      <c r="D150" s="1990"/>
      <c r="K150" s="57"/>
      <c r="L150" s="57"/>
    </row>
    <row r="151" spans="1:12" s="1989" customFormat="1">
      <c r="A151" s="251"/>
      <c r="D151" s="1990"/>
      <c r="K151" s="57"/>
      <c r="L151" s="57"/>
    </row>
    <row r="152" spans="1:12" s="1989" customFormat="1">
      <c r="A152" s="251"/>
      <c r="D152" s="1990"/>
      <c r="K152" s="57"/>
      <c r="L152" s="57"/>
    </row>
    <row r="153" spans="1:12" s="1989" customFormat="1">
      <c r="A153" s="251"/>
      <c r="D153" s="1990"/>
      <c r="K153" s="57"/>
      <c r="L153" s="57"/>
    </row>
    <row r="154" spans="1:12" s="1989" customFormat="1">
      <c r="A154" s="251"/>
      <c r="D154" s="1990"/>
      <c r="K154" s="57"/>
      <c r="L154" s="57"/>
    </row>
    <row r="155" spans="1:12" s="1989" customFormat="1">
      <c r="A155" s="251"/>
      <c r="D155" s="1990"/>
      <c r="K155" s="57"/>
      <c r="L155" s="57"/>
    </row>
    <row r="156" spans="1:12" s="1989" customFormat="1">
      <c r="A156" s="251"/>
      <c r="D156" s="1990"/>
      <c r="K156" s="57"/>
      <c r="L156" s="57"/>
    </row>
    <row r="157" spans="1:12" s="1989" customFormat="1">
      <c r="A157" s="251"/>
      <c r="D157" s="1990"/>
      <c r="K157" s="57"/>
      <c r="L157" s="57"/>
    </row>
    <row r="158" spans="1:12" s="1989" customFormat="1">
      <c r="A158" s="251"/>
      <c r="D158" s="1990"/>
      <c r="K158" s="57"/>
      <c r="L158" s="57"/>
    </row>
    <row r="159" spans="1:12" s="1989" customFormat="1">
      <c r="A159" s="251"/>
      <c r="D159" s="1990"/>
      <c r="K159" s="57"/>
      <c r="L159" s="57"/>
    </row>
    <row r="160" spans="1:12" s="1989" customFormat="1">
      <c r="A160" s="251"/>
      <c r="D160" s="1990"/>
      <c r="K160" s="57"/>
      <c r="L160" s="57"/>
    </row>
    <row r="161" spans="1:12" s="1989" customFormat="1">
      <c r="A161" s="251"/>
      <c r="D161" s="1990"/>
      <c r="K161" s="57"/>
      <c r="L161" s="57"/>
    </row>
    <row r="162" spans="1:12" s="1989" customFormat="1">
      <c r="A162" s="251"/>
      <c r="D162" s="1990"/>
      <c r="K162" s="57"/>
      <c r="L162" s="57"/>
    </row>
    <row r="163" spans="1:12" s="1989" customFormat="1">
      <c r="A163" s="251"/>
      <c r="D163" s="1990"/>
      <c r="K163" s="57"/>
      <c r="L163" s="57"/>
    </row>
    <row r="164" spans="1:12" s="1989" customFormat="1">
      <c r="A164" s="251"/>
      <c r="D164" s="1990"/>
      <c r="K164" s="57"/>
      <c r="L164" s="57"/>
    </row>
    <row r="165" spans="1:12" s="1989" customFormat="1">
      <c r="A165" s="251"/>
      <c r="D165" s="1990"/>
      <c r="K165" s="57"/>
      <c r="L165" s="57"/>
    </row>
    <row r="166" spans="1:12" s="1989" customFormat="1">
      <c r="A166" s="251"/>
      <c r="D166" s="1990"/>
      <c r="K166" s="57"/>
      <c r="L166" s="57"/>
    </row>
    <row r="167" spans="1:12" s="1989" customFormat="1">
      <c r="A167" s="251"/>
      <c r="D167" s="1990"/>
      <c r="K167" s="57"/>
      <c r="L167" s="57"/>
    </row>
    <row r="168" spans="1:12" s="1989" customFormat="1">
      <c r="A168" s="251"/>
      <c r="D168" s="1990"/>
      <c r="K168" s="57"/>
      <c r="L168" s="57"/>
    </row>
    <row r="169" spans="1:12" s="1989" customFormat="1">
      <c r="A169" s="251"/>
      <c r="D169" s="1990"/>
      <c r="K169" s="57"/>
      <c r="L169" s="57"/>
    </row>
    <row r="170" spans="1:12" s="1989" customFormat="1">
      <c r="A170" s="251"/>
      <c r="D170" s="1990"/>
      <c r="K170" s="57"/>
      <c r="L170" s="57"/>
    </row>
    <row r="171" spans="1:12" s="1989" customFormat="1">
      <c r="A171" s="251"/>
      <c r="D171" s="1990"/>
      <c r="K171" s="57"/>
      <c r="L171" s="57"/>
    </row>
    <row r="172" spans="1:12" s="1989" customFormat="1">
      <c r="A172" s="251"/>
      <c r="D172" s="1990"/>
      <c r="K172" s="57"/>
      <c r="L172" s="57"/>
    </row>
    <row r="173" spans="1:12" s="1989" customFormat="1">
      <c r="A173" s="251"/>
      <c r="D173" s="1990"/>
      <c r="K173" s="57"/>
      <c r="L173" s="57"/>
    </row>
    <row r="174" spans="1:12" s="1989" customFormat="1">
      <c r="A174" s="251"/>
      <c r="D174" s="1990"/>
      <c r="K174" s="57"/>
      <c r="L174" s="57"/>
    </row>
    <row r="175" spans="1:12" s="1989" customFormat="1">
      <c r="A175" s="251"/>
      <c r="D175" s="1990"/>
      <c r="K175" s="57"/>
      <c r="L175" s="57"/>
    </row>
    <row r="176" spans="1:12" s="1989" customFormat="1">
      <c r="A176" s="251"/>
      <c r="D176" s="1990"/>
      <c r="K176" s="57"/>
      <c r="L176" s="57"/>
    </row>
    <row r="177" spans="1:12" s="1989" customFormat="1">
      <c r="A177" s="251"/>
      <c r="D177" s="1990"/>
      <c r="K177" s="57"/>
      <c r="L177" s="57"/>
    </row>
    <row r="178" spans="1:12" s="1989" customFormat="1">
      <c r="A178" s="251"/>
      <c r="D178" s="1990"/>
      <c r="K178" s="57"/>
      <c r="L178" s="57"/>
    </row>
    <row r="179" spans="1:12" s="1989" customFormat="1">
      <c r="A179" s="251"/>
      <c r="D179" s="1990"/>
      <c r="K179" s="57"/>
      <c r="L179" s="57"/>
    </row>
    <row r="180" spans="1:12" s="1989" customFormat="1">
      <c r="A180" s="251"/>
      <c r="D180" s="1990"/>
      <c r="K180" s="57"/>
      <c r="L180" s="57"/>
    </row>
    <row r="181" spans="1:12" s="1989" customFormat="1">
      <c r="A181" s="251"/>
      <c r="D181" s="1990"/>
      <c r="K181" s="57"/>
      <c r="L181" s="57"/>
    </row>
    <row r="182" spans="1:12" s="1989" customFormat="1">
      <c r="A182" s="251"/>
      <c r="D182" s="1990"/>
      <c r="K182" s="57"/>
      <c r="L182" s="57"/>
    </row>
    <row r="183" spans="1:12" s="1989" customFormat="1">
      <c r="A183" s="251"/>
      <c r="D183" s="1990"/>
      <c r="K183" s="57"/>
      <c r="L183" s="57"/>
    </row>
    <row r="184" spans="1:12" s="1989" customFormat="1">
      <c r="A184" s="251"/>
      <c r="D184" s="1990"/>
      <c r="K184" s="57"/>
      <c r="L184" s="57"/>
    </row>
    <row r="185" spans="1:12" s="1989" customFormat="1">
      <c r="A185" s="251"/>
      <c r="D185" s="1990"/>
      <c r="K185" s="57"/>
      <c r="L185" s="57"/>
    </row>
    <row r="186" spans="1:12" s="1989" customFormat="1">
      <c r="A186" s="251"/>
      <c r="D186" s="1990"/>
      <c r="K186" s="57"/>
      <c r="L186" s="57"/>
    </row>
    <row r="187" spans="1:12" s="1989" customFormat="1">
      <c r="A187" s="251"/>
      <c r="D187" s="1990"/>
      <c r="K187" s="57"/>
      <c r="L187" s="57"/>
    </row>
    <row r="188" spans="1:12" s="1989" customFormat="1">
      <c r="A188" s="251"/>
      <c r="D188" s="1990"/>
      <c r="K188" s="57"/>
      <c r="L188" s="57"/>
    </row>
    <row r="189" spans="1:12" s="1989" customFormat="1">
      <c r="A189" s="251"/>
      <c r="D189" s="1990"/>
      <c r="K189" s="57"/>
      <c r="L189" s="57"/>
    </row>
    <row r="190" spans="1:12" s="1989" customFormat="1">
      <c r="A190" s="251"/>
      <c r="D190" s="1990"/>
      <c r="K190" s="57"/>
      <c r="L190" s="57"/>
    </row>
    <row r="191" spans="1:12" s="1989" customFormat="1">
      <c r="A191" s="251"/>
      <c r="D191" s="1990"/>
      <c r="K191" s="57"/>
      <c r="L191" s="57"/>
    </row>
    <row r="192" spans="1:12" s="1989" customFormat="1">
      <c r="A192" s="251"/>
      <c r="D192" s="199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663" t="s">
        <v>1664</v>
      </c>
      <c r="B1" s="3664"/>
      <c r="C1" s="3664"/>
      <c r="D1" s="3664"/>
      <c r="E1" s="3664"/>
      <c r="F1" s="3664"/>
      <c r="G1" s="3664"/>
      <c r="H1" s="1993"/>
      <c r="I1" s="1994"/>
      <c r="J1" s="1995"/>
      <c r="K1" s="1993"/>
      <c r="L1" s="1994"/>
      <c r="M1" s="1995"/>
      <c r="N1" s="1993"/>
      <c r="O1" s="1994"/>
      <c r="P1" s="1995"/>
      <c r="Q1" s="1996"/>
      <c r="R1" s="1997"/>
    </row>
    <row r="2" spans="1:18" ht="14.25" thickBot="1">
      <c r="A2" s="1214"/>
      <c r="B2" s="1215"/>
      <c r="C2" s="1216" t="s">
        <v>1665</v>
      </c>
      <c r="D2" s="1217"/>
      <c r="E2" s="1218"/>
      <c r="F2" s="1219"/>
      <c r="G2" s="1216" t="s">
        <v>1666</v>
      </c>
      <c r="H2" s="1999"/>
      <c r="I2" s="1999"/>
      <c r="J2" s="1999"/>
      <c r="K2" s="1999"/>
      <c r="L2" s="1999"/>
      <c r="M2" s="1999"/>
      <c r="N2" s="1999"/>
      <c r="O2" s="1999"/>
      <c r="P2" s="1999"/>
      <c r="Q2" s="1999"/>
      <c r="R2" s="1999"/>
    </row>
    <row r="3" spans="1:18" ht="54">
      <c r="A3" s="1220" t="s">
        <v>1667</v>
      </c>
      <c r="B3" s="1221" t="s">
        <v>1654</v>
      </c>
      <c r="C3" s="3514" t="s">
        <v>3456</v>
      </c>
      <c r="D3" s="2000"/>
      <c r="E3" s="1222" t="s">
        <v>1667</v>
      </c>
      <c r="F3" s="1223" t="s">
        <v>1655</v>
      </c>
      <c r="G3" s="3097" t="s">
        <v>2924</v>
      </c>
      <c r="H3" s="1999"/>
      <c r="I3" s="1999"/>
      <c r="J3" s="1999"/>
      <c r="K3" s="1999"/>
      <c r="L3" s="1999"/>
      <c r="M3" s="1999"/>
      <c r="N3" s="1999"/>
      <c r="O3" s="1999"/>
      <c r="P3" s="1999"/>
      <c r="Q3" s="1999"/>
      <c r="R3" s="1999"/>
    </row>
    <row r="4" spans="1:18" ht="54">
      <c r="A4" s="1222"/>
      <c r="B4" s="1224" t="s">
        <v>1668</v>
      </c>
      <c r="C4" s="3515" t="s">
        <v>3455</v>
      </c>
      <c r="D4" s="2000"/>
      <c r="E4" s="1225"/>
      <c r="F4" s="1226" t="s">
        <v>1669</v>
      </c>
      <c r="G4" s="3096" t="s">
        <v>2921</v>
      </c>
      <c r="H4" s="1999"/>
      <c r="I4" s="1999"/>
      <c r="J4" s="1999"/>
      <c r="K4" s="1999"/>
      <c r="L4" s="1999"/>
      <c r="M4" s="1999"/>
      <c r="N4" s="1999"/>
      <c r="O4" s="1999"/>
      <c r="P4" s="1999"/>
      <c r="Q4" s="1999"/>
      <c r="R4" s="1999"/>
    </row>
    <row r="5" spans="1:18" ht="54">
      <c r="A5" s="1222"/>
      <c r="B5" s="1224" t="s">
        <v>1670</v>
      </c>
      <c r="C5" s="3515" t="s">
        <v>3470</v>
      </c>
      <c r="D5" s="2000"/>
      <c r="E5" s="1225"/>
      <c r="F5" s="1224" t="s">
        <v>2550</v>
      </c>
      <c r="G5" s="3096" t="s">
        <v>2922</v>
      </c>
      <c r="H5" s="1999"/>
      <c r="I5" s="1999"/>
      <c r="J5" s="1999"/>
      <c r="K5" s="1999"/>
      <c r="L5" s="1999"/>
      <c r="M5" s="1999"/>
      <c r="N5" s="1999"/>
      <c r="O5" s="1999"/>
      <c r="P5" s="1999"/>
      <c r="Q5" s="1999"/>
      <c r="R5" s="1999"/>
    </row>
    <row r="6" spans="1:18" ht="67.5">
      <c r="A6" s="1222"/>
      <c r="B6" s="1224" t="s">
        <v>1656</v>
      </c>
      <c r="C6" s="3516" t="s">
        <v>3347</v>
      </c>
      <c r="D6" s="2000"/>
      <c r="E6" s="1225"/>
      <c r="F6" s="1224" t="s">
        <v>2551</v>
      </c>
      <c r="G6" s="3096" t="s">
        <v>2920</v>
      </c>
      <c r="H6" s="1999"/>
      <c r="I6" s="1999"/>
      <c r="J6" s="1999"/>
      <c r="K6" s="1999"/>
      <c r="L6" s="1999"/>
      <c r="M6" s="1999"/>
      <c r="N6" s="1999"/>
      <c r="O6" s="1999"/>
      <c r="P6" s="1999"/>
      <c r="Q6" s="1999"/>
      <c r="R6" s="1999"/>
    </row>
    <row r="7" spans="1:18" ht="68.25" thickBot="1">
      <c r="A7" s="1222"/>
      <c r="B7" s="1224" t="s">
        <v>2550</v>
      </c>
      <c r="C7" s="3516" t="s">
        <v>3354</v>
      </c>
      <c r="D7" s="2001"/>
      <c r="E7" s="1227"/>
      <c r="F7" s="1228" t="s">
        <v>1671</v>
      </c>
      <c r="G7" s="3098" t="s">
        <v>2923</v>
      </c>
      <c r="H7" s="1999"/>
      <c r="I7" s="1999"/>
      <c r="J7" s="1999"/>
      <c r="K7" s="1999"/>
      <c r="L7" s="1999"/>
      <c r="M7" s="1999"/>
      <c r="N7" s="1999"/>
      <c r="O7" s="1999"/>
      <c r="P7" s="1999"/>
      <c r="Q7" s="1999"/>
      <c r="R7" s="1999"/>
    </row>
    <row r="8" spans="1:18" ht="27">
      <c r="A8" s="1222"/>
      <c r="B8" s="1224" t="s">
        <v>2551</v>
      </c>
      <c r="C8" s="3516" t="s">
        <v>3348</v>
      </c>
      <c r="D8" s="2001"/>
      <c r="E8" s="2001"/>
      <c r="F8" s="1545"/>
      <c r="G8" s="1545"/>
      <c r="H8" s="1999"/>
      <c r="I8" s="1999"/>
      <c r="J8" s="1999"/>
      <c r="K8" s="1999"/>
      <c r="L8" s="1999"/>
      <c r="M8" s="1999"/>
      <c r="N8" s="1999"/>
      <c r="O8" s="1999"/>
      <c r="P8" s="1999"/>
      <c r="Q8" s="1999"/>
      <c r="R8" s="1999"/>
    </row>
    <row r="9" spans="1:18" ht="67.5">
      <c r="A9" s="1222"/>
      <c r="B9" s="1224" t="s">
        <v>1657</v>
      </c>
      <c r="C9" s="3515" t="s">
        <v>3430</v>
      </c>
      <c r="D9" s="2000"/>
      <c r="E9" s="2001"/>
      <c r="F9" s="1545"/>
      <c r="G9" s="1545"/>
      <c r="H9" s="1999"/>
      <c r="I9" s="1999"/>
      <c r="J9" s="1999"/>
      <c r="K9" s="1999"/>
      <c r="L9" s="1999"/>
      <c r="M9" s="1999"/>
      <c r="N9" s="1999"/>
      <c r="O9" s="1999"/>
      <c r="P9" s="1999"/>
      <c r="Q9" s="1999"/>
      <c r="R9" s="1999"/>
    </row>
    <row r="10" spans="1:18" s="2007" customFormat="1" ht="14.25" thickBot="1">
      <c r="A10" s="1229"/>
      <c r="B10" s="1230" t="s">
        <v>1672</v>
      </c>
      <c r="C10" s="3517" t="s">
        <v>3431</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7"/>
      <c r="E13" s="2593"/>
      <c r="F13" s="2593"/>
      <c r="G13" s="2593"/>
    </row>
    <row r="14" spans="1:18" ht="14.25" thickBot="1">
      <c r="A14" s="1231"/>
      <c r="B14" s="1232"/>
      <c r="C14" s="1233" t="s">
        <v>1665</v>
      </c>
      <c r="D14" s="2000"/>
      <c r="E14" s="1234"/>
      <c r="F14" s="1234"/>
      <c r="G14" s="1216" t="s">
        <v>1666</v>
      </c>
    </row>
    <row r="15" spans="1:18" ht="54">
      <c r="A15" s="2603" t="s">
        <v>1658</v>
      </c>
      <c r="B15" s="1235" t="s">
        <v>1654</v>
      </c>
      <c r="C15" s="1236" t="str">
        <f>C3</f>
        <v>估价对象位于太湖商圈，周边办公楼项目较多（无锡金融中心等），入驻率较高，办公集聚程度较好</v>
      </c>
      <c r="D15" s="2000"/>
      <c r="E15" s="2600" t="s">
        <v>1659</v>
      </c>
      <c r="F15" s="1235" t="s">
        <v>1674</v>
      </c>
      <c r="G15" s="1237" t="str">
        <f>G3</f>
        <v>估价对象位于XX开发区，园区建设成熟度XX，产业集聚程度XX</v>
      </c>
    </row>
    <row r="16" spans="1:18" ht="54">
      <c r="A16" s="2604"/>
      <c r="B16" s="1238" t="s">
        <v>1668</v>
      </c>
      <c r="C16" s="1239" t="str">
        <f>C4</f>
        <v>估价对象位于太湖商圈，周边商业氛围成熟（海岸城1八方汇等），人流量较大大，商业繁华度较好</v>
      </c>
      <c r="D16" s="2000"/>
      <c r="E16" s="2601"/>
      <c r="F16" s="1240" t="s">
        <v>1669</v>
      </c>
      <c r="G16" s="998" t="str">
        <f>G4</f>
        <v>估价对象周边道路状况、公共交通通达情况、停车便捷程度，综合评价交通便捷度较好</v>
      </c>
    </row>
    <row r="17" spans="1:7" ht="54">
      <c r="A17" s="2604"/>
      <c r="B17" s="1238" t="s">
        <v>1670</v>
      </c>
      <c r="C17" s="1239" t="str">
        <f>C5</f>
        <v>估价对象位于太湖商圈，周边办公楼项目较多（无锡金融中心等），入驻率较高，办公集聚程度较好</v>
      </c>
      <c r="D17" s="2001"/>
      <c r="E17" s="2601"/>
      <c r="F17" s="1240" t="s">
        <v>1675</v>
      </c>
      <c r="G17" s="2810"/>
    </row>
    <row r="18" spans="1:7" ht="67.5">
      <c r="A18" s="2604"/>
      <c r="B18" s="1240" t="s">
        <v>1656</v>
      </c>
      <c r="C18" s="998" t="str">
        <f>C6</f>
        <v>估价对象临立信大道、公共交通线路较多（135路、156路等）及地铁1号线、停车便捷度较高，综合评价交通便捷度较好</v>
      </c>
      <c r="D18" s="2001"/>
      <c r="E18" s="2601"/>
      <c r="F18" s="1240" t="s">
        <v>1671</v>
      </c>
      <c r="G18" s="998" t="str">
        <f>G7</f>
        <v>该园区内是否有污染型企业，绿化情况，卫生条件，整体环境状况判断</v>
      </c>
    </row>
    <row r="19" spans="1:7" ht="27">
      <c r="A19" s="2604"/>
      <c r="B19" s="1240" t="s">
        <v>1660</v>
      </c>
      <c r="C19" s="2810"/>
      <c r="D19" s="2000"/>
      <c r="E19" s="2601"/>
      <c r="F19" s="1224" t="s">
        <v>2550</v>
      </c>
      <c r="G19" s="998" t="str">
        <f>G5</f>
        <v>估价对象所在区域公共配套设施齐备情况</v>
      </c>
    </row>
    <row r="20" spans="1:7" ht="67.5">
      <c r="A20" s="2604"/>
      <c r="B20" s="1240" t="s">
        <v>1661</v>
      </c>
      <c r="C20" s="1239" t="str">
        <f>C9</f>
        <v>区域内有尚贤河湿地公园，自然环境较好；无大学等人文设施，人文环境较差；综合评价环境状况一般</v>
      </c>
      <c r="D20" s="2001"/>
      <c r="E20" s="2601"/>
      <c r="F20" s="1224" t="s">
        <v>2551</v>
      </c>
      <c r="G20" s="998" t="str">
        <f>G6</f>
        <v>估价对象所在区域基础设施水平</v>
      </c>
    </row>
    <row r="21" spans="1:7" ht="67.5">
      <c r="A21" s="2604"/>
      <c r="B21" s="1224" t="s">
        <v>2550</v>
      </c>
      <c r="C21" s="998" t="str">
        <f>C7</f>
        <v>估价对象所在区域内有农业银行、无锡市第二中医医院、无锡金桥双语实验学校，公共配套设施水平较好</v>
      </c>
      <c r="D21" s="2000"/>
      <c r="E21" s="2601"/>
      <c r="F21" s="1240" t="s">
        <v>1662</v>
      </c>
      <c r="G21" s="3099"/>
    </row>
    <row r="22" spans="1:7" ht="27">
      <c r="A22" s="2604"/>
      <c r="B22" s="1224" t="s">
        <v>2551</v>
      </c>
      <c r="C22" s="998" t="str">
        <f>C8</f>
        <v>估价对象所在区域基础设施水平“六通”</v>
      </c>
      <c r="D22" s="2000"/>
      <c r="E22" s="2601"/>
      <c r="F22" s="1240" t="s">
        <v>1672</v>
      </c>
      <c r="G22" s="2810"/>
    </row>
    <row r="23" spans="1:7" ht="15" thickBot="1">
      <c r="A23" s="2604"/>
      <c r="B23" s="1240" t="s">
        <v>1662</v>
      </c>
      <c r="C23" s="3099" t="s">
        <v>3296</v>
      </c>
      <c r="E23" s="2602"/>
      <c r="F23" s="1241" t="s">
        <v>1676</v>
      </c>
      <c r="G23" s="3100"/>
    </row>
    <row r="24" spans="1:7" ht="14.25" thickBot="1">
      <c r="A24" s="2605"/>
      <c r="B24" s="1241" t="s">
        <v>1663</v>
      </c>
      <c r="C24" s="1242" t="str">
        <f>C10</f>
        <v>次干道——立信大道</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0" t="s">
        <v>2848</v>
      </c>
      <c r="B1" s="3060">
        <f>SUM(B14:B23)</f>
        <v>479506</v>
      </c>
      <c r="C1" s="3061"/>
      <c r="D1" s="3061"/>
      <c r="E1" s="3061"/>
      <c r="F1" s="3061"/>
    </row>
    <row r="2" spans="1:9" ht="16.5">
      <c r="A2" s="3060" t="s">
        <v>2849</v>
      </c>
      <c r="B2" s="3060">
        <f>SUM(C14:C23)</f>
        <v>74665.899999999994</v>
      </c>
      <c r="C2" s="3061"/>
      <c r="D2" s="3061"/>
      <c r="E2" s="3061"/>
      <c r="F2" s="3061"/>
    </row>
    <row r="3" spans="1:9" ht="16.5">
      <c r="A3" s="3060" t="s">
        <v>2850</v>
      </c>
      <c r="B3" s="3062">
        <f>项目基本情况!D3</f>
        <v>43271</v>
      </c>
      <c r="C3" s="3061"/>
      <c r="D3" s="3061"/>
      <c r="E3" s="3061"/>
      <c r="F3" s="3061"/>
    </row>
    <row r="4" spans="1:9" ht="33">
      <c r="A4" s="3060" t="s">
        <v>2851</v>
      </c>
      <c r="B4" s="3060" t="s">
        <v>2852</v>
      </c>
      <c r="C4" s="3060" t="s">
        <v>2853</v>
      </c>
      <c r="D4" s="3060" t="s">
        <v>2854</v>
      </c>
      <c r="E4" s="3061"/>
      <c r="F4" s="3061"/>
    </row>
    <row r="5" spans="1:9" ht="16.5">
      <c r="A5" s="3060" t="s">
        <v>2855</v>
      </c>
      <c r="B5" s="3060">
        <f ca="1">SUM(D14:D23)</f>
        <v>145280</v>
      </c>
      <c r="C5" s="3060">
        <f ca="1">ROUND(B5*10000/$B$1,0)</f>
        <v>3030</v>
      </c>
      <c r="D5" s="3060">
        <f ca="1">ROUND(B5*10000/$B$2,0)</f>
        <v>19457</v>
      </c>
      <c r="E5" s="3061"/>
      <c r="F5" s="3061"/>
    </row>
    <row r="6" spans="1:9" ht="16.5">
      <c r="A6" s="3060" t="s">
        <v>2856</v>
      </c>
      <c r="B6" s="3060">
        <f>SUM(G14:G23)</f>
        <v>0</v>
      </c>
      <c r="C6" s="3060">
        <f t="shared" ref="C6:C8" si="0">ROUND(B6*10000/$B$1,0)</f>
        <v>0</v>
      </c>
      <c r="D6" s="3060">
        <f t="shared" ref="D6:D8" si="1">ROUND(B6*10000/$B$2,0)</f>
        <v>0</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479506</v>
      </c>
      <c r="C14" s="3064">
        <f>结果表!K38</f>
        <v>74665.899999999994</v>
      </c>
      <c r="D14" s="3064">
        <f ca="1">结果表!C42</f>
        <v>145280</v>
      </c>
      <c r="E14" s="3064">
        <f ca="1">ROUND(D14*10000/B14,0)</f>
        <v>3030</v>
      </c>
      <c r="F14" s="3064">
        <f ca="1">ROUND(D14*10000/C14,0)</f>
        <v>19457</v>
      </c>
      <c r="G14" s="3064" t="str">
        <f>结果表!C44</f>
        <v>——</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SheetLayoutView="100" zoomScalePageLayoutView="80" workbookViewId="0">
      <selection activeCell="G26" sqref="G26"/>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3217</v>
      </c>
      <c r="E1" s="1797" t="s">
        <v>2058</v>
      </c>
      <c r="F1" s="1799" t="s">
        <v>3216</v>
      </c>
      <c r="G1" s="309"/>
      <c r="H1" s="309"/>
      <c r="I1" s="309"/>
      <c r="J1" s="2020"/>
      <c r="K1" s="2020"/>
      <c r="L1" s="2020"/>
      <c r="M1" s="2020"/>
      <c r="N1" s="2020"/>
      <c r="O1" s="2020"/>
      <c r="P1" s="2020"/>
      <c r="Q1" s="2020"/>
      <c r="R1" s="2020"/>
      <c r="S1" s="2020"/>
      <c r="T1" s="2020"/>
      <c r="U1" s="2020"/>
      <c r="V1" s="2020"/>
    </row>
    <row r="2" spans="1:22" ht="21.75" customHeight="1" thickBot="1">
      <c r="A2" s="3710" t="str">
        <f>项目基本情况!K2</f>
        <v>出让国有建设用地使用权</v>
      </c>
      <c r="B2" s="3711"/>
      <c r="C2" s="3712"/>
      <c r="D2" s="3712"/>
      <c r="E2" s="3712"/>
      <c r="F2" s="3712"/>
      <c r="G2" s="3711"/>
      <c r="H2" s="3711"/>
      <c r="I2" s="3713"/>
      <c r="J2" s="2021"/>
      <c r="K2" s="2020"/>
      <c r="L2" s="2020"/>
      <c r="M2" s="2020"/>
      <c r="N2" s="2020"/>
      <c r="O2" s="2020"/>
      <c r="P2" s="2020"/>
      <c r="Q2" s="2020"/>
      <c r="R2" s="2020"/>
      <c r="S2" s="2020"/>
      <c r="T2" s="2020"/>
      <c r="U2" s="2020"/>
      <c r="V2" s="2020"/>
    </row>
    <row r="3" spans="1:22" ht="14.25">
      <c r="A3" s="3721" t="s">
        <v>298</v>
      </c>
      <c r="B3" s="3722"/>
      <c r="C3" s="3722"/>
      <c r="D3" s="3722"/>
      <c r="E3" s="3722"/>
      <c r="F3" s="3722"/>
      <c r="G3" s="3722"/>
      <c r="H3" s="3722"/>
      <c r="I3" s="3722"/>
      <c r="J3" s="2021"/>
      <c r="K3" s="2020"/>
      <c r="L3" s="2020"/>
      <c r="M3" s="2020"/>
      <c r="N3" s="2020"/>
      <c r="O3" s="2020"/>
      <c r="P3" s="2020"/>
      <c r="Q3" s="2020"/>
      <c r="R3" s="2020"/>
      <c r="S3" s="2020"/>
      <c r="T3" s="2020"/>
      <c r="U3" s="2020"/>
      <c r="V3" s="2020"/>
    </row>
    <row r="4" spans="1:22" ht="14.25">
      <c r="A4" s="256" t="s">
        <v>299</v>
      </c>
      <c r="B4" s="257" t="s">
        <v>300</v>
      </c>
      <c r="C4" s="258" t="s">
        <v>3298</v>
      </c>
      <c r="D4" s="258" t="s">
        <v>3215</v>
      </c>
      <c r="E4" s="3685" t="s">
        <v>301</v>
      </c>
      <c r="F4" s="3727"/>
      <c r="G4" s="3727"/>
      <c r="H4" s="3727"/>
      <c r="I4" s="3686"/>
      <c r="J4" s="2021"/>
      <c r="K4" s="2020"/>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714" t="s">
        <v>302</v>
      </c>
      <c r="B5" s="3715">
        <v>25</v>
      </c>
      <c r="C5" s="3723"/>
      <c r="D5" s="3726"/>
      <c r="E5" s="259" t="s">
        <v>303</v>
      </c>
      <c r="F5" s="260"/>
      <c r="G5" s="260"/>
      <c r="H5" s="260"/>
      <c r="I5" s="261"/>
      <c r="J5" s="2021"/>
      <c r="K5" s="2020"/>
      <c r="L5" s="2020"/>
      <c r="M5" s="2020"/>
      <c r="N5" s="2020"/>
      <c r="O5" s="2020"/>
      <c r="P5" s="2020"/>
      <c r="Q5" s="2020"/>
      <c r="R5" s="2020"/>
      <c r="S5" s="2020"/>
      <c r="T5" s="2020"/>
      <c r="U5" s="2020"/>
      <c r="V5" s="2020"/>
    </row>
    <row r="6" spans="1:22" ht="14.25">
      <c r="A6" s="3714"/>
      <c r="B6" s="3715"/>
      <c r="C6" s="3724"/>
      <c r="D6" s="3726"/>
      <c r="E6" s="259" t="s">
        <v>304</v>
      </c>
      <c r="F6" s="260"/>
      <c r="G6" s="260"/>
      <c r="H6" s="260"/>
      <c r="I6" s="261"/>
      <c r="J6" s="2021"/>
      <c r="K6" s="2020"/>
      <c r="L6" s="2020"/>
      <c r="M6" s="2020"/>
      <c r="N6" s="2020"/>
      <c r="O6" s="2020"/>
      <c r="P6" s="2020"/>
      <c r="Q6" s="2020"/>
      <c r="R6" s="2020"/>
      <c r="S6" s="2020"/>
      <c r="T6" s="2020"/>
      <c r="U6" s="2020"/>
      <c r="V6" s="2020"/>
    </row>
    <row r="7" spans="1:22" ht="14.25">
      <c r="A7" s="3714"/>
      <c r="B7" s="3715"/>
      <c r="C7" s="3725"/>
      <c r="D7" s="3726"/>
      <c r="E7" s="259" t="s">
        <v>305</v>
      </c>
      <c r="F7" s="260"/>
      <c r="G7" s="260"/>
      <c r="H7" s="260"/>
      <c r="I7" s="261"/>
      <c r="J7" s="2021"/>
      <c r="K7" s="2020"/>
      <c r="L7" s="2020"/>
      <c r="M7" s="2020"/>
      <c r="N7" s="2020"/>
      <c r="O7" s="2020"/>
      <c r="P7" s="2020"/>
      <c r="Q7" s="2020"/>
      <c r="R7" s="2020"/>
      <c r="S7" s="2020"/>
      <c r="T7" s="2020"/>
      <c r="U7" s="2020"/>
      <c r="V7" s="2020"/>
    </row>
    <row r="8" spans="1:22" ht="14.25">
      <c r="A8" s="3714" t="s">
        <v>306</v>
      </c>
      <c r="B8" s="3715">
        <v>15</v>
      </c>
      <c r="C8" s="3723"/>
      <c r="D8" s="3726"/>
      <c r="E8" s="259" t="s">
        <v>307</v>
      </c>
      <c r="F8" s="260"/>
      <c r="G8" s="260"/>
      <c r="H8" s="260"/>
      <c r="I8" s="261"/>
      <c r="J8" s="2021"/>
      <c r="K8" s="2020"/>
      <c r="L8" s="2020"/>
      <c r="M8" s="2020"/>
      <c r="N8" s="2020"/>
      <c r="O8" s="2020"/>
      <c r="P8" s="2020"/>
      <c r="Q8" s="2020"/>
      <c r="R8" s="2020"/>
      <c r="S8" s="2020"/>
      <c r="T8" s="2020"/>
      <c r="U8" s="2020"/>
      <c r="V8" s="2020"/>
    </row>
    <row r="9" spans="1:22" ht="14.25">
      <c r="A9" s="3714"/>
      <c r="B9" s="3715"/>
      <c r="C9" s="3725"/>
      <c r="D9" s="3726"/>
      <c r="E9" s="259" t="s">
        <v>308</v>
      </c>
      <c r="F9" s="260"/>
      <c r="G9" s="260"/>
      <c r="H9" s="260"/>
      <c r="I9" s="261"/>
      <c r="J9" s="2021"/>
      <c r="K9" s="2020"/>
      <c r="L9" s="2020"/>
      <c r="M9" s="2020"/>
      <c r="N9" s="2020"/>
      <c r="O9" s="2020"/>
      <c r="P9" s="2020"/>
      <c r="Q9" s="2020"/>
      <c r="R9" s="2020"/>
      <c r="S9" s="2020"/>
      <c r="T9" s="2020"/>
      <c r="U9" s="2020"/>
      <c r="V9" s="2020"/>
    </row>
    <row r="10" spans="1:22" ht="14.25">
      <c r="A10" s="3714" t="s">
        <v>309</v>
      </c>
      <c r="B10" s="3715">
        <v>15</v>
      </c>
      <c r="C10" s="3723"/>
      <c r="D10" s="3726"/>
      <c r="E10" s="259" t="s">
        <v>310</v>
      </c>
      <c r="F10" s="260"/>
      <c r="G10" s="260"/>
      <c r="H10" s="260"/>
      <c r="I10" s="261"/>
      <c r="J10" s="2021"/>
      <c r="K10" s="2020"/>
      <c r="L10" s="2020"/>
      <c r="M10" s="2020"/>
      <c r="N10" s="2020"/>
      <c r="O10" s="2020"/>
      <c r="P10" s="2020"/>
      <c r="Q10" s="2020"/>
      <c r="R10" s="2020"/>
      <c r="S10" s="2020"/>
      <c r="T10" s="2020"/>
      <c r="U10" s="2020"/>
      <c r="V10" s="2020"/>
    </row>
    <row r="11" spans="1:22" ht="14.25">
      <c r="A11" s="3714"/>
      <c r="B11" s="3715"/>
      <c r="C11" s="3725"/>
      <c r="D11" s="3726"/>
      <c r="E11" s="259" t="s">
        <v>311</v>
      </c>
      <c r="F11" s="260"/>
      <c r="G11" s="260"/>
      <c r="H11" s="260"/>
      <c r="I11" s="261"/>
      <c r="J11" s="2021"/>
      <c r="K11" s="2020"/>
      <c r="L11" s="2020"/>
      <c r="M11" s="2020"/>
      <c r="N11" s="2020"/>
      <c r="O11" s="2020"/>
      <c r="P11" s="2020"/>
      <c r="Q11" s="2020"/>
      <c r="R11" s="2020"/>
      <c r="S11" s="2020"/>
      <c r="T11" s="2020"/>
      <c r="U11" s="2020"/>
      <c r="V11" s="2020"/>
    </row>
    <row r="12" spans="1:22" ht="14.25">
      <c r="A12" s="3714" t="s">
        <v>312</v>
      </c>
      <c r="B12" s="3715">
        <v>15</v>
      </c>
      <c r="C12" s="3723"/>
      <c r="D12" s="3726"/>
      <c r="E12" s="259" t="s">
        <v>313</v>
      </c>
      <c r="F12" s="260"/>
      <c r="G12" s="260"/>
      <c r="H12" s="260"/>
      <c r="I12" s="261"/>
      <c r="J12" s="2021"/>
      <c r="K12" s="2020"/>
      <c r="L12" s="2020"/>
      <c r="M12" s="2020"/>
      <c r="N12" s="2020"/>
      <c r="O12" s="2020"/>
      <c r="P12" s="2020"/>
      <c r="Q12" s="2020"/>
      <c r="R12" s="2020"/>
      <c r="S12" s="2020"/>
      <c r="T12" s="2020"/>
      <c r="U12" s="2020"/>
      <c r="V12" s="2020"/>
    </row>
    <row r="13" spans="1:22" ht="14.25">
      <c r="A13" s="3714"/>
      <c r="B13" s="3715"/>
      <c r="C13" s="3725"/>
      <c r="D13" s="3726"/>
      <c r="E13" s="259" t="s">
        <v>314</v>
      </c>
      <c r="F13" s="260"/>
      <c r="G13" s="260"/>
      <c r="H13" s="260"/>
      <c r="I13" s="261"/>
      <c r="J13" s="2021"/>
      <c r="K13" s="2020"/>
      <c r="L13" s="2020"/>
      <c r="M13" s="2020"/>
      <c r="N13" s="2020"/>
      <c r="O13" s="2020"/>
      <c r="P13" s="2020"/>
      <c r="Q13" s="2020"/>
      <c r="R13" s="2020"/>
      <c r="S13" s="2020"/>
      <c r="T13" s="2020"/>
      <c r="U13" s="2020"/>
      <c r="V13" s="2020"/>
    </row>
    <row r="14" spans="1:22" ht="14.25">
      <c r="A14" s="3714" t="s">
        <v>315</v>
      </c>
      <c r="B14" s="3715">
        <v>30</v>
      </c>
      <c r="C14" s="3723">
        <v>6</v>
      </c>
      <c r="D14" s="3726">
        <v>4</v>
      </c>
      <c r="E14" s="259" t="s">
        <v>316</v>
      </c>
      <c r="F14" s="260"/>
      <c r="G14" s="260"/>
      <c r="H14" s="260"/>
      <c r="I14" s="261"/>
      <c r="J14" s="2021"/>
      <c r="K14" s="2020"/>
      <c r="L14" s="2020"/>
      <c r="M14" s="2020"/>
      <c r="N14" s="2020"/>
      <c r="O14" s="2020"/>
      <c r="P14" s="2020"/>
      <c r="Q14" s="2020"/>
      <c r="R14" s="2020"/>
      <c r="S14" s="2020"/>
      <c r="T14" s="2020"/>
      <c r="U14" s="2020"/>
      <c r="V14" s="2020"/>
    </row>
    <row r="15" spans="1:22" ht="14.25">
      <c r="A15" s="3714"/>
      <c r="B15" s="3715"/>
      <c r="C15" s="3724"/>
      <c r="D15" s="3726"/>
      <c r="E15" s="259" t="s">
        <v>317</v>
      </c>
      <c r="F15" s="260"/>
      <c r="G15" s="260"/>
      <c r="H15" s="260"/>
      <c r="I15" s="261"/>
      <c r="J15" s="2021"/>
      <c r="K15" s="2020"/>
      <c r="L15" s="2020"/>
      <c r="M15" s="2020"/>
      <c r="N15" s="2020"/>
      <c r="O15" s="2020"/>
      <c r="P15" s="2020"/>
      <c r="Q15" s="2020"/>
      <c r="R15" s="2020"/>
      <c r="S15" s="2020"/>
      <c r="T15" s="2020"/>
      <c r="U15" s="2020"/>
      <c r="V15" s="2020"/>
    </row>
    <row r="16" spans="1:22" ht="14.25">
      <c r="A16" s="3714"/>
      <c r="B16" s="3715"/>
      <c r="C16" s="3725"/>
      <c r="D16" s="3726"/>
      <c r="E16" s="259" t="s">
        <v>318</v>
      </c>
      <c r="F16" s="260"/>
      <c r="G16" s="260"/>
      <c r="H16" s="260"/>
      <c r="I16" s="261"/>
      <c r="J16" s="2021"/>
      <c r="K16" s="2020"/>
      <c r="L16" s="2020"/>
      <c r="M16" s="2020"/>
      <c r="N16" s="2020"/>
      <c r="O16" s="2020"/>
      <c r="P16" s="2020"/>
      <c r="Q16" s="2020"/>
      <c r="R16" s="2020"/>
      <c r="S16" s="2020"/>
      <c r="T16" s="2020"/>
      <c r="U16" s="2020"/>
      <c r="V16" s="2020"/>
    </row>
    <row r="17" spans="1:26" ht="15">
      <c r="A17" s="262" t="s">
        <v>319</v>
      </c>
      <c r="B17" s="144"/>
      <c r="C17" s="263">
        <f>SUM(C5:C16)</f>
        <v>6</v>
      </c>
      <c r="D17" s="263">
        <f>SUM(D5:D16)</f>
        <v>4</v>
      </c>
      <c r="E17" s="309"/>
      <c r="F17" s="309"/>
      <c r="G17" s="309"/>
      <c r="H17" s="309"/>
      <c r="I17" s="309"/>
      <c r="J17" s="2021"/>
      <c r="K17" s="2020"/>
      <c r="L17" s="2020"/>
      <c r="M17" s="2020"/>
      <c r="N17" s="2020"/>
      <c r="O17" s="2020"/>
      <c r="P17" s="2020"/>
      <c r="Q17" s="2020"/>
      <c r="R17" s="2020"/>
      <c r="S17" s="2020"/>
      <c r="T17" s="2020"/>
      <c r="U17" s="2020"/>
      <c r="V17" s="2020"/>
    </row>
    <row r="18" spans="1:26" ht="15.75" thickBot="1">
      <c r="A18" s="264" t="s">
        <v>320</v>
      </c>
      <c r="B18" s="105"/>
      <c r="C18" s="265">
        <f>ROUND(C17/SUM(C17:D17),2)</f>
        <v>0.6</v>
      </c>
      <c r="D18" s="265">
        <f>1-C18</f>
        <v>0.4</v>
      </c>
      <c r="E18" s="309"/>
      <c r="F18" s="309"/>
      <c r="G18" s="309"/>
      <c r="H18" s="309"/>
      <c r="I18" s="309"/>
      <c r="J18" s="2020"/>
      <c r="K18" s="2020"/>
      <c r="L18" s="2020"/>
      <c r="M18" s="2020"/>
      <c r="N18" s="2020"/>
      <c r="O18" s="2020"/>
      <c r="P18" s="2020"/>
      <c r="Q18" s="2020"/>
      <c r="R18" s="2020"/>
      <c r="S18" s="2020"/>
      <c r="T18" s="2020"/>
      <c r="U18" s="2020"/>
      <c r="V18" s="2020"/>
    </row>
    <row r="19" spans="1:26" ht="15">
      <c r="A19" s="266" t="s">
        <v>321</v>
      </c>
      <c r="B19" s="267" t="s">
        <v>322</v>
      </c>
      <c r="C19" s="268">
        <f ca="1">SUMIF(INDIRECT("'"&amp;C4&amp;"'"&amp;"!A:A"),结果表!B19,INDIRECT("'"&amp;C4&amp;"'"&amp;"!B:B"))</f>
        <v>79086</v>
      </c>
      <c r="D19" s="269">
        <f ca="1">SUMIF(INDIRECT("'"&amp;D4&amp;"'"&amp;"!A:A"),结果表!B19,INDIRECT("'"&amp;D4&amp;"'"&amp;"!B:B"))</f>
        <v>244570</v>
      </c>
      <c r="E19" s="266" t="s">
        <v>323</v>
      </c>
      <c r="F19" s="267" t="s">
        <v>322</v>
      </c>
      <c r="G19" s="270">
        <f ca="1">ROUND(C19*$C$18+D19*$D$18,0)</f>
        <v>145280</v>
      </c>
      <c r="H19" s="271" t="s">
        <v>324</v>
      </c>
      <c r="I19" s="309"/>
      <c r="J19" s="2020"/>
      <c r="K19" s="2020"/>
      <c r="L19" s="2020"/>
      <c r="M19" s="2020"/>
      <c r="N19" s="2020"/>
      <c r="O19" s="2020"/>
      <c r="P19" s="2020"/>
      <c r="Q19" s="2020"/>
      <c r="R19" s="2020"/>
      <c r="S19" s="2020"/>
      <c r="T19" s="2020"/>
      <c r="U19" s="2020"/>
      <c r="V19" s="2020"/>
    </row>
    <row r="20" spans="1:26" ht="15">
      <c r="A20" s="272"/>
      <c r="B20" s="273" t="s">
        <v>325</v>
      </c>
      <c r="C20" s="274">
        <f ca="1">SUMIF(INDIRECT("'"&amp;C4&amp;"'"&amp;"!A:A"),结果表!B20,INDIRECT("'"&amp;C4&amp;"'"&amp;"!B:B"))</f>
        <v>1649</v>
      </c>
      <c r="D20" s="275">
        <f ca="1">SUMIF(INDIRECT("'"&amp;D4&amp;"'"&amp;"!A:A"),结果表!B20,INDIRECT("'"&amp;D4&amp;"'"&amp;"!B:B"))</f>
        <v>5100</v>
      </c>
      <c r="E20" s="272"/>
      <c r="F20" s="273" t="s">
        <v>325</v>
      </c>
      <c r="G20" s="276">
        <f ca="1">ROUND(C20*$C$18+D20*$D$18,0)</f>
        <v>3029</v>
      </c>
      <c r="H20" s="277" t="s">
        <v>326</v>
      </c>
      <c r="I20" s="309"/>
      <c r="J20" s="2020"/>
      <c r="K20" s="2020"/>
      <c r="L20" s="2020"/>
      <c r="M20" s="2020"/>
      <c r="N20" s="2020"/>
      <c r="O20" s="2020"/>
      <c r="P20" s="2020"/>
      <c r="Q20" s="2020"/>
      <c r="R20" s="2020"/>
      <c r="S20" s="2020"/>
      <c r="T20" s="2020"/>
      <c r="U20" s="2020"/>
      <c r="V20" s="2020"/>
    </row>
    <row r="21" spans="1:26" ht="15" customHeight="1">
      <c r="A21" s="272"/>
      <c r="B21" s="278" t="s">
        <v>327</v>
      </c>
      <c r="C21" s="279">
        <f ca="1">SUMIF(INDIRECT("'"&amp;C4&amp;"'"&amp;"!A:A"),结果表!B21,INDIRECT("'"&amp;C4&amp;"'"&amp;"!B:B"))</f>
        <v>10592</v>
      </c>
      <c r="D21" s="151">
        <f ca="1">SUMIF(INDIRECT("'"&amp;D4&amp;"'"&amp;"!A:A"),结果表!B21,INDIRECT("'"&amp;D4&amp;"'"&amp;"!B:B"))</f>
        <v>32755</v>
      </c>
      <c r="E21" s="272"/>
      <c r="F21" s="278" t="s">
        <v>327</v>
      </c>
      <c r="G21" s="280">
        <f ca="1">ROUND(C21*$C$18+D21*$D$18,0)</f>
        <v>19457</v>
      </c>
      <c r="H21" s="1244" t="s">
        <v>326</v>
      </c>
      <c r="I21" s="309"/>
      <c r="J21" s="2020"/>
      <c r="K21" s="2020"/>
      <c r="L21" s="2020"/>
      <c r="M21" s="2020"/>
      <c r="N21" s="2020"/>
      <c r="O21" s="2020"/>
      <c r="P21" s="2020"/>
      <c r="Q21" s="2020"/>
      <c r="R21" s="2020"/>
      <c r="S21" s="2020"/>
      <c r="T21" s="2020"/>
      <c r="U21" s="2020"/>
      <c r="V21" s="2020"/>
    </row>
    <row r="22" spans="1:26" ht="15.75" thickBot="1">
      <c r="A22" s="126" t="s">
        <v>328</v>
      </c>
      <c r="B22" s="1245"/>
      <c r="C22" s="1246"/>
      <c r="D22" s="281">
        <f ca="1">IF(C19&lt;D19,D19/C19-1,C19/D19-1)</f>
        <v>2.0924563133803709</v>
      </c>
      <c r="E22" s="282"/>
      <c r="F22" s="283"/>
      <c r="G22" s="284">
        <f ca="1">ROUND(G19/('数据-汇总表'!D3/666.67),0)</f>
        <v>1297</v>
      </c>
      <c r="H22" s="285" t="s">
        <v>329</v>
      </c>
      <c r="I22" s="309"/>
      <c r="J22" s="2020"/>
      <c r="K22" s="2020"/>
      <c r="L22" s="2020"/>
      <c r="M22" s="2020"/>
      <c r="N22" s="2020"/>
      <c r="O22" s="2020"/>
      <c r="P22" s="2020"/>
      <c r="Q22" s="2020"/>
      <c r="R22" s="2020"/>
      <c r="S22" s="2020"/>
      <c r="T22" s="2020"/>
      <c r="U22" s="2020"/>
      <c r="V22" s="2020"/>
    </row>
    <row r="23" spans="1:26" ht="13.5" thickBot="1">
      <c r="A23" s="309"/>
      <c r="B23" s="309"/>
      <c r="C23" s="309"/>
      <c r="D23" s="309"/>
      <c r="E23" s="309"/>
      <c r="F23" s="309"/>
      <c r="G23" s="309"/>
      <c r="H23" s="309"/>
      <c r="I23" s="309"/>
      <c r="J23" s="2020"/>
      <c r="K23" s="2020"/>
      <c r="L23" s="2020"/>
      <c r="M23" s="2020"/>
      <c r="N23" s="2020"/>
      <c r="O23" s="2020"/>
      <c r="P23" s="2020"/>
      <c r="Q23" s="2020"/>
      <c r="R23" s="2020"/>
      <c r="S23" s="2020"/>
      <c r="T23" s="2020"/>
      <c r="U23" s="2020"/>
      <c r="V23" s="2020"/>
    </row>
    <row r="24" spans="1:26" ht="15" thickBot="1">
      <c r="A24" s="3687" t="s">
        <v>330</v>
      </c>
      <c r="B24" s="267" t="s">
        <v>322</v>
      </c>
      <c r="C24" s="286">
        <f>IF(B30=0,0,D30)</f>
        <v>0</v>
      </c>
      <c r="D24" s="287"/>
      <c r="E24" s="309"/>
      <c r="F24" s="309"/>
      <c r="G24" s="309"/>
      <c r="H24" s="309"/>
      <c r="I24" s="309"/>
      <c r="J24" s="2020"/>
      <c r="K24" s="2020"/>
      <c r="L24" s="2020"/>
      <c r="M24" s="2020"/>
      <c r="N24" s="2020"/>
      <c r="O24" s="2020"/>
      <c r="P24" s="2020"/>
      <c r="Q24" s="2020"/>
      <c r="R24" s="2020"/>
      <c r="S24" s="2020"/>
      <c r="T24" s="2020"/>
      <c r="U24" s="2020"/>
      <c r="V24" s="2020"/>
    </row>
    <row r="25" spans="1:26" ht="18">
      <c r="A25" s="3729"/>
      <c r="B25" s="1314" t="s">
        <v>331</v>
      </c>
      <c r="C25" s="288">
        <f>IF(B30=0,0,C30)</f>
        <v>0</v>
      </c>
      <c r="D25" s="289"/>
      <c r="E25" s="309"/>
      <c r="F25" s="309"/>
      <c r="G25" s="309"/>
      <c r="H25" s="309"/>
      <c r="I25" s="309"/>
      <c r="J25" s="2020"/>
      <c r="K25" s="1248" t="str">
        <f ca="1">项目基本情况!B16&amp;"国有建设用地使用权价格："&amp;O38&amp;"万元"</f>
        <v>出让国有建设用地使用权价格：145280万元</v>
      </c>
      <c r="L25" s="1249"/>
      <c r="M25" s="1249"/>
      <c r="N25" s="1249"/>
      <c r="O25" s="1250"/>
      <c r="P25" s="2020"/>
      <c r="Q25" s="2020"/>
      <c r="R25" s="2020"/>
      <c r="S25" s="2020"/>
      <c r="T25" s="2020"/>
      <c r="U25" s="2020"/>
      <c r="V25" s="2020"/>
    </row>
    <row r="26" spans="1:26" s="1247" customFormat="1" ht="18">
      <c r="A26" s="291" t="s">
        <v>332</v>
      </c>
      <c r="B26" s="292" t="s">
        <v>333</v>
      </c>
      <c r="C26" s="292" t="s">
        <v>334</v>
      </c>
      <c r="D26" s="293" t="s">
        <v>335</v>
      </c>
      <c r="E26" s="309"/>
      <c r="F26" s="309"/>
      <c r="G26" s="309"/>
      <c r="H26" s="309"/>
      <c r="I26" s="309"/>
      <c r="J26" s="2020"/>
      <c r="K26" s="1251" t="str">
        <f ca="1">"大写金额：人民币"&amp;NUMBERSTRING(INT(O38*10000),2)&amp;"元整"</f>
        <v>大写金额：人民币壹拾肆亿伍仟贰佰捌拾万元整</v>
      </c>
      <c r="L26" s="1245"/>
      <c r="M26" s="1245"/>
      <c r="N26" s="1245"/>
      <c r="O26" s="1244"/>
      <c r="P26" s="2020"/>
      <c r="Q26" s="2020"/>
      <c r="R26" s="2020"/>
      <c r="S26" s="2020"/>
      <c r="T26" s="2020"/>
      <c r="U26" s="2020"/>
      <c r="V26" s="2020"/>
      <c r="W26" s="290"/>
      <c r="X26" s="290"/>
      <c r="Y26" s="290"/>
      <c r="Z26" s="290"/>
    </row>
    <row r="27" spans="1:26" ht="18">
      <c r="A27" s="291"/>
      <c r="B27" s="292"/>
      <c r="C27" s="292"/>
      <c r="D27" s="293">
        <f ca="1">G19*10000/'数据-汇总表'!F31</f>
        <v>4099.4963105097568</v>
      </c>
      <c r="E27" s="309"/>
      <c r="F27" s="309"/>
      <c r="G27" s="309"/>
      <c r="H27" s="309"/>
      <c r="I27" s="309"/>
      <c r="J27" s="2020"/>
      <c r="K27" s="1251" t="str">
        <f ca="1">"单位面积地价："&amp;M38&amp;"元/平方米"</f>
        <v>单位面积地价：19457元/平方米</v>
      </c>
      <c r="L27" s="1245"/>
      <c r="M27" s="1245"/>
      <c r="N27" s="1245"/>
      <c r="O27" s="1244"/>
      <c r="P27" s="2020"/>
      <c r="Q27" s="2020"/>
      <c r="R27" s="2020"/>
      <c r="S27" s="2020"/>
      <c r="T27" s="2020"/>
      <c r="U27" s="2020"/>
      <c r="V27" s="2020"/>
    </row>
    <row r="28" spans="1:26" ht="18.75" customHeight="1">
      <c r="A28" s="291"/>
      <c r="B28" s="292">
        <f>156000/'数据-汇总表'!D3*10000</f>
        <v>20893.071669932327</v>
      </c>
      <c r="C28" s="292"/>
      <c r="D28" s="293"/>
      <c r="E28" s="309"/>
      <c r="F28" s="309"/>
      <c r="G28" s="309"/>
      <c r="H28" s="309"/>
      <c r="I28" s="309"/>
      <c r="J28" s="2020"/>
      <c r="K28" s="1251" t="str">
        <f ca="1">"楼面地价："&amp;N38&amp;"元/平方米"</f>
        <v>楼面地价：3030元/平方米</v>
      </c>
      <c r="L28" s="1245"/>
      <c r="M28" s="1245"/>
      <c r="N28" s="1245"/>
      <c r="O28" s="1244"/>
      <c r="P28" s="2020"/>
      <c r="V28" s="2020"/>
    </row>
    <row r="29" spans="1:26" ht="18">
      <c r="A29" s="291"/>
      <c r="B29" s="292"/>
      <c r="C29" s="292"/>
      <c r="D29" s="293"/>
      <c r="E29" s="309"/>
      <c r="F29" s="309"/>
      <c r="G29" s="309"/>
      <c r="H29" s="309"/>
      <c r="I29" s="309"/>
      <c r="J29" s="2020"/>
      <c r="K29" s="1251" t="str">
        <f>IF(OR(项目基本情况!E8="抵押价格",项目基本情况!E8="已注销及未注销"),"抵押价格："&amp;O39&amp;"万元","——")</f>
        <v>——</v>
      </c>
      <c r="L29" s="1245"/>
      <c r="M29" s="1245"/>
      <c r="N29" s="1245"/>
      <c r="O29" s="1244"/>
      <c r="P29" s="2020"/>
      <c r="V29" s="2020"/>
    </row>
    <row r="30" spans="1:26" ht="18.75" thickBot="1">
      <c r="A30" s="3148" t="s">
        <v>336</v>
      </c>
      <c r="B30" s="307"/>
      <c r="C30" s="307"/>
      <c r="D30" s="308"/>
      <c r="E30" s="3149" t="s">
        <v>2971</v>
      </c>
      <c r="F30" s="309"/>
      <c r="G30" s="309"/>
      <c r="H30" s="309"/>
      <c r="I30" s="309"/>
      <c r="J30" s="2020"/>
      <c r="K30" s="1251" t="str">
        <f>IF(K29="——","——","大写金额：人民币"&amp;NUMBERSTRING(INT(O39*10000),2)&amp;"元整")</f>
        <v>——</v>
      </c>
      <c r="L30" s="1245"/>
      <c r="M30" s="1245"/>
      <c r="N30" s="1245"/>
      <c r="O30" s="1244"/>
      <c r="P30" s="2020"/>
      <c r="V30" s="2020"/>
    </row>
    <row r="31" spans="1:26" ht="24" customHeight="1" thickBot="1">
      <c r="A31" s="309"/>
      <c r="B31" s="309"/>
      <c r="C31" s="309"/>
      <c r="D31" s="309"/>
      <c r="E31" s="309"/>
      <c r="F31" s="309"/>
      <c r="G31" s="309"/>
      <c r="H31" s="309"/>
      <c r="I31" s="309"/>
      <c r="J31" s="2020"/>
      <c r="K31" s="2484" t="str">
        <f>IF(项目基本情况!E8="抵押价格","——","抵押担保权已注销时的抵押价格："&amp;O40&amp;"万元")</f>
        <v>抵押担保权已注销时的抵押价格：——万元</v>
      </c>
      <c r="L31" s="2480"/>
      <c r="M31" s="2480"/>
      <c r="N31" s="2480"/>
      <c r="O31" s="2481"/>
      <c r="P31" s="2020"/>
      <c r="V31" s="2020"/>
    </row>
    <row r="32" spans="1:26" ht="18.75" thickBot="1">
      <c r="A32" s="266" t="s">
        <v>337</v>
      </c>
      <c r="B32" s="1373" t="s">
        <v>1687</v>
      </c>
      <c r="C32" s="1374">
        <f ca="1">G19-C24</f>
        <v>145280</v>
      </c>
      <c r="D32" s="1375" t="s">
        <v>1688</v>
      </c>
      <c r="E32" s="309"/>
      <c r="F32" s="309"/>
      <c r="G32" s="309"/>
      <c r="H32" s="309"/>
      <c r="I32" s="309"/>
      <c r="J32" s="2020"/>
      <c r="K32" s="2479" t="e">
        <f>IF(K31="——","——","大写金额：人民币"&amp;NUMBERSTRING(INT(O40*10000),2)&amp;"元整")</f>
        <v>#VALUE!</v>
      </c>
      <c r="L32" s="2482"/>
      <c r="M32" s="2482"/>
      <c r="N32" s="2482"/>
      <c r="O32" s="2483"/>
      <c r="P32" s="2020"/>
      <c r="V32" s="2020"/>
    </row>
    <row r="33" spans="1:26" ht="18.75" thickBot="1">
      <c r="A33" s="296" t="s">
        <v>340</v>
      </c>
      <c r="B33" s="1376" t="s">
        <v>1689</v>
      </c>
      <c r="C33" s="262">
        <f ca="1">ROUND(C32*10000/'数据-汇总表'!E3,0)</f>
        <v>3030</v>
      </c>
      <c r="D33" s="1377" t="s">
        <v>1690</v>
      </c>
      <c r="E33" s="3687" t="s">
        <v>338</v>
      </c>
      <c r="F33" s="294" t="s">
        <v>339</v>
      </c>
      <c r="G33" s="295"/>
      <c r="H33" s="973"/>
      <c r="I33" s="1252"/>
      <c r="J33" s="2020"/>
      <c r="K33" s="1251" t="str">
        <f>IF(项目基本情况!E9="——","——","抵押净值："&amp;C46&amp;"万元")</f>
        <v>抵押净值：——万元</v>
      </c>
      <c r="L33" s="1245"/>
      <c r="M33" s="1245"/>
      <c r="N33" s="1245"/>
      <c r="O33" s="1244"/>
      <c r="P33" s="2020"/>
      <c r="V33" s="2020"/>
    </row>
    <row r="34" spans="1:26" s="1247" customFormat="1" ht="18.75" thickBot="1">
      <c r="A34" s="298"/>
      <c r="B34" s="1378" t="s">
        <v>1691</v>
      </c>
      <c r="C34" s="262">
        <f ca="1">ROUND(C32*10000/'数据-汇总表'!D3,0)</f>
        <v>19457</v>
      </c>
      <c r="D34" s="1379" t="s">
        <v>1690</v>
      </c>
      <c r="E34" s="3688"/>
      <c r="F34" s="127" t="s">
        <v>341</v>
      </c>
      <c r="G34" s="297"/>
      <c r="H34" s="105"/>
      <c r="I34" s="309"/>
      <c r="J34" s="2020"/>
      <c r="K34" s="1254" t="e">
        <f>IF(K33="——","——","大写金额：人民币"&amp;NUMBERSTRING(INT(O41*10000),2)&amp;"元整")</f>
        <v>#VALUE!</v>
      </c>
      <c r="L34" s="1255"/>
      <c r="M34" s="1255"/>
      <c r="N34" s="1255"/>
      <c r="O34" s="1256"/>
      <c r="P34" s="2020"/>
      <c r="Q34" s="290"/>
      <c r="R34" s="290"/>
      <c r="S34" s="290"/>
      <c r="T34" s="290"/>
      <c r="U34" s="290"/>
      <c r="V34" s="2020"/>
      <c r="W34" s="290"/>
      <c r="X34" s="290"/>
      <c r="Y34" s="290"/>
      <c r="Z34" s="290"/>
    </row>
    <row r="35" spans="1:26" ht="15.75" thickBot="1">
      <c r="A35" s="282"/>
      <c r="B35" s="1380"/>
      <c r="C35" s="1381">
        <f ca="1">ROUND(C32/('数据-汇总表'!D3/666.67),0)</f>
        <v>1297</v>
      </c>
      <c r="D35" s="1382" t="s">
        <v>1692</v>
      </c>
      <c r="E35" s="3689"/>
      <c r="F35" s="299" t="s">
        <v>342</v>
      </c>
      <c r="G35" s="975"/>
      <c r="H35" s="974" t="s">
        <v>343</v>
      </c>
      <c r="I35" s="309"/>
      <c r="J35" s="2020"/>
      <c r="K35" s="3693" t="s">
        <v>350</v>
      </c>
      <c r="L35" s="3693" t="s">
        <v>351</v>
      </c>
      <c r="M35" s="1257" t="s">
        <v>352</v>
      </c>
      <c r="N35" s="3693" t="s">
        <v>353</v>
      </c>
      <c r="O35" s="3693" t="s">
        <v>354</v>
      </c>
      <c r="P35" s="2020"/>
      <c r="V35" s="2020"/>
    </row>
    <row r="36" spans="1:26" ht="16.5" customHeight="1">
      <c r="A36" s="301" t="s">
        <v>344</v>
      </c>
      <c r="B36" s="302" t="s">
        <v>333</v>
      </c>
      <c r="C36" s="303" t="s">
        <v>345</v>
      </c>
      <c r="D36" s="303" t="s">
        <v>346</v>
      </c>
      <c r="E36" s="304" t="s">
        <v>347</v>
      </c>
      <c r="F36" s="309"/>
      <c r="G36" s="309"/>
      <c r="H36" s="309"/>
      <c r="I36" s="309"/>
      <c r="J36" s="2022"/>
      <c r="K36" s="3694"/>
      <c r="L36" s="3694"/>
      <c r="M36" s="1259" t="s">
        <v>355</v>
      </c>
      <c r="N36" s="3694"/>
      <c r="O36" s="3694"/>
      <c r="P36" s="2020"/>
      <c r="V36" s="2020"/>
    </row>
    <row r="37" spans="1:26" ht="16.5" customHeight="1" thickBot="1">
      <c r="A37" s="1253" t="s">
        <v>348</v>
      </c>
      <c r="B37" s="305"/>
      <c r="C37" s="292"/>
      <c r="D37" s="292"/>
      <c r="E37" s="293"/>
      <c r="F37" s="309"/>
      <c r="G37" s="309"/>
      <c r="H37" s="309"/>
      <c r="I37" s="309"/>
      <c r="J37" s="2022"/>
      <c r="K37" s="3695"/>
      <c r="L37" s="3695"/>
      <c r="M37" s="1260"/>
      <c r="N37" s="3695"/>
      <c r="O37" s="3695"/>
      <c r="P37" s="2020"/>
      <c r="V37" s="2020"/>
    </row>
    <row r="38" spans="1:26" ht="16.5" customHeight="1" thickBot="1">
      <c r="A38" s="1253" t="s">
        <v>349</v>
      </c>
      <c r="B38" s="305"/>
      <c r="C38" s="292"/>
      <c r="D38" s="292"/>
      <c r="E38" s="293"/>
      <c r="F38" s="309"/>
      <c r="G38" s="309"/>
      <c r="H38" s="309"/>
      <c r="I38" s="309"/>
      <c r="J38" s="2022"/>
      <c r="K38" s="1261">
        <f>'数据-汇总表'!D3</f>
        <v>74665.899999999994</v>
      </c>
      <c r="L38" s="1262">
        <f>'数据-汇总表'!E3</f>
        <v>479506</v>
      </c>
      <c r="M38" s="1262">
        <f ca="1">C34</f>
        <v>19457</v>
      </c>
      <c r="N38" s="1262">
        <f ca="1">C33</f>
        <v>3030</v>
      </c>
      <c r="O38" s="1263">
        <f ca="1">C32</f>
        <v>145280</v>
      </c>
      <c r="P38" s="2020"/>
      <c r="V38" s="2020"/>
    </row>
    <row r="39" spans="1:26" ht="16.5" customHeight="1" thickBot="1">
      <c r="A39" s="1258"/>
      <c r="B39" s="306"/>
      <c r="C39" s="307"/>
      <c r="D39" s="307"/>
      <c r="E39" s="308"/>
      <c r="F39" s="309"/>
      <c r="G39" s="309"/>
      <c r="H39" s="309"/>
      <c r="I39" s="309"/>
      <c r="J39" s="2022"/>
      <c r="K39" s="3670" t="str">
        <f>MID(A44,3,LEN(A44)-2)</f>
        <v/>
      </c>
      <c r="L39" s="3671"/>
      <c r="M39" s="3671"/>
      <c r="N39" s="3672"/>
      <c r="O39" s="1384" t="str">
        <f>C44</f>
        <v>——</v>
      </c>
      <c r="P39" s="2020"/>
      <c r="V39" s="2020"/>
    </row>
    <row r="40" spans="1:26" ht="19.5" thickBot="1">
      <c r="A40" s="104" t="s">
        <v>873</v>
      </c>
      <c r="B40" s="309"/>
      <c r="C40" s="309"/>
      <c r="D40" s="309"/>
      <c r="E40" s="309"/>
      <c r="F40" s="309"/>
      <c r="G40" s="309"/>
      <c r="H40" s="309"/>
      <c r="I40" s="309"/>
      <c r="J40" s="2022"/>
      <c r="K40" s="3670" t="str">
        <f t="shared" ref="K40:K41" si="0">MID(A45,3,LEN(A45)-2)</f>
        <v/>
      </c>
      <c r="L40" s="3671"/>
      <c r="M40" s="3671"/>
      <c r="N40" s="3672"/>
      <c r="O40" s="1384" t="str">
        <f>C45</f>
        <v>——</v>
      </c>
      <c r="P40" s="2020"/>
      <c r="V40" s="2020"/>
    </row>
    <row r="41" spans="1:26" ht="16.5" thickBot="1">
      <c r="A41" s="310" t="s">
        <v>356</v>
      </c>
      <c r="B41" s="311"/>
      <c r="C41" s="312" t="s">
        <v>357</v>
      </c>
      <c r="D41" s="313" t="s">
        <v>358</v>
      </c>
      <c r="E41" s="313" t="s">
        <v>359</v>
      </c>
      <c r="F41" s="314" t="s">
        <v>360</v>
      </c>
      <c r="G41" s="309"/>
      <c r="H41" s="309"/>
      <c r="I41" s="309"/>
      <c r="J41" s="2022"/>
      <c r="K41" s="3670" t="str">
        <f t="shared" si="0"/>
        <v/>
      </c>
      <c r="L41" s="3671"/>
      <c r="M41" s="3671"/>
      <c r="N41" s="3672"/>
      <c r="O41" s="1384" t="str">
        <f>C46</f>
        <v>——</v>
      </c>
      <c r="P41" s="2020"/>
      <c r="V41" s="2020"/>
    </row>
    <row r="42" spans="1:26" ht="29.25">
      <c r="A42" s="3730" t="s">
        <v>2068</v>
      </c>
      <c r="B42" s="3731"/>
      <c r="C42" s="262">
        <f ca="1">C32</f>
        <v>145280</v>
      </c>
      <c r="D42" s="315">
        <f ca="1">C33</f>
        <v>3030</v>
      </c>
      <c r="E42" s="315">
        <f ca="1">C34</f>
        <v>19457</v>
      </c>
      <c r="F42" s="316">
        <f ca="1">C35</f>
        <v>1297</v>
      </c>
      <c r="G42" s="309"/>
      <c r="H42" s="309"/>
      <c r="I42" s="317"/>
      <c r="J42" s="2022"/>
      <c r="K42" s="1264" t="s">
        <v>361</v>
      </c>
      <c r="L42" s="2039" t="s">
        <v>362</v>
      </c>
      <c r="M42" s="1265" t="s">
        <v>363</v>
      </c>
      <c r="N42" s="2040" t="s">
        <v>364</v>
      </c>
      <c r="O42" s="2041" t="s">
        <v>365</v>
      </c>
      <c r="P42" s="2020"/>
      <c r="V42" s="2020"/>
    </row>
    <row r="43" spans="1:26" ht="30">
      <c r="A43" s="3740" t="s">
        <v>2734</v>
      </c>
      <c r="B43" s="3741"/>
      <c r="C43" s="262">
        <f>IF(H33="正常操作",G33+G34+G35,G34+G35)</f>
        <v>0</v>
      </c>
      <c r="D43" s="315" t="s">
        <v>43</v>
      </c>
      <c r="E43" s="315" t="s">
        <v>44</v>
      </c>
      <c r="F43" s="316" t="s">
        <v>44</v>
      </c>
      <c r="G43" s="2883" t="s">
        <v>952</v>
      </c>
      <c r="H43" s="309"/>
      <c r="I43" s="317"/>
      <c r="J43" s="2022"/>
      <c r="K43" s="1266" t="str">
        <f>C4</f>
        <v>比较法-住宅、综合</v>
      </c>
      <c r="L43" s="1267">
        <f ca="1">IF(L42="估价结果/万元",C19,C20)</f>
        <v>79086</v>
      </c>
      <c r="M43" s="1268">
        <f>C18</f>
        <v>0.6</v>
      </c>
      <c r="N43" s="1269">
        <f ca="1">IF(N42="测算结果/万元",G19,G20)</f>
        <v>145280</v>
      </c>
      <c r="O43" s="1270">
        <f ca="1">IF(O42="最终结果/万元",C32,C33)</f>
        <v>145280</v>
      </c>
      <c r="P43" s="2020"/>
      <c r="V43" s="2020"/>
    </row>
    <row r="44" spans="1:26" ht="30.75" thickBot="1">
      <c r="A44" s="3730" t="str">
        <f>IF(OR(项目基本情况!E8="抵押价格",项目基本情况!E8="已注销及未注销"),"3.抵押价格","——")</f>
        <v>——</v>
      </c>
      <c r="B44" s="3731"/>
      <c r="C44" s="262" t="str">
        <f>IF(A44="——","——",C42-C43)</f>
        <v>——</v>
      </c>
      <c r="D44" s="315" t="e">
        <f>ROUND(C44*10000/'数据-汇总表'!E3,0)</f>
        <v>#VALUE!</v>
      </c>
      <c r="E44" s="315" t="e">
        <f>ROUND(C44*10000/'数据-汇总表'!D3,0)</f>
        <v>#VALUE!</v>
      </c>
      <c r="F44" s="316" t="e">
        <f>ROUND(C44/('数据-汇总表'!D3/666.67),0)</f>
        <v>#VALUE!</v>
      </c>
      <c r="G44" s="309"/>
      <c r="H44" s="309"/>
      <c r="I44" s="317"/>
      <c r="J44" s="2022"/>
      <c r="K44" s="1271" t="str">
        <f>D4</f>
        <v>剩余法-待开发</v>
      </c>
      <c r="L44" s="1272">
        <f ca="1">IF(L42="估价结果/万元",D19,D20)</f>
        <v>244570</v>
      </c>
      <c r="M44" s="1273">
        <f>D18</f>
        <v>0.4</v>
      </c>
      <c r="N44" s="1274"/>
      <c r="O44" s="1275"/>
      <c r="P44" s="2020"/>
      <c r="V44" s="2020"/>
    </row>
    <row r="45" spans="1:26" ht="15">
      <c r="A45" s="3735" t="str">
        <f>IF(项目基本情况!E8="已注销及未注销","4.抵押担保权已注销时的抵押价格",IF(项目基本情况!E8="已注销","3.抵押担保权已注销时的抵押价格","——"))</f>
        <v>——</v>
      </c>
      <c r="B45" s="3736"/>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2"/>
      <c r="K45" s="2020"/>
      <c r="L45" s="2020"/>
      <c r="M45" s="2020"/>
      <c r="N45" s="2020"/>
      <c r="O45" s="2020"/>
      <c r="P45" s="2020"/>
      <c r="V45" s="2020"/>
    </row>
    <row r="46" spans="1:26" ht="15.75" thickBot="1">
      <c r="A46" s="3732" t="str">
        <f>IF(项目基本情况!E9="抵押净值",IF(A45="——","4.抵押净值","5.抵押净值"),"——")</f>
        <v>——</v>
      </c>
      <c r="B46" s="3733"/>
      <c r="C46" s="318" t="str">
        <f>IF(A46="——","——",O79)</f>
        <v>——</v>
      </c>
      <c r="D46" s="315" t="e">
        <f>ROUND(C46*10000/'数据-汇总表'!E3,0)</f>
        <v>#VALUE!</v>
      </c>
      <c r="E46" s="315" t="e">
        <f>ROUND(C46*10000/'数据-汇总表'!D3,0)</f>
        <v>#VALUE!</v>
      </c>
      <c r="F46" s="316" t="e">
        <f>ROUND(C46/('数据-汇总表'!D3/666.67),0)</f>
        <v>#VALUE!</v>
      </c>
      <c r="G46" s="309"/>
      <c r="H46" s="309"/>
      <c r="I46" s="317"/>
      <c r="J46" s="2022"/>
      <c r="K46" s="2020"/>
      <c r="L46" s="2020"/>
      <c r="M46" s="2020"/>
      <c r="N46" s="2020"/>
      <c r="O46" s="2020"/>
      <c r="P46" s="2020"/>
      <c r="Q46" s="2020"/>
      <c r="R46" s="2020"/>
      <c r="S46" s="2020"/>
      <c r="T46" s="2020"/>
      <c r="U46" s="2020"/>
      <c r="V46" s="2020"/>
    </row>
    <row r="47" spans="1:26" ht="15.75">
      <c r="A47" s="319" t="s">
        <v>366</v>
      </c>
      <c r="B47" s="1276"/>
      <c r="C47" s="320" t="s">
        <v>367</v>
      </c>
      <c r="D47" s="321"/>
      <c r="E47" s="321"/>
      <c r="F47" s="321"/>
      <c r="G47" s="322"/>
      <c r="H47" s="323"/>
      <c r="I47" s="324"/>
      <c r="J47" s="2022"/>
      <c r="K47" s="309"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c r="A48" s="325">
        <v>1</v>
      </c>
      <c r="B48" s="326"/>
      <c r="C48" s="326"/>
      <c r="D48" s="321"/>
      <c r="E48" s="321"/>
      <c r="F48" s="321"/>
      <c r="G48" s="321"/>
      <c r="H48" s="327"/>
      <c r="I48" s="328"/>
      <c r="J48" s="2022"/>
      <c r="K48" s="2020"/>
      <c r="L48" s="2020"/>
      <c r="M48" s="2020"/>
      <c r="N48" s="2020"/>
      <c r="O48" s="2020"/>
      <c r="P48" s="2020"/>
      <c r="Q48" s="2020"/>
      <c r="R48" s="2020"/>
      <c r="S48" s="2020"/>
      <c r="T48" s="2020"/>
      <c r="U48" s="2020"/>
      <c r="V48" s="2020"/>
    </row>
    <row r="49" spans="1:22" ht="12.75">
      <c r="A49" s="325">
        <v>2</v>
      </c>
      <c r="B49" s="326"/>
      <c r="C49" s="326"/>
      <c r="D49" s="321"/>
      <c r="E49" s="321"/>
      <c r="F49" s="321"/>
      <c r="G49" s="321"/>
      <c r="H49" s="327"/>
      <c r="I49" s="328"/>
      <c r="J49" s="2023"/>
      <c r="K49" s="2020"/>
      <c r="L49" s="2020"/>
      <c r="M49" s="2020"/>
      <c r="N49" s="2020"/>
      <c r="O49" s="2020"/>
      <c r="P49" s="2020"/>
      <c r="Q49" s="2020"/>
      <c r="R49" s="2020"/>
      <c r="S49" s="2020"/>
      <c r="T49" s="2020"/>
      <c r="U49" s="2020"/>
      <c r="V49" s="2020"/>
    </row>
    <row r="50" spans="1:22" ht="12.75">
      <c r="A50" s="325">
        <v>3</v>
      </c>
      <c r="B50" s="326"/>
      <c r="C50" s="326"/>
      <c r="D50" s="321"/>
      <c r="E50" s="321"/>
      <c r="F50" s="321"/>
      <c r="G50" s="321"/>
      <c r="H50" s="327"/>
      <c r="I50" s="328"/>
      <c r="J50" s="2023"/>
      <c r="K50" s="2020"/>
      <c r="L50" s="2020"/>
      <c r="M50" s="2020"/>
      <c r="N50" s="2020"/>
      <c r="O50" s="2020"/>
      <c r="P50" s="2020"/>
      <c r="Q50" s="2020"/>
      <c r="R50" s="2020"/>
      <c r="S50" s="2020"/>
      <c r="T50" s="2020"/>
      <c r="U50" s="2020"/>
      <c r="V50" s="2020"/>
    </row>
    <row r="51" spans="1:22" ht="12.75">
      <c r="A51" s="329"/>
      <c r="B51" s="330"/>
      <c r="C51" s="330"/>
      <c r="D51" s="331"/>
      <c r="E51" s="331"/>
      <c r="F51" s="331"/>
      <c r="G51" s="331"/>
      <c r="H51" s="332"/>
      <c r="I51" s="333"/>
      <c r="J51" s="2023"/>
      <c r="K51" s="2020"/>
      <c r="L51" s="2020"/>
      <c r="M51" s="2020"/>
      <c r="N51" s="2020"/>
      <c r="O51" s="2020"/>
      <c r="P51" s="2020"/>
      <c r="Q51" s="2020"/>
      <c r="R51" s="2020"/>
      <c r="S51" s="2020"/>
      <c r="T51" s="2020"/>
      <c r="U51" s="2020"/>
      <c r="V51" s="2020"/>
    </row>
    <row r="52" spans="1:22" ht="12.75">
      <c r="A52" s="326"/>
      <c r="B52" s="326"/>
      <c r="C52" s="326"/>
      <c r="D52" s="321"/>
      <c r="E52" s="321"/>
      <c r="F52" s="321"/>
      <c r="G52" s="321"/>
      <c r="H52" s="327"/>
      <c r="I52" s="255"/>
      <c r="J52" s="2023"/>
      <c r="K52" s="2020"/>
      <c r="L52" s="2020"/>
      <c r="M52" s="2020"/>
      <c r="N52" s="2020"/>
      <c r="O52" s="2020"/>
      <c r="P52" s="2020"/>
      <c r="Q52" s="2020"/>
      <c r="R52" s="2020"/>
      <c r="S52" s="2020"/>
      <c r="T52" s="2020"/>
      <c r="U52" s="2020"/>
      <c r="V52" s="2020"/>
    </row>
    <row r="53" spans="1:22" ht="12.75">
      <c r="A53" s="255"/>
      <c r="B53" s="255"/>
      <c r="C53" s="255"/>
      <c r="D53" s="255"/>
      <c r="E53" s="255"/>
      <c r="F53" s="334" t="s">
        <v>368</v>
      </c>
      <c r="G53" s="335"/>
      <c r="H53" s="335"/>
      <c r="I53" s="336" t="s">
        <v>369</v>
      </c>
      <c r="J53" s="2023"/>
      <c r="K53" s="2020"/>
      <c r="L53" s="2020"/>
      <c r="M53" s="2020"/>
      <c r="N53" s="2020"/>
      <c r="O53" s="2020"/>
      <c r="P53" s="2020"/>
      <c r="Q53" s="2020"/>
      <c r="R53" s="2020"/>
      <c r="S53" s="2020"/>
      <c r="T53" s="2020"/>
      <c r="U53" s="2020"/>
      <c r="V53" s="2020"/>
    </row>
    <row r="54" spans="1:22" ht="12.75">
      <c r="A54" s="255"/>
      <c r="B54" s="337" t="s">
        <v>370</v>
      </c>
      <c r="C54" s="255"/>
      <c r="D54" s="255"/>
      <c r="E54" s="255"/>
      <c r="F54" s="255"/>
      <c r="G54" s="255"/>
      <c r="H54" s="255"/>
      <c r="I54" s="255"/>
      <c r="J54" s="2023"/>
      <c r="K54" s="2020"/>
      <c r="L54" s="2020"/>
      <c r="M54" s="2020"/>
      <c r="N54" s="2020"/>
      <c r="O54" s="2020"/>
      <c r="P54" s="2020"/>
      <c r="Q54" s="2020"/>
      <c r="R54" s="2020"/>
      <c r="S54" s="2020"/>
      <c r="T54" s="2020"/>
      <c r="U54" s="2020"/>
      <c r="V54" s="2020"/>
    </row>
    <row r="55" spans="1:22" ht="12.75">
      <c r="A55" s="255"/>
      <c r="B55" s="255"/>
      <c r="C55" s="255"/>
      <c r="D55" s="255"/>
      <c r="E55" s="255"/>
      <c r="F55" s="255"/>
      <c r="G55" s="255"/>
      <c r="H55" s="255"/>
      <c r="I55" s="255"/>
      <c r="J55" s="2023"/>
      <c r="K55" s="2020"/>
      <c r="L55" s="2020"/>
      <c r="M55" s="2020"/>
      <c r="N55" s="2020"/>
      <c r="O55" s="2020"/>
      <c r="P55" s="2020"/>
      <c r="Q55" s="2020"/>
      <c r="R55" s="2020"/>
      <c r="S55" s="2020"/>
      <c r="T55" s="2020"/>
      <c r="U55" s="2020"/>
      <c r="V55" s="2020"/>
    </row>
    <row r="56" spans="1:22" ht="12.75">
      <c r="A56" s="255"/>
      <c r="B56" s="335"/>
      <c r="C56" s="335"/>
      <c r="D56" s="335"/>
      <c r="E56" s="335"/>
      <c r="F56" s="335"/>
      <c r="G56" s="335"/>
      <c r="H56" s="335"/>
      <c r="I56" s="336" t="s">
        <v>371</v>
      </c>
      <c r="J56" s="2023"/>
      <c r="K56" s="2020"/>
      <c r="L56" s="2020"/>
      <c r="M56" s="2020"/>
      <c r="N56" s="2020"/>
      <c r="O56" s="2020"/>
      <c r="P56" s="2020"/>
      <c r="Q56" s="2020"/>
      <c r="R56" s="2020"/>
      <c r="S56" s="2020"/>
      <c r="T56" s="2020"/>
      <c r="U56" s="2020"/>
      <c r="V56" s="2020"/>
    </row>
    <row r="57" spans="1:22" ht="12.75">
      <c r="A57" s="255"/>
      <c r="B57" s="337" t="s">
        <v>372</v>
      </c>
      <c r="C57" s="255"/>
      <c r="D57" s="255"/>
      <c r="E57" s="255"/>
      <c r="F57" s="255"/>
      <c r="G57" s="255"/>
      <c r="H57" s="255"/>
      <c r="I57" s="255"/>
      <c r="J57" s="2023"/>
      <c r="K57" s="2020"/>
      <c r="L57" s="2020"/>
      <c r="M57" s="2020"/>
      <c r="N57" s="2020"/>
      <c r="O57" s="2020"/>
      <c r="P57" s="2020"/>
      <c r="Q57" s="2020"/>
      <c r="R57" s="2020"/>
      <c r="S57" s="2020"/>
      <c r="T57" s="2020"/>
      <c r="U57" s="2020"/>
      <c r="V57" s="2020"/>
    </row>
    <row r="58" spans="1:22" ht="12.75">
      <c r="A58" s="255"/>
      <c r="B58" s="337"/>
      <c r="C58" s="255"/>
      <c r="D58" s="255"/>
      <c r="E58" s="255"/>
      <c r="F58" s="255"/>
      <c r="G58" s="255"/>
      <c r="H58" s="255"/>
      <c r="I58" s="255"/>
      <c r="J58" s="2023"/>
      <c r="K58" s="2020"/>
      <c r="L58" s="2020"/>
      <c r="M58" s="2020"/>
      <c r="N58" s="2020"/>
      <c r="O58" s="2020"/>
      <c r="P58" s="2020"/>
      <c r="Q58" s="2020"/>
      <c r="R58" s="2020"/>
      <c r="S58" s="2020"/>
      <c r="T58" s="2020"/>
      <c r="U58" s="2020"/>
      <c r="V58" s="2020"/>
    </row>
    <row r="59" spans="1:22" ht="12.75">
      <c r="A59" s="255"/>
      <c r="B59" s="335"/>
      <c r="C59" s="335"/>
      <c r="D59" s="335"/>
      <c r="E59" s="335"/>
      <c r="F59" s="335"/>
      <c r="G59" s="335"/>
      <c r="H59" s="335"/>
      <c r="I59" s="336" t="s">
        <v>371</v>
      </c>
      <c r="J59" s="2023"/>
      <c r="K59" s="2020"/>
      <c r="L59" s="2020"/>
      <c r="M59" s="2020"/>
      <c r="N59" s="2020"/>
      <c r="O59" s="2020"/>
      <c r="P59" s="2020"/>
      <c r="Q59" s="2020"/>
      <c r="R59" s="2020"/>
      <c r="S59" s="2020"/>
      <c r="T59" s="2020"/>
      <c r="U59" s="2020"/>
      <c r="V59" s="2020"/>
    </row>
    <row r="60" spans="1:22" ht="12.75">
      <c r="A60" s="255"/>
      <c r="B60" s="255"/>
      <c r="C60" s="255"/>
      <c r="D60" s="255"/>
      <c r="E60" s="255"/>
      <c r="F60" s="255"/>
      <c r="G60" s="255"/>
      <c r="H60" s="255"/>
      <c r="I60" s="255"/>
      <c r="J60" s="2023"/>
      <c r="K60" s="2020"/>
      <c r="L60" s="2020"/>
      <c r="M60" s="2020"/>
      <c r="N60" s="2020"/>
      <c r="O60" s="2020"/>
      <c r="P60" s="2020"/>
      <c r="Q60" s="2020"/>
      <c r="R60" s="2020"/>
      <c r="S60" s="2020"/>
      <c r="T60" s="2020"/>
      <c r="U60" s="2020"/>
      <c r="V60" s="2020"/>
    </row>
    <row r="61" spans="1:22" ht="12.75">
      <c r="A61" s="255"/>
      <c r="B61" s="337"/>
      <c r="C61" s="338"/>
      <c r="D61" s="216"/>
      <c r="E61" s="216"/>
      <c r="F61" s="251"/>
      <c r="G61" s="255"/>
      <c r="H61" s="255"/>
      <c r="I61" s="255"/>
      <c r="J61" s="2023"/>
      <c r="K61" s="2020"/>
      <c r="L61" s="2020"/>
      <c r="M61" s="2020"/>
      <c r="N61" s="2020"/>
      <c r="O61" s="2020"/>
      <c r="P61" s="2020"/>
      <c r="Q61" s="2020"/>
      <c r="R61" s="2020"/>
      <c r="S61" s="2020"/>
      <c r="T61" s="2020"/>
      <c r="U61" s="2020"/>
      <c r="V61" s="2020"/>
    </row>
    <row r="62" spans="1:22" ht="18.75">
      <c r="A62" s="1277" t="s">
        <v>373</v>
      </c>
      <c r="B62" s="1278"/>
      <c r="C62" s="1278"/>
      <c r="D62" s="1279"/>
      <c r="E62" s="1279"/>
      <c r="F62" s="1280"/>
      <c r="G62" s="1280"/>
      <c r="H62" s="1280"/>
      <c r="I62" s="1280"/>
      <c r="J62" s="2024"/>
      <c r="K62" s="2020"/>
      <c r="L62" s="2020"/>
      <c r="M62" s="2020"/>
      <c r="N62" s="2020"/>
      <c r="O62" s="2020"/>
      <c r="P62" s="2020"/>
      <c r="Q62" s="2020"/>
      <c r="R62" s="2020"/>
      <c r="S62" s="2020"/>
      <c r="T62" s="2020"/>
      <c r="U62" s="2020"/>
      <c r="V62" s="2020"/>
    </row>
    <row r="63" spans="1:22" ht="14.25" customHeight="1" thickBot="1">
      <c r="A63" s="3698" t="s">
        <v>374</v>
      </c>
      <c r="B63" s="3699"/>
      <c r="C63" s="3700"/>
      <c r="D63" s="339">
        <f ca="1">ROUND(C42*F63,0)</f>
        <v>87168</v>
      </c>
      <c r="E63" s="300" t="s">
        <v>375</v>
      </c>
      <c r="F63" s="340">
        <v>0.6</v>
      </c>
      <c r="G63" s="341" t="s">
        <v>376</v>
      </c>
      <c r="H63" s="309"/>
      <c r="I63" s="309"/>
      <c r="J63" s="2020"/>
      <c r="K63" s="2020"/>
      <c r="L63" s="2020"/>
      <c r="M63" s="2020"/>
      <c r="N63" s="2020"/>
      <c r="O63" s="2020"/>
      <c r="P63" s="309"/>
      <c r="Q63" s="2020"/>
      <c r="R63" s="2020"/>
      <c r="S63" s="2020"/>
      <c r="T63" s="2020"/>
      <c r="U63" s="2020"/>
      <c r="V63" s="2020"/>
    </row>
    <row r="64" spans="1:22" ht="14.25" customHeight="1">
      <c r="A64" s="3737" t="s">
        <v>378</v>
      </c>
      <c r="B64" s="3738"/>
      <c r="C64" s="3738"/>
      <c r="D64" s="3738"/>
      <c r="E64" s="3738"/>
      <c r="F64" s="3738"/>
      <c r="G64" s="3739"/>
      <c r="H64" s="1281"/>
      <c r="I64" s="941"/>
      <c r="J64" s="1982"/>
      <c r="K64" s="1553" t="s">
        <v>377</v>
      </c>
      <c r="L64" s="11"/>
      <c r="M64" s="11"/>
      <c r="N64" s="11"/>
      <c r="O64" s="11"/>
      <c r="P64" s="309"/>
      <c r="Q64" s="2020"/>
      <c r="R64" s="2020"/>
      <c r="S64" s="2020"/>
      <c r="T64" s="2020"/>
      <c r="U64" s="2020"/>
      <c r="V64" s="2020"/>
    </row>
    <row r="65" spans="1:22" ht="12" customHeight="1">
      <c r="A65" s="342" t="s">
        <v>380</v>
      </c>
      <c r="B65" s="343"/>
      <c r="C65" s="344"/>
      <c r="D65" s="345" t="s">
        <v>381</v>
      </c>
      <c r="E65" s="53" t="s">
        <v>382</v>
      </c>
      <c r="F65" s="346" t="s">
        <v>383</v>
      </c>
      <c r="G65" s="347" t="s">
        <v>384</v>
      </c>
      <c r="H65" s="1281"/>
      <c r="I65" s="941"/>
      <c r="J65" s="1982"/>
      <c r="K65" s="1282"/>
      <c r="L65" s="1283"/>
      <c r="M65" s="1283"/>
      <c r="N65" s="1315" t="s">
        <v>379</v>
      </c>
      <c r="O65" s="1316"/>
      <c r="P65" s="1317"/>
      <c r="Q65" s="2020"/>
      <c r="R65" s="2020"/>
      <c r="S65" s="2020"/>
      <c r="T65" s="2020"/>
      <c r="U65" s="2020"/>
      <c r="V65" s="2020"/>
    </row>
    <row r="66" spans="1:22" ht="25.5">
      <c r="A66" s="3734" t="s">
        <v>386</v>
      </c>
      <c r="B66" s="3705"/>
      <c r="C66" s="3705"/>
      <c r="D66" s="259">
        <f ca="1">IF(H66="情况1",0,IF(H66="情况2",D70,IF(H66="情况3",D71,IF(H66="情况4",D72))))</f>
        <v>4649</v>
      </c>
      <c r="E66" s="986" t="str">
        <f>IF(H66="情况4","(销售额-原购置价)×税（费）率","销售额×税（费）率")</f>
        <v>销售额×税（费）率</v>
      </c>
      <c r="F66" s="348">
        <f>IF(H66="情况1","免征",'数据-取费表'!B41)</f>
        <v>5.6000000000000001E-2</v>
      </c>
      <c r="G66" s="349" t="s">
        <v>387</v>
      </c>
      <c r="H66" s="191" t="s">
        <v>388</v>
      </c>
      <c r="I66" s="1281"/>
      <c r="J66" s="2026"/>
      <c r="K66" s="1284">
        <v>1</v>
      </c>
      <c r="L66" s="3674" t="s">
        <v>385</v>
      </c>
      <c r="M66" s="3675"/>
      <c r="N66" s="2474"/>
      <c r="O66" s="2475"/>
      <c r="P66" s="2476"/>
      <c r="Q66" s="2020"/>
      <c r="R66" s="2020"/>
      <c r="S66" s="2020"/>
      <c r="T66" s="2020"/>
      <c r="U66" s="2020"/>
      <c r="V66" s="2020"/>
    </row>
    <row r="67" spans="1:22" ht="25.5" customHeight="1">
      <c r="A67" s="350" t="s">
        <v>390</v>
      </c>
      <c r="B67" s="3717" t="s">
        <v>391</v>
      </c>
      <c r="C67" s="3717"/>
      <c r="D67" s="351">
        <v>0</v>
      </c>
      <c r="E67" s="41" t="s">
        <v>392</v>
      </c>
      <c r="F67" s="62" t="s">
        <v>21</v>
      </c>
      <c r="G67" s="3701"/>
      <c r="H67" s="309"/>
      <c r="I67" s="1285"/>
      <c r="J67" s="2027"/>
      <c r="K67" s="1968">
        <v>2</v>
      </c>
      <c r="L67" s="3673" t="s">
        <v>389</v>
      </c>
      <c r="M67" s="3673"/>
      <c r="N67" s="1318">
        <f>'数据-取费表'!B2</f>
        <v>43271</v>
      </c>
      <c r="O67" s="1318"/>
      <c r="P67" s="1318"/>
      <c r="Q67" s="2020"/>
      <c r="R67" s="2020"/>
      <c r="S67" s="2020"/>
      <c r="T67" s="2020"/>
      <c r="U67" s="2020"/>
      <c r="V67" s="2020"/>
    </row>
    <row r="68" spans="1:22" ht="25.5" customHeight="1">
      <c r="A68" s="352"/>
      <c r="B68" s="3717" t="s">
        <v>394</v>
      </c>
      <c r="C68" s="3717"/>
      <c r="D68" s="353"/>
      <c r="E68" s="77"/>
      <c r="F68" s="354"/>
      <c r="G68" s="3702"/>
      <c r="H68" s="309"/>
      <c r="I68" s="1285"/>
      <c r="J68" s="2027"/>
      <c r="K68" s="1968">
        <v>3</v>
      </c>
      <c r="L68" s="3673" t="s">
        <v>393</v>
      </c>
      <c r="M68" s="3673"/>
      <c r="N68" s="1286">
        <f ca="1">C42</f>
        <v>145280</v>
      </c>
      <c r="O68" s="1286"/>
      <c r="P68" s="1286"/>
      <c r="Q68" s="2020"/>
      <c r="R68" s="2020"/>
      <c r="S68" s="2020"/>
      <c r="T68" s="2020"/>
      <c r="U68" s="2020"/>
      <c r="V68" s="2020"/>
    </row>
    <row r="69" spans="1:22" ht="12" customHeight="1">
      <c r="A69" s="355"/>
      <c r="B69" s="3717" t="s">
        <v>395</v>
      </c>
      <c r="C69" s="3717"/>
      <c r="D69" s="356"/>
      <c r="E69" s="73"/>
      <c r="F69" s="354"/>
      <c r="G69" s="3703"/>
      <c r="H69" s="309"/>
      <c r="I69" s="1285"/>
      <c r="J69" s="2027"/>
      <c r="K69" s="1287">
        <v>4</v>
      </c>
      <c r="L69" s="3679" t="s">
        <v>2887</v>
      </c>
      <c r="M69" s="3680"/>
      <c r="N69" s="1288" t="str">
        <f>C44</f>
        <v>——</v>
      </c>
      <c r="O69" s="1288"/>
      <c r="P69" s="1288"/>
      <c r="Q69" s="2020"/>
      <c r="R69" s="2020"/>
      <c r="S69" s="2020"/>
      <c r="T69" s="2020"/>
      <c r="U69" s="2020"/>
      <c r="V69" s="2020"/>
    </row>
    <row r="70" spans="1:22" ht="24" customHeight="1">
      <c r="A70" s="357" t="s">
        <v>396</v>
      </c>
      <c r="B70" s="3717" t="s">
        <v>397</v>
      </c>
      <c r="C70" s="3717"/>
      <c r="D70" s="356">
        <f ca="1">ROUND(D63*'数据-取费表'!B41/(1+'数据-取费表'!C42),0)</f>
        <v>4649</v>
      </c>
      <c r="E70" s="17" t="s">
        <v>398</v>
      </c>
      <c r="F70" s="358">
        <f>'数据-取费表'!B41</f>
        <v>5.6000000000000001E-2</v>
      </c>
      <c r="G70" s="359"/>
      <c r="H70" s="309"/>
      <c r="I70" s="1285"/>
      <c r="J70" s="2027"/>
      <c r="K70" s="3077"/>
      <c r="L70" s="3078"/>
      <c r="M70" s="3078"/>
      <c r="N70" s="3079" t="s">
        <v>2892</v>
      </c>
      <c r="O70" s="3078"/>
      <c r="P70" s="3080"/>
      <c r="Q70" s="2020"/>
      <c r="R70" s="2020"/>
      <c r="S70" s="2020"/>
      <c r="T70" s="2020"/>
      <c r="U70" s="2020"/>
      <c r="V70" s="2020"/>
    </row>
    <row r="71" spans="1:22" ht="12" customHeight="1">
      <c r="A71" s="357" t="s">
        <v>404</v>
      </c>
      <c r="B71" s="3716" t="s">
        <v>405</v>
      </c>
      <c r="C71" s="3728"/>
      <c r="D71" s="356">
        <f ca="1">ROUND(D63*'数据-取费表'!B41/(1+'数据-取费表'!C42),0)</f>
        <v>4649</v>
      </c>
      <c r="E71" s="17" t="s">
        <v>398</v>
      </c>
      <c r="F71" s="358">
        <f>'数据-取费表'!B41</f>
        <v>5.6000000000000001E-2</v>
      </c>
      <c r="G71" s="359"/>
      <c r="H71" s="309"/>
      <c r="I71" s="1285"/>
      <c r="J71" s="2027"/>
      <c r="K71" s="3076" t="s">
        <v>399</v>
      </c>
      <c r="L71" s="3681" t="s">
        <v>400</v>
      </c>
      <c r="M71" s="3681"/>
      <c r="N71" s="3076" t="s">
        <v>401</v>
      </c>
      <c r="O71" s="3076" t="s">
        <v>402</v>
      </c>
      <c r="P71" s="3076" t="s">
        <v>403</v>
      </c>
      <c r="Q71" s="2020"/>
      <c r="R71" s="2020"/>
      <c r="S71" s="2020"/>
      <c r="T71" s="2020"/>
      <c r="U71" s="2020"/>
      <c r="V71" s="2020"/>
    </row>
    <row r="72" spans="1:22" ht="12" customHeight="1">
      <c r="A72" s="357" t="s">
        <v>407</v>
      </c>
      <c r="B72" s="3716" t="s">
        <v>408</v>
      </c>
      <c r="C72" s="3728"/>
      <c r="D72" s="356">
        <f ca="1">C86</f>
        <v>4537</v>
      </c>
      <c r="E72" s="73" t="s">
        <v>409</v>
      </c>
      <c r="F72" s="358">
        <f>'数据-取费表'!B41</f>
        <v>5.6000000000000001E-2</v>
      </c>
      <c r="G72" s="359"/>
      <c r="H72" s="1291"/>
      <c r="I72" s="1285"/>
      <c r="J72" s="2027"/>
      <c r="K72" s="1968">
        <v>1</v>
      </c>
      <c r="L72" s="3678" t="s">
        <v>406</v>
      </c>
      <c r="M72" s="3678"/>
      <c r="N72" s="1289">
        <f ca="1">D66</f>
        <v>4649</v>
      </c>
      <c r="O72" s="1851" t="str">
        <f>E66</f>
        <v>销售额×税（费）率</v>
      </c>
      <c r="P72" s="1290">
        <f>F66</f>
        <v>5.6000000000000001E-2</v>
      </c>
      <c r="Q72" s="2020"/>
      <c r="R72" s="2020"/>
      <c r="S72" s="2020"/>
      <c r="T72" s="2020"/>
      <c r="U72" s="2020"/>
      <c r="V72" s="2020"/>
    </row>
    <row r="73" spans="1:22" ht="24" customHeight="1">
      <c r="A73" s="3704" t="s">
        <v>411</v>
      </c>
      <c r="B73" s="3705"/>
      <c r="C73" s="3705"/>
      <c r="D73" s="360">
        <f>IF(H73="个人住宅",0,ROUND(D63*I73,0))</f>
        <v>0</v>
      </c>
      <c r="E73" s="17" t="s">
        <v>412</v>
      </c>
      <c r="F73" s="358" t="str">
        <f>IF(H73="正常",I73,"免征")</f>
        <v>免征</v>
      </c>
      <c r="G73" s="359"/>
      <c r="H73" s="191" t="s">
        <v>2458</v>
      </c>
      <c r="I73" s="358">
        <f>'数据-取费表'!B49</f>
        <v>5.0000000000000001E-4</v>
      </c>
      <c r="J73" s="2027"/>
      <c r="K73" s="1968">
        <v>2</v>
      </c>
      <c r="L73" s="3678" t="s">
        <v>410</v>
      </c>
      <c r="M73" s="3678"/>
      <c r="N73" s="1289">
        <f t="shared" ref="N73:P74" si="1">D73</f>
        <v>0</v>
      </c>
      <c r="O73" s="1851" t="str">
        <f t="shared" si="1"/>
        <v>销售额×税（费）率</v>
      </c>
      <c r="P73" s="1290" t="str">
        <f t="shared" si="1"/>
        <v>免征</v>
      </c>
      <c r="Q73" s="2020"/>
      <c r="R73" s="2020"/>
      <c r="S73" s="2020"/>
      <c r="T73" s="2020"/>
      <c r="U73" s="2020"/>
      <c r="V73" s="2020"/>
    </row>
    <row r="74" spans="1:22" ht="24.75">
      <c r="A74" s="3704" t="s">
        <v>415</v>
      </c>
      <c r="B74" s="3705"/>
      <c r="C74" s="3705"/>
      <c r="D74" s="360">
        <f ca="1">IF(H74="个人住宅",D75,D76)</f>
        <v>48682</v>
      </c>
      <c r="E74" s="17" t="s">
        <v>416</v>
      </c>
      <c r="F74" s="358" t="str">
        <f>IF(H74="正常",F76,"免征")</f>
        <v>——</v>
      </c>
      <c r="G74" s="976" t="s">
        <v>417</v>
      </c>
      <c r="H74" s="361" t="s">
        <v>413</v>
      </c>
      <c r="I74" s="42"/>
      <c r="J74" s="2027"/>
      <c r="K74" s="1968">
        <v>3</v>
      </c>
      <c r="L74" s="3678" t="s">
        <v>414</v>
      </c>
      <c r="M74" s="3678"/>
      <c r="N74" s="1289">
        <f t="shared" ca="1" si="1"/>
        <v>48682</v>
      </c>
      <c r="O74" s="1851" t="str">
        <f t="shared" si="1"/>
        <v>增值额×税（费）率</v>
      </c>
      <c r="P74" s="1292" t="str">
        <f t="shared" si="1"/>
        <v>——</v>
      </c>
      <c r="Q74" s="2020"/>
      <c r="R74" s="2020"/>
      <c r="S74" s="2020"/>
      <c r="T74" s="2020"/>
      <c r="U74" s="2020"/>
      <c r="V74" s="2020"/>
    </row>
    <row r="75" spans="1:22" ht="24">
      <c r="A75" s="357" t="s">
        <v>418</v>
      </c>
      <c r="B75" s="3685" t="s">
        <v>419</v>
      </c>
      <c r="C75" s="3686"/>
      <c r="D75" s="362">
        <v>0</v>
      </c>
      <c r="E75" s="41" t="s">
        <v>420</v>
      </c>
      <c r="F75" s="363"/>
      <c r="G75" s="359"/>
      <c r="H75" s="42"/>
      <c r="I75" s="42"/>
      <c r="J75" s="2027"/>
      <c r="K75" s="3069">
        <f>IF(H77="非个人房产","",4)</f>
        <v>4</v>
      </c>
      <c r="L75" s="3678" t="str">
        <f>IF(H77="非个人房产","——","个人所得税")</f>
        <v>个人所得税</v>
      </c>
      <c r="M75" s="3678"/>
      <c r="N75" s="1293">
        <f ca="1">D77</f>
        <v>872</v>
      </c>
      <c r="O75" s="1864" t="str">
        <f>E77</f>
        <v>销售额×税（费）率</v>
      </c>
      <c r="P75" s="1294">
        <f>F77</f>
        <v>0.01</v>
      </c>
      <c r="Q75" s="2020"/>
      <c r="R75" s="2020"/>
      <c r="S75" s="2020"/>
      <c r="T75" s="2020"/>
      <c r="U75" s="2020"/>
      <c r="V75" s="2020"/>
    </row>
    <row r="76" spans="1:22" ht="24.75">
      <c r="A76" s="357" t="s">
        <v>396</v>
      </c>
      <c r="B76" s="3685" t="s">
        <v>422</v>
      </c>
      <c r="C76" s="3727"/>
      <c r="D76" s="360">
        <f ca="1">IF(H76="转让取得",C99,C115)</f>
        <v>48682</v>
      </c>
      <c r="E76" s="17" t="s">
        <v>423</v>
      </c>
      <c r="F76" s="53" t="s">
        <v>21</v>
      </c>
      <c r="G76" s="359"/>
      <c r="H76" s="361" t="s">
        <v>424</v>
      </c>
      <c r="I76" s="42"/>
      <c r="J76" s="2027"/>
      <c r="K76" s="3069" t="str">
        <f>IF(项目基本情况!K6="上海银行",IF(K75="",4,K75+1),"")</f>
        <v/>
      </c>
      <c r="L76" s="3666" t="str">
        <f>IF(项目基本情况!K6="上海银行","其他处置费用","")</f>
        <v/>
      </c>
      <c r="M76" s="3667"/>
      <c r="N76" s="1289" t="str">
        <f>IF(项目基本情况!K6="上海银行",N89,"")</f>
        <v/>
      </c>
      <c r="O76" s="3668" t="str">
        <f>IF(项目基本情况!K6="上海银行","包含处置中涉及的律师、诉讼、拍卖、评估等费用","")</f>
        <v/>
      </c>
      <c r="P76" s="3669"/>
      <c r="Q76" s="2020"/>
      <c r="R76" s="2020"/>
      <c r="S76" s="2020"/>
      <c r="T76" s="2020"/>
      <c r="U76" s="2020"/>
      <c r="V76" s="2020"/>
    </row>
    <row r="77" spans="1:22" ht="26.25" thickBot="1">
      <c r="A77" s="3696" t="s">
        <v>426</v>
      </c>
      <c r="B77" s="3697"/>
      <c r="C77" s="3697"/>
      <c r="D77" s="364">
        <f ca="1">IF(H77="非个人房产","——",IF(H77="个人住宅",0,ROUND(D63*I77,0)))</f>
        <v>872</v>
      </c>
      <c r="E77" s="365" t="str">
        <f>IF(H77="非个人房产","——","销售额×税（费）率")</f>
        <v>销售额×税（费）率</v>
      </c>
      <c r="F77" s="366">
        <f>IF(H77="非个人房产","——",IF(H77="个人住宅","免征",I77))</f>
        <v>0.01</v>
      </c>
      <c r="G77" s="977" t="s">
        <v>417</v>
      </c>
      <c r="H77" s="361" t="s">
        <v>2888</v>
      </c>
      <c r="I77" s="367">
        <v>0.01</v>
      </c>
      <c r="J77" s="2027"/>
      <c r="K77" s="3692">
        <f>IF(AND(K75="",K76=""),4,IF(项目基本情况!K6="上海银行",K76+1,K75+1))</f>
        <v>5</v>
      </c>
      <c r="L77" s="3678" t="s">
        <v>2889</v>
      </c>
      <c r="M77" s="3075" t="s">
        <v>421</v>
      </c>
      <c r="N77" s="1295"/>
      <c r="O77" s="1296">
        <f ca="1">SUMIF(N72:N76,"&lt;9e307")</f>
        <v>54203</v>
      </c>
      <c r="P77" s="1297"/>
      <c r="Q77" s="3073" t="e">
        <f ca="1">O77/N69</f>
        <v>#VALUE!</v>
      </c>
      <c r="R77" s="2020"/>
      <c r="S77" s="2020"/>
      <c r="T77" s="2020"/>
      <c r="U77" s="2020"/>
      <c r="V77" s="2020"/>
    </row>
    <row r="78" spans="1:22" ht="12" customHeight="1">
      <c r="A78" s="1298"/>
      <c r="B78" s="309"/>
      <c r="C78" s="309"/>
      <c r="D78" s="309"/>
      <c r="E78" s="42"/>
      <c r="F78" s="42"/>
      <c r="G78" s="42"/>
      <c r="H78" s="996"/>
      <c r="I78" s="309"/>
      <c r="J78" s="2027"/>
      <c r="K78" s="3692"/>
      <c r="L78" s="3678"/>
      <c r="M78" s="3075" t="s">
        <v>425</v>
      </c>
      <c r="N78" s="1295"/>
      <c r="O78" s="1296" t="str">
        <f ca="1">NUMBERSTRING(INT(O77*10000),2)&amp;"元整"</f>
        <v>伍亿肆仟贰佰零叁万元整</v>
      </c>
      <c r="P78" s="1297"/>
      <c r="Q78" s="2020"/>
      <c r="R78" s="2020"/>
      <c r="S78" s="2020"/>
      <c r="T78" s="2020"/>
      <c r="U78" s="2020"/>
      <c r="V78" s="2020"/>
    </row>
    <row r="79" spans="1:22" ht="13.5" thickBot="1">
      <c r="A79" s="3682" t="s">
        <v>427</v>
      </c>
      <c r="B79" s="3682"/>
      <c r="C79" s="3682"/>
      <c r="D79" s="3682"/>
      <c r="E79" s="3682"/>
      <c r="F79" s="42"/>
      <c r="G79" s="42"/>
      <c r="H79" s="996"/>
      <c r="I79" s="309"/>
      <c r="J79" s="2027"/>
      <c r="K79" s="3676">
        <f>K77+1</f>
        <v>6</v>
      </c>
      <c r="L79" s="3678" t="s">
        <v>2890</v>
      </c>
      <c r="M79" s="3075" t="s">
        <v>421</v>
      </c>
      <c r="N79" s="1295"/>
      <c r="O79" s="1296" t="e">
        <f ca="1">N69-O77</f>
        <v>#VALUE!</v>
      </c>
      <c r="P79" s="1297"/>
      <c r="Q79" s="2020"/>
      <c r="R79" s="2020"/>
      <c r="S79" s="2020"/>
      <c r="T79" s="2020"/>
      <c r="U79" s="2020"/>
      <c r="V79" s="2020"/>
    </row>
    <row r="80" spans="1:22" ht="12.75">
      <c r="A80" s="3683" t="s">
        <v>428</v>
      </c>
      <c r="B80" s="3684"/>
      <c r="C80" s="987"/>
      <c r="D80" s="987" t="s">
        <v>429</v>
      </c>
      <c r="E80" s="368" t="s">
        <v>430</v>
      </c>
      <c r="F80" s="42"/>
      <c r="G80" s="42"/>
      <c r="H80" s="996"/>
      <c r="I80" s="309"/>
      <c r="J80" s="2020"/>
      <c r="K80" s="3677"/>
      <c r="L80" s="3678"/>
      <c r="M80" s="3075" t="s">
        <v>425</v>
      </c>
      <c r="N80" s="1295"/>
      <c r="O80" s="1296" t="e">
        <f ca="1">NUMBERSTRING(INT(O79*10000),2)&amp;"元整"</f>
        <v>#VALUE!</v>
      </c>
      <c r="P80" s="1297"/>
      <c r="Q80" s="2020"/>
      <c r="R80" s="2020"/>
      <c r="S80" s="2020"/>
      <c r="T80" s="2020"/>
      <c r="U80" s="2020"/>
      <c r="V80" s="2020"/>
    </row>
    <row r="81" spans="1:26" ht="13.5" thickBot="1">
      <c r="A81" s="379" t="s">
        <v>1822</v>
      </c>
      <c r="B81" s="369" t="s">
        <v>431</v>
      </c>
      <c r="C81" s="370">
        <f ca="1">ROUND((C82+C83)/(1+'数据-取费表'!C42),0)</f>
        <v>83017</v>
      </c>
      <c r="D81" s="371"/>
      <c r="E81" s="372"/>
      <c r="F81" s="42"/>
      <c r="G81" s="42"/>
      <c r="H81" s="996"/>
      <c r="I81" s="309"/>
      <c r="J81" s="2020"/>
      <c r="K81" s="3069">
        <f>K79+1</f>
        <v>7</v>
      </c>
      <c r="L81" s="3690" t="s">
        <v>2891</v>
      </c>
      <c r="M81" s="3691"/>
      <c r="N81" s="1299"/>
      <c r="O81" s="1300" t="e">
        <f ca="1">ROUND(O79*10000/'数据-汇总表'!E3,0)</f>
        <v>#VALUE!</v>
      </c>
      <c r="P81" s="1301"/>
      <c r="Q81" s="2020"/>
      <c r="R81" s="2020"/>
      <c r="S81" s="2020"/>
      <c r="T81" s="2020"/>
      <c r="U81" s="2020"/>
      <c r="V81" s="2020"/>
    </row>
    <row r="82" spans="1:26" ht="13.5" thickTop="1">
      <c r="A82" s="373" t="s">
        <v>1823</v>
      </c>
      <c r="B82" s="374" t="s">
        <v>432</v>
      </c>
      <c r="C82" s="375">
        <f ca="1">D63</f>
        <v>87168</v>
      </c>
      <c r="D82" s="376" t="s">
        <v>19</v>
      </c>
      <c r="E82" s="377"/>
      <c r="F82" s="42"/>
      <c r="G82" s="42"/>
      <c r="H82" s="996"/>
      <c r="I82" s="309"/>
      <c r="J82" s="2020"/>
      <c r="K82" s="2020"/>
      <c r="L82" s="2020"/>
      <c r="M82" s="2020"/>
      <c r="N82" s="2020"/>
      <c r="O82" s="2020"/>
      <c r="P82" s="2020"/>
      <c r="Q82" s="2020"/>
      <c r="R82" s="2020"/>
      <c r="S82" s="2020"/>
      <c r="T82" s="2020"/>
      <c r="U82" s="2020"/>
      <c r="V82" s="2020"/>
    </row>
    <row r="83" spans="1:26" ht="12.75">
      <c r="A83" s="373" t="s">
        <v>1824</v>
      </c>
      <c r="B83" s="374" t="s">
        <v>433</v>
      </c>
      <c r="C83" s="378">
        <v>0</v>
      </c>
      <c r="D83" s="376"/>
      <c r="E83" s="377"/>
      <c r="F83" s="42"/>
      <c r="G83" s="42"/>
      <c r="H83" s="996"/>
      <c r="I83" s="309"/>
      <c r="J83" s="2020"/>
      <c r="K83" s="3665" t="s">
        <v>2878</v>
      </c>
      <c r="L83" s="3081" t="s">
        <v>2879</v>
      </c>
      <c r="M83" s="3071" t="e">
        <f>IF(N69&gt;10000,N69*0.5%,IF(AND(N69&gt;1000,N69&lt;=10000),N69*1%,IF(AND(N69&gt;100,N69&lt;=1000),N69*3%,IF(AND(N69&gt;10,N69&lt;=100),N69*5%,N69*8%))))</f>
        <v>#VALUE!</v>
      </c>
      <c r="N83" s="53" t="e">
        <f>ROUND(M83,1)</f>
        <v>#VALUE!</v>
      </c>
      <c r="O83" s="3074"/>
      <c r="P83" s="2020"/>
      <c r="Q83" s="2020"/>
      <c r="R83" s="2020"/>
      <c r="S83" s="2020"/>
      <c r="T83" s="2020"/>
      <c r="U83" s="2020"/>
      <c r="V83" s="2020"/>
    </row>
    <row r="84" spans="1:26" ht="12.75">
      <c r="A84" s="379" t="s">
        <v>1825</v>
      </c>
      <c r="B84" s="380" t="s">
        <v>434</v>
      </c>
      <c r="C84" s="381">
        <v>2000</v>
      </c>
      <c r="D84" s="382" t="s">
        <v>19</v>
      </c>
      <c r="E84" s="3113" t="s">
        <v>2942</v>
      </c>
      <c r="F84" s="42"/>
      <c r="G84" s="42"/>
      <c r="H84" s="996"/>
      <c r="I84" s="309"/>
      <c r="J84" s="2020"/>
      <c r="K84" s="3665"/>
      <c r="L84" s="3081" t="s">
        <v>2880</v>
      </c>
      <c r="M84" s="307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0" t="s">
        <v>2881</v>
      </c>
      <c r="P84" s="2020"/>
      <c r="Q84" s="2020"/>
      <c r="R84" s="2020"/>
      <c r="S84" s="2020"/>
      <c r="T84" s="2020"/>
      <c r="U84" s="2020"/>
      <c r="V84" s="2020"/>
    </row>
    <row r="85" spans="1:26" ht="12.75">
      <c r="A85" s="379" t="s">
        <v>1826</v>
      </c>
      <c r="B85" s="380" t="s">
        <v>435</v>
      </c>
      <c r="C85" s="383">
        <f ca="1">C81-C84</f>
        <v>81017</v>
      </c>
      <c r="D85" s="376" t="s">
        <v>19</v>
      </c>
      <c r="E85" s="377"/>
      <c r="F85" s="42"/>
      <c r="G85" s="42"/>
      <c r="H85" s="996"/>
      <c r="I85" s="309"/>
      <c r="J85" s="2020"/>
      <c r="K85" s="3665"/>
      <c r="L85" s="3081" t="s">
        <v>2882</v>
      </c>
      <c r="M85" s="3071" t="e">
        <f>IF(N69&gt;1000,N69*0.1%,IF(AND(N69&gt;500,N69&lt;=1000),N69*0.5%,IF(AND(N69&gt;50,N69&lt;=500),N69*1%,IF(AND(N69&gt;1,N69&lt;=50),N69*1.5%))))</f>
        <v>#VALUE!</v>
      </c>
      <c r="N85" s="53" t="e">
        <f t="shared" si="2"/>
        <v>#VALUE!</v>
      </c>
      <c r="O85" s="2020" t="s">
        <v>2881</v>
      </c>
      <c r="P85" s="2020"/>
      <c r="Q85" s="2020"/>
      <c r="R85" s="2020"/>
      <c r="S85" s="2020"/>
      <c r="T85" s="2020"/>
      <c r="U85" s="2020"/>
      <c r="V85" s="2020"/>
    </row>
    <row r="86" spans="1:26" ht="13.5" thickBot="1">
      <c r="A86" s="384" t="s">
        <v>1827</v>
      </c>
      <c r="B86" s="385" t="s">
        <v>436</v>
      </c>
      <c r="C86" s="386">
        <f ca="1">IF(C85&lt;=0,0,ROUND(C85*D86,0))</f>
        <v>4537</v>
      </c>
      <c r="D86" s="387">
        <f>'数据-取费表'!B41</f>
        <v>5.6000000000000001E-2</v>
      </c>
      <c r="E86" s="388"/>
      <c r="F86" s="42"/>
      <c r="G86" s="42"/>
      <c r="H86" s="996"/>
      <c r="I86" s="309"/>
      <c r="J86" s="2020"/>
      <c r="K86" s="3665"/>
      <c r="L86" s="3081" t="s">
        <v>2883</v>
      </c>
      <c r="M86" s="3071" t="e">
        <f>N69*0.5%</f>
        <v>#VALUE!</v>
      </c>
      <c r="N86" s="53" t="e">
        <f>IF(M86&gt;0.5,0.5,ROUND(M86,0))</f>
        <v>#VALUE!</v>
      </c>
      <c r="O86" s="2020" t="s">
        <v>2884</v>
      </c>
      <c r="P86" s="2020"/>
      <c r="Q86" s="2020"/>
      <c r="R86" s="2020"/>
      <c r="S86" s="2020"/>
      <c r="T86" s="2020"/>
      <c r="U86" s="2020"/>
      <c r="V86" s="2020"/>
    </row>
    <row r="87" spans="1:26" s="1247" customFormat="1" ht="14.25" customHeight="1">
      <c r="A87" s="1302"/>
      <c r="B87" s="1303"/>
      <c r="C87" s="1304"/>
      <c r="D87" s="1305"/>
      <c r="E87" s="1306"/>
      <c r="F87" s="42"/>
      <c r="G87" s="42"/>
      <c r="H87" s="996"/>
      <c r="I87" s="309"/>
      <c r="J87" s="2020"/>
      <c r="K87" s="3665"/>
      <c r="L87" s="3081" t="s">
        <v>2885</v>
      </c>
      <c r="M87" s="307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4"/>
      <c r="P87" s="309"/>
      <c r="Q87" s="2020"/>
      <c r="R87" s="2020"/>
      <c r="S87" s="2020"/>
      <c r="T87" s="2020"/>
      <c r="U87" s="2020"/>
      <c r="V87" s="2020"/>
      <c r="W87" s="290"/>
      <c r="X87" s="290"/>
      <c r="Y87" s="290"/>
      <c r="Z87" s="290"/>
    </row>
    <row r="88" spans="1:26" s="1307" customFormat="1" ht="15" thickBot="1">
      <c r="A88" s="3719" t="s">
        <v>437</v>
      </c>
      <c r="B88" s="3720"/>
      <c r="C88" s="3720"/>
      <c r="D88" s="3720"/>
      <c r="E88" s="3720"/>
      <c r="F88" s="3720"/>
      <c r="G88" s="3720"/>
      <c r="H88" s="3720"/>
      <c r="I88" s="1308"/>
      <c r="J88" s="2028"/>
      <c r="K88" s="3665"/>
      <c r="L88" s="3081" t="s">
        <v>2886</v>
      </c>
      <c r="M88" s="3071" t="e">
        <f>IF(N69&gt;10000,N69*0.5%,IF(AND(N69&gt;5000,N69&lt;=10000),N69*1%,IF(AND(N69&gt;1000,N69&lt;=5000),N69*2%,IF(AND(N69&gt;200,N69&lt;=1000),N69*3%,N69*5%))))</f>
        <v>#VALUE!</v>
      </c>
      <c r="N88" s="53" t="e">
        <f>ROUND(M88,1)</f>
        <v>#VALUE!</v>
      </c>
      <c r="O88" s="3074"/>
      <c r="P88" s="11"/>
      <c r="Q88" s="2025"/>
      <c r="R88" s="2025"/>
      <c r="S88" s="2025"/>
      <c r="T88" s="2025"/>
      <c r="U88" s="2025"/>
      <c r="V88" s="2025"/>
      <c r="W88" s="2029"/>
      <c r="X88" s="2029"/>
      <c r="Y88" s="2029"/>
      <c r="Z88" s="2029"/>
    </row>
    <row r="89" spans="1:26" s="1307" customFormat="1" ht="14.25">
      <c r="A89" s="3683" t="s">
        <v>428</v>
      </c>
      <c r="B89" s="3684"/>
      <c r="C89" s="987"/>
      <c r="D89" s="987" t="s">
        <v>429</v>
      </c>
      <c r="E89" s="389" t="s">
        <v>438</v>
      </c>
      <c r="F89" s="390"/>
      <c r="G89" s="390"/>
      <c r="H89" s="391"/>
      <c r="I89" s="1309"/>
      <c r="J89" s="2030"/>
      <c r="K89" s="3665"/>
      <c r="L89" s="3081" t="s">
        <v>27</v>
      </c>
      <c r="M89" s="3072"/>
      <c r="N89" s="53" t="e">
        <f>ROUND(SUM(N83:N88),0)</f>
        <v>#VALUE!</v>
      </c>
      <c r="O89" s="3082" t="e">
        <f>N89/N69</f>
        <v>#VALUE!</v>
      </c>
      <c r="P89" s="2025"/>
      <c r="Q89" s="2025"/>
      <c r="R89" s="2025"/>
      <c r="S89" s="2025"/>
      <c r="T89" s="2025"/>
      <c r="U89" s="2025"/>
      <c r="V89" s="2025"/>
      <c r="W89" s="2029"/>
      <c r="X89" s="2029"/>
      <c r="Y89" s="2029"/>
      <c r="Z89" s="2029"/>
    </row>
    <row r="90" spans="1:26" s="1307" customFormat="1" ht="14.25">
      <c r="A90" s="379" t="s">
        <v>1822</v>
      </c>
      <c r="B90" s="380" t="s">
        <v>439</v>
      </c>
      <c r="C90" s="383">
        <f ca="1">ROUND(D63/(1+'数据-取费表'!C42),0)</f>
        <v>83017</v>
      </c>
      <c r="D90" s="376" t="s">
        <v>19</v>
      </c>
      <c r="E90" s="984"/>
      <c r="F90" s="983"/>
      <c r="G90" s="983"/>
      <c r="H90" s="392"/>
      <c r="I90" s="1309"/>
      <c r="J90" s="2030"/>
      <c r="K90" s="2025"/>
      <c r="L90" s="2025"/>
      <c r="M90" s="2025"/>
      <c r="N90" s="2025"/>
      <c r="O90" s="2025"/>
      <c r="P90" s="2025"/>
      <c r="Q90" s="2025"/>
      <c r="R90" s="2025"/>
      <c r="S90" s="2025"/>
      <c r="T90" s="2025"/>
      <c r="U90" s="2025"/>
      <c r="V90" s="2025"/>
      <c r="W90" s="2029"/>
      <c r="X90" s="2029"/>
      <c r="Y90" s="2029"/>
      <c r="Z90" s="2029"/>
    </row>
    <row r="91" spans="1:26" s="1307" customFormat="1" ht="14.25">
      <c r="A91" s="379" t="s">
        <v>1828</v>
      </c>
      <c r="B91" s="346" t="s">
        <v>440</v>
      </c>
      <c r="C91" s="383">
        <f ca="1">C92+C96</f>
        <v>3059</v>
      </c>
      <c r="D91" s="376" t="s">
        <v>19</v>
      </c>
      <c r="E91" s="984"/>
      <c r="F91" s="983"/>
      <c r="G91" s="983"/>
      <c r="H91" s="392"/>
      <c r="I91" s="1309"/>
      <c r="J91" s="2030"/>
      <c r="K91" s="2025"/>
      <c r="L91" s="2025"/>
      <c r="M91" s="2025"/>
      <c r="N91" s="2025"/>
      <c r="O91" s="2025"/>
      <c r="P91" s="2025"/>
      <c r="Q91" s="2025"/>
      <c r="R91" s="2025"/>
      <c r="S91" s="2025"/>
      <c r="T91" s="2025"/>
      <c r="U91" s="2025"/>
      <c r="V91" s="2025"/>
      <c r="W91" s="2029"/>
      <c r="X91" s="2029"/>
      <c r="Y91" s="2029"/>
      <c r="Z91" s="2029"/>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0"/>
      <c r="K92" s="2025"/>
      <c r="L92" s="2025"/>
      <c r="M92" s="2025"/>
      <c r="N92" s="2025"/>
      <c r="O92" s="2025"/>
      <c r="P92" s="2025"/>
      <c r="Q92" s="2025"/>
      <c r="R92" s="2025"/>
      <c r="S92" s="2025"/>
      <c r="T92" s="2025"/>
      <c r="U92" s="2025"/>
      <c r="V92" s="2025"/>
      <c r="W92" s="2029"/>
      <c r="X92" s="2029"/>
      <c r="Y92" s="2029"/>
      <c r="Z92" s="2029"/>
    </row>
    <row r="93" spans="1:26" s="1307" customFormat="1" ht="14.25">
      <c r="A93" s="393" t="s">
        <v>1830</v>
      </c>
      <c r="B93" s="374" t="s">
        <v>442</v>
      </c>
      <c r="C93" s="394">
        <v>2000</v>
      </c>
      <c r="D93" s="376" t="s">
        <v>19</v>
      </c>
      <c r="E93" s="395" t="s">
        <v>443</v>
      </c>
      <c r="F93" s="396" t="s">
        <v>444</v>
      </c>
      <c r="G93" s="395" t="s">
        <v>445</v>
      </c>
      <c r="H93" s="397">
        <v>5</v>
      </c>
      <c r="I93" s="11"/>
      <c r="J93" s="2025"/>
      <c r="K93" s="2025"/>
      <c r="L93" s="2025"/>
      <c r="M93" s="2025"/>
      <c r="N93" s="2025"/>
      <c r="O93" s="2025"/>
      <c r="P93" s="2025"/>
      <c r="Q93" s="2025"/>
      <c r="R93" s="2025"/>
      <c r="S93" s="2025"/>
      <c r="T93" s="2025"/>
      <c r="U93" s="2025"/>
      <c r="V93" s="2025"/>
      <c r="W93" s="2029"/>
      <c r="X93" s="2029"/>
      <c r="Y93" s="2029"/>
      <c r="Z93" s="2029"/>
    </row>
    <row r="94" spans="1:26" s="1307" customFormat="1" ht="24.75" customHeight="1">
      <c r="A94" s="393" t="s">
        <v>1831</v>
      </c>
      <c r="B94" s="398" t="s">
        <v>446</v>
      </c>
      <c r="C94" s="376">
        <f>IF(F93="购房发票",ROUND(C93*H93*5%,0),0)</f>
        <v>500</v>
      </c>
      <c r="D94" s="399">
        <v>0.05</v>
      </c>
      <c r="E94" s="3716" t="s">
        <v>447</v>
      </c>
      <c r="F94" s="3717"/>
      <c r="G94" s="3717"/>
      <c r="H94" s="3718"/>
      <c r="I94" s="1309"/>
      <c r="J94" s="2030"/>
      <c r="K94" s="2025"/>
      <c r="L94" s="2025"/>
      <c r="M94" s="2025"/>
      <c r="N94" s="2025"/>
      <c r="O94" s="2025"/>
      <c r="P94" s="2025"/>
      <c r="Q94" s="2025"/>
      <c r="R94" s="2025"/>
      <c r="S94" s="2025"/>
      <c r="T94" s="2025"/>
      <c r="U94" s="2025"/>
      <c r="V94" s="2025"/>
      <c r="W94" s="2029"/>
      <c r="X94" s="2029"/>
      <c r="Y94" s="2029"/>
      <c r="Z94" s="202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0"/>
      <c r="K95" s="2025"/>
      <c r="L95" s="2025"/>
      <c r="M95" s="2025"/>
      <c r="N95" s="2025"/>
      <c r="O95" s="2025"/>
      <c r="P95" s="2025"/>
      <c r="Q95" s="2025"/>
      <c r="R95" s="2025"/>
      <c r="S95" s="2025"/>
      <c r="T95" s="2025"/>
      <c r="U95" s="2025"/>
      <c r="V95" s="2025"/>
      <c r="W95" s="2029"/>
      <c r="X95" s="2029"/>
      <c r="Y95" s="2029"/>
      <c r="Z95" s="2029"/>
    </row>
    <row r="96" spans="1:26" s="1307" customFormat="1" ht="24.75" customHeight="1">
      <c r="A96" s="393" t="s">
        <v>1833</v>
      </c>
      <c r="B96" s="374" t="s">
        <v>450</v>
      </c>
      <c r="C96" s="403">
        <f ca="1">ROUND(D63*D96/(1+'数据-取费表'!C42),0)</f>
        <v>498</v>
      </c>
      <c r="D96" s="404">
        <f>'数据-取费表'!B43</f>
        <v>6.000000000000001E-3</v>
      </c>
      <c r="E96" s="3706" t="s">
        <v>2430</v>
      </c>
      <c r="F96" s="3707"/>
      <c r="G96" s="3707"/>
      <c r="H96" s="3708"/>
      <c r="I96" s="1310"/>
      <c r="J96" s="2031"/>
      <c r="K96" s="2025"/>
      <c r="L96" s="2025"/>
      <c r="M96" s="2025"/>
      <c r="N96" s="2025"/>
      <c r="O96" s="2025"/>
      <c r="P96" s="2025"/>
      <c r="Q96" s="2025"/>
      <c r="R96" s="2025"/>
      <c r="S96" s="2025"/>
      <c r="T96" s="2025"/>
      <c r="U96" s="2025"/>
      <c r="V96" s="2025"/>
      <c r="W96" s="2029"/>
      <c r="X96" s="2029"/>
      <c r="Y96" s="2029"/>
      <c r="Z96" s="2029"/>
    </row>
    <row r="97" spans="1:26" s="1307" customFormat="1" ht="14.25">
      <c r="A97" s="1609" t="s">
        <v>1834</v>
      </c>
      <c r="B97" s="380" t="s">
        <v>451</v>
      </c>
      <c r="C97" s="383">
        <f ca="1">C90-C91</f>
        <v>79958</v>
      </c>
      <c r="D97" s="376" t="s">
        <v>19</v>
      </c>
      <c r="E97" s="984"/>
      <c r="F97" s="983"/>
      <c r="G97" s="983"/>
      <c r="H97" s="392"/>
      <c r="I97" s="1309"/>
      <c r="J97" s="2030"/>
      <c r="K97" s="2025"/>
      <c r="L97" s="2025"/>
      <c r="M97" s="2025"/>
      <c r="N97" s="2025"/>
      <c r="O97" s="2025"/>
      <c r="P97" s="2025"/>
      <c r="Q97" s="2025"/>
      <c r="R97" s="2025"/>
      <c r="S97" s="2025"/>
      <c r="T97" s="2025"/>
      <c r="U97" s="2025"/>
      <c r="V97" s="2025"/>
      <c r="W97" s="2029"/>
      <c r="X97" s="2029"/>
      <c r="Y97" s="2029"/>
      <c r="Z97" s="2029"/>
    </row>
    <row r="98" spans="1:26" s="1307" customFormat="1" ht="24">
      <c r="A98" s="1609" t="s">
        <v>1835</v>
      </c>
      <c r="B98" s="380" t="s">
        <v>452</v>
      </c>
      <c r="C98" s="405">
        <f ca="1">IF(C97&lt;=0,0,C97/C91)</f>
        <v>26.138607388035307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0"/>
      <c r="K98" s="2025"/>
      <c r="L98" s="2025"/>
      <c r="M98" s="2025"/>
      <c r="N98" s="2025"/>
      <c r="O98" s="2025"/>
      <c r="P98" s="2025"/>
      <c r="Q98" s="2025"/>
      <c r="R98" s="2025"/>
      <c r="S98" s="2025"/>
      <c r="T98" s="2025"/>
      <c r="U98" s="2025"/>
      <c r="V98" s="2025"/>
      <c r="W98" s="2029"/>
      <c r="X98" s="2029"/>
      <c r="Y98" s="2029"/>
      <c r="Z98" s="2029"/>
    </row>
    <row r="99" spans="1:26" s="1307" customFormat="1" ht="24.75" thickBot="1">
      <c r="A99" s="1610" t="s">
        <v>1836</v>
      </c>
      <c r="B99" s="385" t="s">
        <v>453</v>
      </c>
      <c r="C99" s="406">
        <f ca="1">ROUND(IF(C97&lt;=0,0,IF(C98&gt;=200%,C97*60%-C91*35%,IF(C98&gt;=100%,C97*50%-C91*15%,IF(C98&gt;=50%,C97*40%-C91*5%,IF(C98&lt;50%,C97*30%,0))))),0)</f>
        <v>46904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0"/>
      <c r="K99" s="2025"/>
      <c r="L99" s="2025"/>
      <c r="M99" s="2025"/>
      <c r="N99" s="2025"/>
      <c r="O99" s="2025"/>
      <c r="P99" s="2025"/>
      <c r="Q99" s="2025"/>
      <c r="R99" s="2025"/>
      <c r="S99" s="2025"/>
      <c r="T99" s="2025"/>
      <c r="U99" s="2025"/>
      <c r="V99" s="2025"/>
      <c r="W99" s="2029"/>
      <c r="X99" s="2029"/>
      <c r="Y99" s="2029"/>
      <c r="Z99" s="2029"/>
    </row>
    <row r="100" spans="1:26" s="1307" customFormat="1" ht="7.5" customHeight="1">
      <c r="A100" s="1311"/>
      <c r="B100" s="1312"/>
      <c r="C100" s="11"/>
      <c r="D100" s="11"/>
      <c r="E100" s="1312"/>
      <c r="F100" s="1312"/>
      <c r="G100" s="1312"/>
      <c r="H100" s="1313"/>
      <c r="I100" s="1310"/>
      <c r="J100" s="2031"/>
      <c r="K100" s="2025"/>
      <c r="L100" s="2025"/>
      <c r="M100" s="2025"/>
      <c r="N100" s="2025"/>
      <c r="O100" s="2025"/>
      <c r="P100" s="2025"/>
      <c r="Q100" s="2025"/>
      <c r="R100" s="2025"/>
      <c r="S100" s="2025"/>
      <c r="T100" s="2025"/>
      <c r="U100" s="2025"/>
      <c r="V100" s="2025"/>
      <c r="W100" s="2029"/>
      <c r="X100" s="2029"/>
      <c r="Y100" s="2029"/>
      <c r="Z100" s="2029"/>
    </row>
    <row r="101" spans="1:26" s="1307" customFormat="1" ht="15" thickBot="1">
      <c r="A101" s="3719" t="s">
        <v>454</v>
      </c>
      <c r="B101" s="3720"/>
      <c r="C101" s="3720"/>
      <c r="D101" s="3720"/>
      <c r="E101" s="3720"/>
      <c r="F101" s="3720"/>
      <c r="G101" s="3720"/>
      <c r="H101" s="3720"/>
      <c r="I101" s="11"/>
      <c r="J101" s="2025"/>
      <c r="K101" s="2025"/>
      <c r="L101" s="2025"/>
      <c r="M101" s="2025"/>
      <c r="N101" s="2025"/>
      <c r="O101" s="2025"/>
      <c r="P101" s="2025"/>
      <c r="Q101" s="2025"/>
      <c r="R101" s="2025"/>
      <c r="S101" s="2025"/>
      <c r="T101" s="2025"/>
      <c r="U101" s="2025"/>
      <c r="V101" s="2025"/>
      <c r="W101" s="2029"/>
      <c r="X101" s="2029"/>
      <c r="Y101" s="2029"/>
      <c r="Z101" s="2029"/>
    </row>
    <row r="102" spans="1:26" s="1307" customFormat="1" ht="14.25">
      <c r="A102" s="3683" t="s">
        <v>428</v>
      </c>
      <c r="B102" s="3684"/>
      <c r="C102" s="987"/>
      <c r="D102" s="987" t="s">
        <v>429</v>
      </c>
      <c r="E102" s="389" t="s">
        <v>438</v>
      </c>
      <c r="F102" s="390"/>
      <c r="G102" s="390"/>
      <c r="H102" s="411"/>
      <c r="I102" s="11"/>
      <c r="J102" s="2025"/>
      <c r="K102" s="2025"/>
      <c r="L102" s="2025"/>
      <c r="M102" s="2025"/>
      <c r="N102" s="2025"/>
      <c r="O102" s="2025"/>
      <c r="P102" s="2025"/>
      <c r="Q102" s="2025"/>
      <c r="R102" s="2025"/>
      <c r="S102" s="2025"/>
      <c r="T102" s="2025"/>
      <c r="U102" s="2025"/>
      <c r="V102" s="2025"/>
      <c r="W102" s="2029"/>
      <c r="X102" s="2029"/>
      <c r="Y102" s="2029"/>
      <c r="Z102" s="2029"/>
    </row>
    <row r="103" spans="1:26" s="1307" customFormat="1" ht="14.25">
      <c r="A103" s="379" t="s">
        <v>1822</v>
      </c>
      <c r="B103" s="380" t="s">
        <v>439</v>
      </c>
      <c r="C103" s="383">
        <f ca="1">ROUND(D63/(1+'数据-取费表'!C42),0)</f>
        <v>83017</v>
      </c>
      <c r="D103" s="376" t="s">
        <v>19</v>
      </c>
      <c r="E103" s="984"/>
      <c r="F103" s="983"/>
      <c r="G103" s="983"/>
      <c r="H103" s="412"/>
      <c r="I103" s="11"/>
      <c r="J103" s="2025"/>
      <c r="K103" s="2025"/>
      <c r="L103" s="2025"/>
      <c r="M103" s="2025"/>
      <c r="N103" s="2025"/>
      <c r="O103" s="2025"/>
      <c r="P103" s="2025"/>
      <c r="Q103" s="2025"/>
      <c r="R103" s="2025"/>
      <c r="S103" s="2025"/>
      <c r="T103" s="2025"/>
      <c r="U103" s="2025"/>
      <c r="V103" s="2025"/>
      <c r="W103" s="2029"/>
      <c r="X103" s="2029"/>
      <c r="Y103" s="2029"/>
      <c r="Z103" s="2029"/>
    </row>
    <row r="104" spans="1:26" s="1307" customFormat="1" ht="14.25">
      <c r="A104" s="379" t="s">
        <v>1828</v>
      </c>
      <c r="B104" s="346" t="s">
        <v>440</v>
      </c>
      <c r="C104" s="383">
        <f ca="1">IF(H106="仅含出让金",C105+C108+C109+C110+C111+C112,C105+C109+C110+C111+C112)</f>
        <v>1188</v>
      </c>
      <c r="D104" s="413"/>
      <c r="E104" s="984"/>
      <c r="F104" s="983"/>
      <c r="G104" s="983"/>
      <c r="H104" s="412"/>
      <c r="I104" s="11"/>
      <c r="J104" s="2025"/>
      <c r="K104" s="2025"/>
      <c r="L104" s="2025"/>
      <c r="M104" s="2025"/>
      <c r="N104" s="2025"/>
      <c r="O104" s="2025"/>
      <c r="P104" s="2025"/>
      <c r="Q104" s="2025"/>
      <c r="R104" s="2025"/>
      <c r="S104" s="2025"/>
      <c r="T104" s="2025"/>
      <c r="U104" s="2025"/>
      <c r="V104" s="2025"/>
      <c r="W104" s="2029"/>
      <c r="X104" s="2029"/>
      <c r="Y104" s="2029"/>
      <c r="Z104" s="2029"/>
    </row>
    <row r="105" spans="1:26" s="1307" customFormat="1" ht="14.25">
      <c r="A105" s="393" t="s">
        <v>1829</v>
      </c>
      <c r="B105" s="374" t="s">
        <v>455</v>
      </c>
      <c r="C105" s="403">
        <f>C106+C107</f>
        <v>572</v>
      </c>
      <c r="D105" s="404"/>
      <c r="E105" s="978"/>
      <c r="F105" s="979"/>
      <c r="G105" s="979"/>
      <c r="H105" s="980"/>
      <c r="I105" s="11"/>
      <c r="J105" s="2025"/>
      <c r="K105" s="2025"/>
      <c r="L105" s="2025"/>
      <c r="M105" s="2025"/>
      <c r="N105" s="2025"/>
      <c r="O105" s="2025"/>
      <c r="P105" s="2025"/>
      <c r="Q105" s="2025"/>
      <c r="R105" s="2025"/>
      <c r="S105" s="2025"/>
      <c r="T105" s="2025"/>
      <c r="U105" s="2025"/>
      <c r="V105" s="2025"/>
      <c r="W105" s="2029"/>
      <c r="X105" s="2029"/>
      <c r="Y105" s="2029"/>
      <c r="Z105" s="2029"/>
    </row>
    <row r="106" spans="1:26" s="1307" customFormat="1" ht="14.25">
      <c r="A106" s="393" t="s">
        <v>1830</v>
      </c>
      <c r="B106" s="374" t="s">
        <v>456</v>
      </c>
      <c r="C106" s="414">
        <v>555</v>
      </c>
      <c r="D106" s="404"/>
      <c r="E106" s="415" t="s">
        <v>457</v>
      </c>
      <c r="F106" s="979"/>
      <c r="G106" s="416" t="s">
        <v>458</v>
      </c>
      <c r="H106" s="417" t="s">
        <v>2441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5"/>
      <c r="K107" s="2025"/>
      <c r="L107" s="2025"/>
      <c r="M107" s="2025"/>
      <c r="N107" s="2025"/>
      <c r="O107" s="2025"/>
      <c r="P107" s="2025"/>
      <c r="Q107" s="2025"/>
      <c r="R107" s="2025"/>
      <c r="S107" s="2025"/>
      <c r="T107" s="2025"/>
      <c r="U107" s="2025"/>
      <c r="V107" s="2025"/>
      <c r="W107" s="2029"/>
      <c r="X107" s="2029"/>
      <c r="Y107" s="2029"/>
      <c r="Z107" s="2029"/>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5"/>
      <c r="K108" s="2025"/>
      <c r="L108" s="2025"/>
      <c r="M108" s="2025"/>
      <c r="N108" s="2025"/>
      <c r="O108" s="2025"/>
      <c r="P108" s="2025"/>
      <c r="Q108" s="2025"/>
      <c r="R108" s="2025"/>
      <c r="S108" s="2025"/>
      <c r="T108" s="2025"/>
      <c r="U108" s="2025"/>
      <c r="V108" s="2025"/>
      <c r="W108" s="2029"/>
      <c r="X108" s="2029"/>
      <c r="Y108" s="2029"/>
      <c r="Z108" s="2029"/>
    </row>
    <row r="109" spans="1:26" s="1307" customFormat="1" ht="24" customHeight="1">
      <c r="A109" s="1611" t="s">
        <v>1837</v>
      </c>
      <c r="B109" s="374" t="s">
        <v>461</v>
      </c>
      <c r="C109" s="403">
        <f>IF(H109="——",IF(F1="现房",'剩余法-现房'!C18,'剩余法-待开发'!C18),I109)</f>
        <v>55</v>
      </c>
      <c r="D109" s="404"/>
      <c r="E109" s="3709" t="s">
        <v>462</v>
      </c>
      <c r="F109" s="3707"/>
      <c r="G109" s="3707"/>
      <c r="H109" s="1933" t="s">
        <v>2280</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07" customFormat="1" ht="25.5" customHeight="1">
      <c r="A110" s="1611" t="s">
        <v>1838</v>
      </c>
      <c r="B110" s="374" t="s">
        <v>463</v>
      </c>
      <c r="C110" s="403">
        <f>ROUND((C105+C108+C109)*D110,0)</f>
        <v>63</v>
      </c>
      <c r="D110" s="404">
        <v>0.1</v>
      </c>
      <c r="E110" s="3709" t="s">
        <v>464</v>
      </c>
      <c r="F110" s="3707"/>
      <c r="G110" s="3707"/>
      <c r="H110" s="3708"/>
      <c r="I110" s="11"/>
      <c r="J110" s="2025"/>
      <c r="K110" s="2025"/>
      <c r="L110" s="2025"/>
      <c r="M110" s="2025"/>
      <c r="N110" s="2025"/>
      <c r="O110" s="2025"/>
      <c r="P110" s="2025"/>
      <c r="Q110" s="2025"/>
      <c r="R110" s="2025"/>
      <c r="S110" s="2025"/>
      <c r="T110" s="2025"/>
      <c r="U110" s="2025"/>
      <c r="V110" s="2025"/>
      <c r="W110" s="2029"/>
      <c r="X110" s="2029"/>
      <c r="Y110" s="2029"/>
      <c r="Z110" s="2029"/>
    </row>
    <row r="111" spans="1:26" s="1307" customFormat="1" ht="25.5" customHeight="1">
      <c r="A111" s="1611" t="s">
        <v>1839</v>
      </c>
      <c r="B111" s="374" t="s">
        <v>450</v>
      </c>
      <c r="C111" s="403">
        <f ca="1">ROUND(D63*D111/(1+'数据-取费表'!C42),0)</f>
        <v>498</v>
      </c>
      <c r="D111" s="404">
        <f>'数据-取费表'!B43</f>
        <v>6.000000000000001E-3</v>
      </c>
      <c r="E111" s="3706" t="s">
        <v>2430</v>
      </c>
      <c r="F111" s="3707"/>
      <c r="G111" s="3707"/>
      <c r="H111" s="3708"/>
      <c r="I111" s="11"/>
      <c r="J111" s="2025"/>
      <c r="K111" s="2025"/>
      <c r="L111" s="2025"/>
      <c r="M111" s="2025"/>
      <c r="N111" s="2025"/>
      <c r="O111" s="2025"/>
      <c r="P111" s="2025"/>
      <c r="Q111" s="2025"/>
      <c r="R111" s="2025"/>
      <c r="S111" s="2025"/>
      <c r="T111" s="2025"/>
      <c r="U111" s="2025"/>
      <c r="V111" s="2025"/>
      <c r="W111" s="2029"/>
      <c r="X111" s="2029"/>
      <c r="Y111" s="2029"/>
      <c r="Z111" s="2029"/>
    </row>
    <row r="112" spans="1:26" s="1307" customFormat="1" ht="25.5" customHeight="1">
      <c r="A112" s="1611" t="s">
        <v>1840</v>
      </c>
      <c r="B112" s="374" t="s">
        <v>465</v>
      </c>
      <c r="C112" s="403">
        <f>ROUND(C108*D112,0)</f>
        <v>0</v>
      </c>
      <c r="D112" s="404">
        <v>0.2</v>
      </c>
      <c r="E112" s="3709" t="s">
        <v>2455</v>
      </c>
      <c r="F112" s="3707"/>
      <c r="G112" s="3707"/>
      <c r="H112" s="3708"/>
      <c r="I112" s="11"/>
      <c r="J112" s="2025"/>
      <c r="K112" s="2025"/>
      <c r="L112" s="2025"/>
      <c r="M112" s="2025"/>
      <c r="N112" s="2025"/>
      <c r="O112" s="2025"/>
      <c r="P112" s="2025"/>
      <c r="Q112" s="2025"/>
      <c r="R112" s="2025"/>
      <c r="S112" s="2025"/>
      <c r="T112" s="2025"/>
      <c r="U112" s="2025"/>
      <c r="V112" s="2025"/>
      <c r="W112" s="2029"/>
      <c r="X112" s="2029"/>
      <c r="Y112" s="2029"/>
      <c r="Z112" s="2029"/>
    </row>
    <row r="113" spans="1:26" s="1307" customFormat="1" ht="14.25">
      <c r="A113" s="1609" t="s">
        <v>1834</v>
      </c>
      <c r="B113" s="380" t="s">
        <v>451</v>
      </c>
      <c r="C113" s="383">
        <f ca="1">ROUND(C103-C104,0)</f>
        <v>81829</v>
      </c>
      <c r="D113" s="376" t="s">
        <v>19</v>
      </c>
      <c r="E113" s="984"/>
      <c r="F113" s="983"/>
      <c r="G113" s="983"/>
      <c r="H113" s="412"/>
      <c r="I113" s="11"/>
      <c r="J113" s="2025"/>
      <c r="K113" s="2025"/>
      <c r="L113" s="2025"/>
      <c r="M113" s="2025"/>
      <c r="N113" s="2025"/>
      <c r="O113" s="2025"/>
      <c r="P113" s="2025"/>
      <c r="Q113" s="2025"/>
      <c r="R113" s="2025"/>
      <c r="S113" s="2025"/>
      <c r="T113" s="2025"/>
      <c r="U113" s="2025"/>
      <c r="V113" s="2025"/>
      <c r="W113" s="2029"/>
      <c r="X113" s="2029"/>
      <c r="Y113" s="2029"/>
      <c r="Z113" s="2029"/>
    </row>
    <row r="114" spans="1:26" s="1307" customFormat="1" ht="24">
      <c r="A114" s="1609" t="s">
        <v>1835</v>
      </c>
      <c r="B114" s="380" t="s">
        <v>452</v>
      </c>
      <c r="C114" s="405">
        <f ca="1">IF(C113&lt;=0,0,C113/C104)</f>
        <v>68.879629629629633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5"/>
      <c r="K114" s="2025"/>
      <c r="L114" s="2025"/>
      <c r="M114" s="2025"/>
      <c r="N114" s="2025"/>
      <c r="O114" s="2025"/>
      <c r="P114" s="2025"/>
      <c r="Q114" s="2025"/>
      <c r="R114" s="2025"/>
      <c r="S114" s="2025"/>
      <c r="T114" s="2025"/>
      <c r="U114" s="2025"/>
      <c r="V114" s="2025"/>
      <c r="W114" s="2029"/>
      <c r="X114" s="2029"/>
      <c r="Y114" s="2029"/>
      <c r="Z114" s="2029"/>
    </row>
    <row r="115" spans="1:26" s="1307" customFormat="1" ht="24.75" thickBot="1">
      <c r="A115" s="1610" t="s">
        <v>1836</v>
      </c>
      <c r="B115" s="385" t="s">
        <v>453</v>
      </c>
      <c r="C115" s="406">
        <f ca="1">ROUND(IF(C113&lt;=0,0,IF(C114&gt;=200%,C113*60%-C104*35%,IF(C114&gt;=100%,C113*50%-C104*15%,IF(C114&gt;=50%,C113*40%-C104*5%,IF(C114&lt;50%,C113*30%,0))))),0)</f>
        <v>48682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5" customFormat="1" ht="21.75" customHeight="1">
      <c r="K185" s="2033"/>
      <c r="L185" s="2033"/>
      <c r="M185" s="2033"/>
      <c r="N185" s="2033"/>
      <c r="O185" s="203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2660</v>
      </c>
      <c r="B1" s="2908" t="s">
        <v>2757</v>
      </c>
    </row>
    <row r="2" spans="1:55" s="2912" customFormat="1" ht="15" thickTop="1">
      <c r="A2" s="2910" t="s">
        <v>2664</v>
      </c>
      <c r="B2" s="2911" t="str">
        <f>'预评函-封皮'!B37</f>
        <v>出让国有建设用地使用权抵押价格预评估</v>
      </c>
      <c r="AX2" s="2913"/>
      <c r="AZ2" s="2913"/>
      <c r="BA2" s="2914"/>
      <c r="BC2" s="2914"/>
    </row>
    <row r="3" spans="1:55" s="2915" customFormat="1">
      <c r="A3" s="2894" t="s">
        <v>2665</v>
      </c>
      <c r="B3" s="2897">
        <f>'预评函-封皮'!B40</f>
        <v>0</v>
      </c>
    </row>
    <row r="4" spans="1:55" s="2896" customFormat="1">
      <c r="A4" s="2894" t="s">
        <v>2666</v>
      </c>
      <c r="B4" s="2895" t="str">
        <f>'预评函-封皮'!B46</f>
        <v>吴薇、刘梅</v>
      </c>
      <c r="N4" s="2896" t="str">
        <f>'预评函-1'!A28</f>
        <v>本次估价的“抵押净值”是指估价对象“抵押价格”减去估价对象在估价期日以“土地销售收入”为基数计算的预计抵押权实现进行处置时需缴纳的各项费用、税金等相关费用后的价格。</v>
      </c>
    </row>
    <row r="5" spans="1:55" s="2909" customFormat="1" ht="15" thickBot="1">
      <c r="A5" s="2916" t="s">
        <v>2667</v>
      </c>
      <c r="B5" s="2917" t="str">
        <f>'预评函-封皮'!B49</f>
        <v>康正预评字号</v>
      </c>
    </row>
    <row r="6" spans="1:55" s="2918" customFormat="1" ht="15" thickTop="1">
      <c r="A6" s="2910" t="s">
        <v>2709</v>
      </c>
      <c r="B6" s="2911" t="str">
        <f>'预评函-1'!A4</f>
        <v>受贵公司委托，我公司对出让国有建设用地使用权抵押价格进行了预评估。</v>
      </c>
      <c r="AM6" s="2919"/>
    </row>
    <row r="7" spans="1:55" s="2893" customFormat="1">
      <c r="A7" s="2894" t="s">
        <v>2661</v>
      </c>
      <c r="B7" s="2895" t="str">
        <f>'预评函-1'!A6</f>
        <v>估价对象为使用的、位于出让国有建设用地使用权。根据《国有土地使用证》[]，估价对象（分摊）出让国有建设用地使用权面积为74665.9平方米。根据《建设工程规划许可证》[]、《出让合同》[]，估价对象规划建筑面积为479506平方米。</v>
      </c>
    </row>
    <row r="8" spans="1:55" s="2893" customFormat="1">
      <c r="A8" s="2894" t="s">
        <v>2662</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2712</v>
      </c>
      <c r="B9" s="28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3" customFormat="1">
      <c r="A10" s="2894" t="s">
        <v>2663</v>
      </c>
      <c r="B10" s="2895" t="str">
        <f>'预评函-1'!A11</f>
        <v>2018年6月20日（评估专业人员勘察现场之日）</v>
      </c>
    </row>
    <row r="11" spans="1:55" s="2893" customFormat="1">
      <c r="A11" s="2894" t="s">
        <v>2669</v>
      </c>
      <c r="B11" s="2895" t="str">
        <f>'预评函-1'!A14</f>
        <v>根据《国有土地使用证》[]，本次评估估价对象证载（地类）用途为。</v>
      </c>
    </row>
    <row r="12" spans="1:55" s="2893" customFormat="1">
      <c r="A12" s="2894" t="s">
        <v>2670</v>
      </c>
      <c r="B12" s="2895" t="str">
        <f>'预评函-1'!A15</f>
        <v>本次评估设定用途即为证载用途。</v>
      </c>
    </row>
    <row r="13" spans="1:55" s="2893" customFormat="1">
      <c r="A13" s="2894" t="s">
        <v>2671</v>
      </c>
      <c r="B13" s="2895" t="str">
        <f>'预评函-1'!A17</f>
        <v>根据委托估价方介绍及评估专业人员现场勘查，本次评估估价对象实际土地开发程度为红线外市政基础设施达“七通”（即、、、、、、）、宗地红线内场地平整。</v>
      </c>
    </row>
    <row r="14" spans="1:55" s="2893" customFormat="1">
      <c r="A14" s="2894" t="s">
        <v>2672</v>
      </c>
      <c r="B14" s="2895" t="str">
        <f>'预评函-1'!A18</f>
        <v>。本次评估设定土地开发程度为红线外市政基础设施达“七通”、宗地红线内场地平整。</v>
      </c>
    </row>
    <row r="15" spans="1:55" s="2893" customFormat="1">
      <c r="A15" s="2894" t="s">
        <v>2668</v>
      </c>
      <c r="B15" s="2895" t="str">
        <f>'预评函-1'!A20</f>
        <v>根据《国有土地使用证》[]，估价对象（分摊）出让国有建设用地使用权面积为74665.9平方米。根据《建设工程规划许可证》[]、《出让合同》[]，估价对象规划建筑面积为479506平方米。</v>
      </c>
    </row>
    <row r="16" spans="1:55" s="2893" customFormat="1">
      <c r="A16" s="2894" t="s">
        <v>2673</v>
      </c>
      <c r="B16" s="2895"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3" customFormat="1">
      <c r="A17" s="2894" t="s">
        <v>2674</v>
      </c>
      <c r="B17" s="2895" t="str">
        <f>'预评函-1'!A23</f>
        <v>本次评估设定估价对象剩余土地使用年限为。</v>
      </c>
    </row>
    <row r="18" spans="1:48" s="2893" customFormat="1">
      <c r="A18" s="2894" t="s">
        <v>2675</v>
      </c>
      <c r="B18" s="2895" t="str">
        <f>'预评函-1'!A25</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19" spans="1:48" s="2893" customFormat="1">
      <c r="A19" s="2894" t="s">
        <v>2676</v>
      </c>
      <c r="B19" s="28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3" customFormat="1">
      <c r="A20" s="2894" t="s">
        <v>2677</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2678</v>
      </c>
      <c r="B21" s="29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5" t="s">
        <v>2679</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2680</v>
      </c>
      <c r="B23" s="2895" t="str">
        <f>'预评函-2'!K2</f>
        <v>估价期日：2018年6月20日</v>
      </c>
    </row>
    <row r="24" spans="1:48">
      <c r="A24" s="2894" t="s">
        <v>2681</v>
      </c>
      <c r="B24" s="2895" t="str">
        <f>'预评函-2'!R2</f>
        <v>估价期日的国有建设用地使用权性质：出让</v>
      </c>
    </row>
    <row r="25" spans="1:48">
      <c r="A25" s="2894" t="s">
        <v>2737</v>
      </c>
      <c r="B25" s="2895" t="str">
        <f>'预评函-2'!A3</f>
        <v>估价期日土地使用者</v>
      </c>
    </row>
    <row r="26" spans="1:48">
      <c r="A26" s="2894" t="s">
        <v>2713</v>
      </c>
      <c r="B26" s="2895" t="str">
        <f>'预评函-2'!A5</f>
        <v>中信开发</v>
      </c>
    </row>
    <row r="27" spans="1:48">
      <c r="A27" s="2894" t="s">
        <v>2738</v>
      </c>
      <c r="B27" s="2895" t="str">
        <f>'预评函-2'!B3</f>
        <v>宗地编号/不动产单元号</v>
      </c>
    </row>
    <row r="28" spans="1:48">
      <c r="A28" s="2894" t="s">
        <v>2714</v>
      </c>
      <c r="B28" s="2895" t="str">
        <f>'预评函-2'!B5</f>
        <v>11111111111</v>
      </c>
    </row>
    <row r="29" spans="1:48">
      <c r="A29" s="2894" t="s">
        <v>2740</v>
      </c>
      <c r="B29" s="2895">
        <f>'预评函-2'!C5</f>
        <v>22</v>
      </c>
    </row>
    <row r="30" spans="1:48">
      <c r="A30" s="2894" t="s">
        <v>2741</v>
      </c>
      <c r="B30" s="2895" t="str">
        <f>'预评函-2'!D3</f>
        <v>土地使用证编号/不动产权证书编号</v>
      </c>
    </row>
    <row r="31" spans="1:48">
      <c r="A31" s="2894" t="s">
        <v>2715</v>
      </c>
      <c r="B31" s="2895" t="str">
        <f>'预评函-2'!D5</f>
        <v>京国土字第111号</v>
      </c>
    </row>
    <row r="32" spans="1:48">
      <c r="A32" s="2894" t="s">
        <v>2716</v>
      </c>
      <c r="B32" s="2895">
        <f>'预评函-2'!E5</f>
        <v>0</v>
      </c>
      <c r="AV32" s="2899"/>
    </row>
    <row r="33" spans="1:2">
      <c r="A33" s="2894" t="s">
        <v>2717</v>
      </c>
      <c r="B33" s="2895">
        <f>'预评函-2'!F5</f>
        <v>258</v>
      </c>
    </row>
    <row r="34" spans="1:2">
      <c r="A34" s="2894" t="s">
        <v>2718</v>
      </c>
      <c r="B34" s="2895">
        <f>'预评函-2'!G5</f>
        <v>0</v>
      </c>
    </row>
    <row r="35" spans="1:2">
      <c r="A35" s="2894" t="s">
        <v>2719</v>
      </c>
      <c r="B35" s="2895">
        <f>'预评函-2'!H5</f>
        <v>1.5</v>
      </c>
    </row>
    <row r="36" spans="1:2">
      <c r="A36" s="2894" t="s">
        <v>2720</v>
      </c>
      <c r="B36" s="2895">
        <f>'预评函-2'!I5</f>
        <v>1.5</v>
      </c>
    </row>
    <row r="37" spans="1:2">
      <c r="A37" s="2894" t="s">
        <v>2721</v>
      </c>
      <c r="B37" s="2895">
        <f>'预评函-2'!J5</f>
        <v>1.5</v>
      </c>
    </row>
    <row r="38" spans="1:2">
      <c r="A38" s="2894" t="s">
        <v>2722</v>
      </c>
      <c r="B38" s="2895" t="str">
        <f>'预评函-2'!K5</f>
        <v>红线外七通、宗地红线内</v>
      </c>
    </row>
    <row r="39" spans="1:2">
      <c r="A39" s="2894" t="s">
        <v>2723</v>
      </c>
      <c r="B39" s="2895" t="str">
        <f>'预评函-2'!L5</f>
        <v>红线外七通、宗地红线内场地</v>
      </c>
    </row>
    <row r="40" spans="1:2">
      <c r="A40" s="2894" t="s">
        <v>2742</v>
      </c>
      <c r="B40" s="2895" t="str">
        <f>'预评函-2'!M3</f>
        <v>（剩余）土地使用年限/年</v>
      </c>
    </row>
    <row r="41" spans="1:2">
      <c r="A41" s="2894" t="s">
        <v>2724</v>
      </c>
      <c r="B41" s="2895">
        <f>'预评函-2'!M5</f>
        <v>0</v>
      </c>
    </row>
    <row r="42" spans="1:2">
      <c r="A42" s="2894" t="s">
        <v>2743</v>
      </c>
      <c r="B42" s="2895" t="str">
        <f>'预评函-2'!N3</f>
        <v>（分摊）出让国有建设用地使用权面积/㎡</v>
      </c>
    </row>
    <row r="43" spans="1:2">
      <c r="A43" s="2894" t="s">
        <v>2725</v>
      </c>
      <c r="B43" s="2895">
        <f>'预评函-2'!N5</f>
        <v>74665.899999999994</v>
      </c>
    </row>
    <row r="44" spans="1:2">
      <c r="A44" s="2894" t="s">
        <v>2744</v>
      </c>
      <c r="B44" s="2895" t="str">
        <f>'预评函-2'!O3</f>
        <v>规划建筑面积/㎡</v>
      </c>
    </row>
    <row r="45" spans="1:2">
      <c r="A45" s="2894" t="s">
        <v>2726</v>
      </c>
      <c r="B45" s="2895">
        <f>'预评函-2'!O5</f>
        <v>479506</v>
      </c>
    </row>
    <row r="46" spans="1:2">
      <c r="A46" s="2894" t="s">
        <v>2727</v>
      </c>
      <c r="B46" s="2895">
        <f ca="1">'预评函-2'!P5</f>
        <v>19457</v>
      </c>
    </row>
    <row r="47" spans="1:2">
      <c r="A47" s="2894" t="s">
        <v>2728</v>
      </c>
      <c r="B47" s="2895">
        <f ca="1">'预评函-2'!Q5</f>
        <v>3030</v>
      </c>
    </row>
    <row r="48" spans="1:2">
      <c r="A48" s="2894" t="s">
        <v>2729</v>
      </c>
      <c r="B48" s="2895">
        <f ca="1">'预评函-2'!R5</f>
        <v>145280</v>
      </c>
    </row>
    <row r="49" spans="1:2">
      <c r="A49" s="2894" t="s">
        <v>2745</v>
      </c>
      <c r="B49" s="2895" t="str">
        <f>'预评函-2'!A6</f>
        <v>抵押价格</v>
      </c>
    </row>
    <row r="50" spans="1:2">
      <c r="A50" s="2894" t="s">
        <v>2730</v>
      </c>
      <c r="B50" s="2895" t="str">
        <f>'预评函-2'!R6</f>
        <v>——</v>
      </c>
    </row>
    <row r="51" spans="1:2">
      <c r="A51" s="2894" t="s">
        <v>2746</v>
      </c>
      <c r="B51" s="2895" t="str">
        <f>'预评函-2'!A7</f>
        <v>——</v>
      </c>
    </row>
    <row r="52" spans="1:2">
      <c r="A52" s="2894" t="s">
        <v>2731</v>
      </c>
      <c r="B52" s="2895" t="str">
        <f>'预评函-2'!R7</f>
        <v>——</v>
      </c>
    </row>
    <row r="53" spans="1:2">
      <c r="A53" s="2894" t="s">
        <v>2747</v>
      </c>
      <c r="B53" s="2895">
        <f>'预评函-2'!A8</f>
        <v>0</v>
      </c>
    </row>
    <row r="54" spans="1:2" s="2909" customFormat="1" ht="15" thickBot="1">
      <c r="A54" s="2916" t="s">
        <v>2732</v>
      </c>
      <c r="B54" s="2917" t="str">
        <f>'预评函-2'!R8</f>
        <v>——</v>
      </c>
    </row>
    <row r="55" spans="1:2" ht="15" thickTop="1">
      <c r="A55" s="2905" t="s">
        <v>2682</v>
      </c>
      <c r="B55" s="2906" t="str">
        <f>'预评函-3'!A2</f>
        <v>1.权利限制：根据估价对象《不动产权证书》原件、《国有土地使用权》复印件，截至估价期日，估价对象抵押权未见登记。未设定租赁等其他他项权利。</v>
      </c>
    </row>
    <row r="56" spans="1:2">
      <c r="A56" s="2894" t="s">
        <v>2683</v>
      </c>
      <c r="B56" s="2895" t="str">
        <f>'预评函-3'!A3</f>
        <v>2.基础设施条件：估价对象实际开发程度为红线外七通、宗地红线内；本次评估设定开发程度为红线外七通、宗地红线内场地。</v>
      </c>
    </row>
    <row r="57" spans="1:2">
      <c r="A57" s="2894" t="s">
        <v>2684</v>
      </c>
      <c r="B57" s="2895" t="str">
        <f>'预评函-3'!A4</f>
        <v>3.估价规划限制条件：详见《建设工程规划许可证》[]、《出让合同》[]。</v>
      </c>
    </row>
    <row r="58" spans="1:2" s="2909" customFormat="1" ht="15" thickBot="1">
      <c r="A58" s="2916" t="s">
        <v>2733</v>
      </c>
      <c r="B58" s="2917" t="str">
        <f>'预评函-3'!A5</f>
        <v>4.影响价格的其他限定条件：无。</v>
      </c>
    </row>
    <row r="59" spans="1:2" ht="15" thickTop="1">
      <c r="A59" s="2905" t="s">
        <v>2685</v>
      </c>
      <c r="B59" s="2906" t="str">
        <f>'预评函-3'!A8</f>
        <v>2.本《评估意见函》仅供金融机构进行内部审核使用，不做其他目的之用。</v>
      </c>
    </row>
    <row r="60" spans="1:2">
      <c r="A60" s="2894" t="s">
        <v>2686</v>
      </c>
      <c r="B60" s="2895" t="str">
        <f>'预评函-3'!A9</f>
        <v>3.抵押双方在办理抵押登记手续时，应使用本公司出具的正式《土地估价报告》，特提请报告使用者注意。</v>
      </c>
    </row>
    <row r="61" spans="1:2">
      <c r="A61" s="2894" t="s">
        <v>2688</v>
      </c>
      <c r="B61" s="2895" t="str">
        <f>'预评函-3'!A10</f>
        <v>4.估价师所知悉的法定优先受偿款情况为：</v>
      </c>
    </row>
    <row r="62" spans="1:2">
      <c r="A62" s="2894" t="s">
        <v>2687</v>
      </c>
      <c r="B62" s="2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4" t="s">
        <v>2689</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2690</v>
      </c>
      <c r="B64" s="2900" t="str">
        <f>'预评函-3'!A13</f>
        <v>（3）。</v>
      </c>
    </row>
    <row r="65" spans="1:2">
      <c r="A65" s="2894" t="s">
        <v>2691</v>
      </c>
      <c r="B65" s="2901" t="str">
        <f>'预评函-3'!A14</f>
        <v>综上，本次评估不存在估价师知悉的法定优先受偿款</v>
      </c>
    </row>
    <row r="66" spans="1:2">
      <c r="A66" s="2894" t="s">
        <v>2692</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2693</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2696</v>
      </c>
      <c r="B68" s="2920">
        <f>'预评函-3'!D30</f>
        <v>42558</v>
      </c>
    </row>
    <row r="69" spans="1:2" ht="15" thickTop="1">
      <c r="A69" s="2905" t="s">
        <v>2694</v>
      </c>
      <c r="B69" s="2906" t="str">
        <f>'预评函-3'!A20</f>
        <v>吴薇</v>
      </c>
    </row>
    <row r="70" spans="1:2">
      <c r="A70" s="2894" t="s">
        <v>2694</v>
      </c>
      <c r="B70" s="2901">
        <f ca="1">'预评函-3'!B20</f>
        <v>2002110125</v>
      </c>
    </row>
    <row r="71" spans="1:2">
      <c r="A71" s="2894" t="s">
        <v>2695</v>
      </c>
      <c r="B71" s="2895" t="str">
        <f>'预评函-3'!A21</f>
        <v>刘梅</v>
      </c>
    </row>
    <row r="72" spans="1:2" s="2909" customFormat="1" ht="15" thickBot="1">
      <c r="A72" s="2916" t="s">
        <v>2695</v>
      </c>
      <c r="B72" s="2922">
        <f ca="1">'预评函-3'!B21</f>
        <v>2008110059</v>
      </c>
    </row>
    <row r="73" spans="1:2" ht="15" thickTop="1">
      <c r="A73" s="2905" t="s">
        <v>2754</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2755</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2756</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2791</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9" t="s">
        <v>466</v>
      </c>
      <c r="B1" s="2826"/>
      <c r="C1" s="2096"/>
      <c r="D1" s="2096"/>
      <c r="E1" s="2096"/>
      <c r="F1" s="2096"/>
      <c r="G1" s="2096"/>
      <c r="H1" s="2096"/>
      <c r="I1" s="2096"/>
      <c r="J1" s="2096"/>
      <c r="K1" s="420">
        <f>MATCH(B1,'数据-取费表'!A6:A16,0)+5</f>
        <v>10</v>
      </c>
    </row>
    <row r="2" spans="1:41" s="2033" customFormat="1" ht="18" customHeight="1">
      <c r="A2" s="421" t="s">
        <v>467</v>
      </c>
      <c r="B2" s="422">
        <f ca="1">C32</f>
        <v>0</v>
      </c>
      <c r="C2" s="2096"/>
      <c r="D2" s="2096"/>
      <c r="E2" s="2096"/>
      <c r="F2" s="2096"/>
      <c r="G2" s="2096"/>
      <c r="H2" s="2096"/>
      <c r="I2" s="2096"/>
      <c r="J2" s="2096"/>
      <c r="K2" s="2096"/>
    </row>
    <row r="3" spans="1:41" s="2033" customFormat="1" ht="18" customHeight="1">
      <c r="A3" s="1371" t="s">
        <v>1683</v>
      </c>
      <c r="B3" s="423">
        <f ca="1">ROUND(B2*10000/IF(B1="",'数据-汇总表'!E3,INDIRECT("'数据-取费表'!K"&amp;$K$1)),0)</f>
        <v>0</v>
      </c>
      <c r="C3" s="2096"/>
      <c r="D3" s="2096"/>
      <c r="E3" s="2096"/>
      <c r="F3" s="2096"/>
      <c r="G3" s="2096"/>
      <c r="H3" s="2096"/>
      <c r="I3" s="2096"/>
      <c r="J3" s="2096"/>
      <c r="K3" s="2096"/>
    </row>
    <row r="4" spans="1:41" s="2033" customFormat="1" ht="18" customHeight="1">
      <c r="A4" s="424" t="s">
        <v>468</v>
      </c>
      <c r="B4" s="425">
        <f ca="1">ROUND(B2*10000/IF(B1="",'数据-汇总表'!D3,INDIRECT("'数据-取费表'!R"&amp;$K$1)),0)</f>
        <v>0</v>
      </c>
      <c r="C4" s="2053"/>
      <c r="D4" s="2096"/>
      <c r="E4" s="2096"/>
      <c r="F4" s="2096"/>
      <c r="G4" s="2096"/>
      <c r="H4" s="2096"/>
      <c r="I4" s="2096"/>
      <c r="J4" s="2096"/>
      <c r="K4" s="2096"/>
    </row>
    <row r="5" spans="1:41" s="2033" customFormat="1" ht="18" customHeight="1" thickBot="1">
      <c r="A5" s="427"/>
      <c r="B5" s="428">
        <f ca="1">ROUND(B2/(IF(B1="",'数据-汇总表'!D3,INDIRECT("'数据-取费表'!R"&amp;$K$1))/666.67),0)</f>
        <v>0</v>
      </c>
      <c r="C5" s="429" t="s">
        <v>469</v>
      </c>
      <c r="D5" s="2096"/>
      <c r="E5" s="2096"/>
      <c r="F5" s="2096"/>
      <c r="G5" s="2096"/>
      <c r="H5" s="2096"/>
      <c r="I5" s="2096"/>
      <c r="J5" s="2096"/>
      <c r="K5" s="2096"/>
    </row>
    <row r="6" spans="1:41" s="2103" customFormat="1" ht="16.5" customHeight="1">
      <c r="A6" s="430" t="s">
        <v>2656</v>
      </c>
      <c r="B6" s="431"/>
      <c r="C6" s="1615">
        <f>SUM(C10:K10)</f>
        <v>0</v>
      </c>
      <c r="D6" s="2101"/>
      <c r="E6" s="2101"/>
      <c r="F6" s="2101"/>
      <c r="G6" s="2101"/>
      <c r="H6" s="2101"/>
      <c r="I6" s="2101"/>
      <c r="J6" s="2101"/>
      <c r="K6" s="2102"/>
    </row>
    <row r="7" spans="1:41" s="2105" customFormat="1" ht="15">
      <c r="A7" s="432" t="s">
        <v>470</v>
      </c>
      <c r="B7" s="433" t="s">
        <v>471</v>
      </c>
      <c r="C7" s="434"/>
      <c r="D7" s="434"/>
      <c r="E7" s="434"/>
      <c r="F7" s="434"/>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1844</v>
      </c>
      <c r="B8" s="436" t="s">
        <v>472</v>
      </c>
      <c r="C8" s="437"/>
      <c r="D8" s="437"/>
      <c r="E8" s="437"/>
      <c r="F8" s="437"/>
      <c r="G8" s="437"/>
      <c r="H8" s="437"/>
      <c r="I8" s="437"/>
      <c r="J8" s="437"/>
      <c r="K8" s="438"/>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1846</v>
      </c>
      <c r="B10" s="1616" t="s">
        <v>474</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1863</v>
      </c>
      <c r="B11" s="1613"/>
      <c r="C11" s="1613"/>
      <c r="D11" s="1613"/>
      <c r="E11" s="1613"/>
      <c r="F11" s="1613"/>
      <c r="G11" s="1613"/>
      <c r="H11" s="1613"/>
      <c r="I11" s="1613"/>
      <c r="J11" s="1613"/>
      <c r="K11" s="1614"/>
    </row>
    <row r="12" spans="1:41" s="2077" customFormat="1" ht="13.5" customHeight="1">
      <c r="A12" s="432" t="s">
        <v>470</v>
      </c>
      <c r="B12" s="442" t="s">
        <v>471</v>
      </c>
      <c r="C12" s="443" t="s">
        <v>475</v>
      </c>
      <c r="D12" s="444" t="s">
        <v>476</v>
      </c>
      <c r="E12" s="444" t="s">
        <v>477</v>
      </c>
      <c r="F12" s="444" t="s">
        <v>478</v>
      </c>
      <c r="G12" s="442"/>
      <c r="H12" s="445"/>
      <c r="I12" s="445"/>
      <c r="J12" s="445"/>
      <c r="K12" s="446"/>
    </row>
    <row r="13" spans="1:41" s="2108" customFormat="1" ht="13.5" customHeight="1">
      <c r="A13" s="1625" t="s">
        <v>1847</v>
      </c>
      <c r="B13" s="447" t="s">
        <v>479</v>
      </c>
      <c r="C13" s="448">
        <f ca="1">IF(B1="",'数据-取费表'!M16,INDIRECT("'数据-取费表'!M"&amp;$K$1)+INDIRECT("'数据-取费表'!t"&amp;$K$1))</f>
        <v>138818</v>
      </c>
      <c r="D13" s="449"/>
      <c r="E13" s="363"/>
      <c r="F13" s="450"/>
      <c r="G13" s="442"/>
      <c r="H13" s="445"/>
      <c r="I13" s="445"/>
      <c r="J13" s="445"/>
      <c r="K13" s="446"/>
    </row>
    <row r="14" spans="1:41" s="2108" customFormat="1" ht="13.5" customHeight="1">
      <c r="A14" s="1625" t="s">
        <v>1848</v>
      </c>
      <c r="B14" s="447" t="s">
        <v>480</v>
      </c>
      <c r="C14" s="53">
        <f ca="1">ROUND(C13*F14,0)</f>
        <v>4165</v>
      </c>
      <c r="D14" s="449"/>
      <c r="E14" s="363"/>
      <c r="F14" s="451">
        <f>'数据-取费表'!B33</f>
        <v>0.03</v>
      </c>
      <c r="G14" s="442" t="s">
        <v>503</v>
      </c>
      <c r="H14" s="445"/>
      <c r="I14" s="445"/>
      <c r="J14" s="445"/>
      <c r="K14" s="446"/>
    </row>
    <row r="15" spans="1:41" s="2108"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09" customFormat="1" ht="13.5" customHeight="1">
      <c r="A16" s="1625" t="s">
        <v>1850</v>
      </c>
      <c r="B16" s="447" t="s">
        <v>484</v>
      </c>
      <c r="C16" s="53">
        <f ca="1">ROUND(D16*E16/10000,0)</f>
        <v>7193</v>
      </c>
      <c r="D16" s="449">
        <f ca="1">IF(B1="",'数据-汇总表'!E3,INDIRECT("'数据-取费表'!K"&amp;$K$1)+INDIRECT("'数据-取费表'!S"&amp;$K$1))</f>
        <v>479506</v>
      </c>
      <c r="E16" s="53">
        <f>'数据-取费表'!B35</f>
        <v>150</v>
      </c>
      <c r="F16" s="451"/>
      <c r="G16" s="442"/>
      <c r="H16" s="445"/>
      <c r="I16" s="445"/>
      <c r="J16" s="445"/>
      <c r="K16" s="446"/>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1851</v>
      </c>
      <c r="B17" s="447" t="s">
        <v>485</v>
      </c>
      <c r="C17" s="452">
        <f ca="1">ROUND(C13*F17,0)</f>
        <v>2082</v>
      </c>
      <c r="D17" s="453"/>
      <c r="E17" s="452"/>
      <c r="F17" s="454">
        <f>'数据-取费表'!B36</f>
        <v>1.4999999999999999E-2</v>
      </c>
      <c r="G17" s="442" t="s">
        <v>503</v>
      </c>
      <c r="H17" s="455"/>
      <c r="I17" s="455"/>
      <c r="J17" s="455"/>
      <c r="K17" s="456"/>
    </row>
    <row r="18" spans="1:14" s="2111" customFormat="1" ht="13.5" customHeight="1">
      <c r="A18" s="1626" t="s">
        <v>1852</v>
      </c>
      <c r="B18" s="457" t="s">
        <v>487</v>
      </c>
      <c r="C18" s="458">
        <f ca="1">SUM(C13:C17)</f>
        <v>152258</v>
      </c>
      <c r="D18" s="459"/>
      <c r="E18" s="460"/>
      <c r="F18" s="460"/>
      <c r="G18" s="1320" t="s">
        <v>2434</v>
      </c>
      <c r="H18" s="445"/>
      <c r="I18" s="445"/>
      <c r="J18" s="445"/>
      <c r="K18" s="446"/>
    </row>
    <row r="19" spans="1:14" s="2111" customFormat="1" ht="13.5" customHeight="1">
      <c r="A19" s="1626" t="s">
        <v>1853</v>
      </c>
      <c r="B19" s="457" t="s">
        <v>493</v>
      </c>
      <c r="C19" s="458">
        <f ca="1">ROUND(C18*F19,0)</f>
        <v>3045</v>
      </c>
      <c r="D19" s="460"/>
      <c r="E19" s="460"/>
      <c r="F19" s="464">
        <f>'数据-取费表'!B37</f>
        <v>0.02</v>
      </c>
      <c r="G19" s="442" t="s">
        <v>504</v>
      </c>
      <c r="H19" s="445"/>
      <c r="I19" s="445"/>
      <c r="J19" s="445"/>
      <c r="K19" s="446"/>
      <c r="L19" s="2113"/>
      <c r="M19" s="2113"/>
      <c r="N19" s="2113"/>
    </row>
    <row r="20" spans="1:14" s="2111" customFormat="1" ht="13.5" customHeight="1">
      <c r="A20" s="1626" t="s">
        <v>1854</v>
      </c>
      <c r="B20" s="457" t="s">
        <v>505</v>
      </c>
      <c r="C20" s="3045">
        <f>F20</f>
        <v>0.03</v>
      </c>
      <c r="D20" s="467" t="s">
        <v>506</v>
      </c>
      <c r="E20" s="467"/>
      <c r="F20" s="484">
        <f>'数据-取费表'!B38</f>
        <v>0.03</v>
      </c>
      <c r="G20" s="1320" t="s">
        <v>507</v>
      </c>
      <c r="H20" s="445"/>
      <c r="I20" s="445"/>
      <c r="J20" s="445"/>
      <c r="K20" s="446"/>
      <c r="L20" s="2113"/>
      <c r="M20" s="2113"/>
      <c r="N20" s="2113"/>
    </row>
    <row r="21" spans="1:14" s="2113" customFormat="1" ht="13.5" customHeight="1">
      <c r="A21" s="1626" t="s">
        <v>1857</v>
      </c>
      <c r="B21" s="459" t="s">
        <v>494</v>
      </c>
      <c r="C21" s="468">
        <f ca="1">C22</f>
        <v>11196</v>
      </c>
      <c r="D21" s="465">
        <f ca="1">C23</f>
        <v>2.2000000000000001E-3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0" t="s">
        <v>2456</v>
      </c>
    </row>
    <row r="22" spans="1:14" s="2112" customFormat="1" ht="13.5" customHeight="1">
      <c r="A22" s="1625" t="s">
        <v>1847</v>
      </c>
      <c r="B22" s="1321" t="s">
        <v>2437</v>
      </c>
      <c r="C22" s="485">
        <f ca="1">ROUND(IF('数据-取费表'!B22&lt;=1,(C18+C19)*F21*'数据-取费表'!B20/2,(C18+C19)*(POWER((1+F21),'数据-取费表'!B20/2)-1)),0)</f>
        <v>11196</v>
      </c>
      <c r="D22" s="470"/>
      <c r="E22" s="471"/>
      <c r="F22" s="472"/>
      <c r="G22" s="2583" t="str">
        <f>IF('数据-取费表'!B22&lt;=1,"((1)+(2))×年利率×建设期÷2","((1)+(2))×((1+年利率)^(建设期÷2)-1)")</f>
        <v>((1)+(2))×((1+年利率)^(建设期÷2)-1)</v>
      </c>
      <c r="H22" s="455"/>
      <c r="I22" s="455"/>
      <c r="J22" s="455"/>
      <c r="K22" s="456"/>
    </row>
    <row r="23" spans="1:14" s="2112" customFormat="1" ht="13.5" customHeight="1">
      <c r="A23" s="1625" t="s">
        <v>1848</v>
      </c>
      <c r="B23" s="1321" t="s">
        <v>509</v>
      </c>
      <c r="C23" s="486">
        <f ca="1">ROUND(IF('数据-取费表'!B22&lt;=1,F20*F21*'数据-取费表'!B20/2,F20*(POWER((1+F21),'数据-取费表'!B20/2)-1)),4)</f>
        <v>2.2000000000000001E-3</v>
      </c>
      <c r="D23" s="470"/>
      <c r="E23" s="471"/>
      <c r="F23" s="472"/>
      <c r="G23" s="2583" t="str">
        <f>IF('数据-取费表'!B22&lt;=1,"销售费用率×年利率×建设期÷2","销售费用率×((1+年利率)^(建设期÷2)-1)")</f>
        <v>销售费用率×((1+年利率)^(建设期÷2)-1)</v>
      </c>
      <c r="H23" s="455"/>
      <c r="I23" s="455"/>
      <c r="J23" s="455"/>
      <c r="K23" s="456"/>
    </row>
    <row r="24" spans="1:14" s="2112" customFormat="1" ht="13.5" customHeight="1">
      <c r="A24" s="1626" t="s">
        <v>1858</v>
      </c>
      <c r="B24" s="3047" t="s">
        <v>2836</v>
      </c>
      <c r="C24" s="476">
        <f ca="1">C25</f>
        <v>29508</v>
      </c>
      <c r="D24" s="487">
        <f ca="1">C26</f>
        <v>5.7000000000000002E-3</v>
      </c>
      <c r="E24" s="467" t="s">
        <v>508</v>
      </c>
      <c r="F24" s="477">
        <f ca="1">IF(B1="",'数据-取费表'!Q16,INDIRECT("'数据-取费表'!q"&amp;$K$1))</f>
        <v>0.19</v>
      </c>
      <c r="G24" s="442"/>
      <c r="H24" s="445"/>
      <c r="I24" s="445"/>
      <c r="J24" s="445"/>
      <c r="K24" s="446"/>
    </row>
    <row r="25" spans="1:14" s="2112" customFormat="1" ht="13.5" customHeight="1">
      <c r="A25" s="1625" t="s">
        <v>1847</v>
      </c>
      <c r="B25" s="1321" t="s">
        <v>2438</v>
      </c>
      <c r="C25" s="488">
        <f ca="1">ROUND((C18+C19)*F24,0)</f>
        <v>29508</v>
      </c>
      <c r="D25" s="470"/>
      <c r="E25" s="471"/>
      <c r="F25" s="478"/>
      <c r="G25" s="1319" t="s">
        <v>2435</v>
      </c>
      <c r="H25" s="455"/>
      <c r="I25" s="455"/>
      <c r="J25" s="455"/>
      <c r="K25" s="456"/>
    </row>
    <row r="26" spans="1:14" s="2112" customFormat="1" ht="13.5" customHeight="1">
      <c r="A26" s="1625" t="s">
        <v>1848</v>
      </c>
      <c r="B26" s="1321" t="s">
        <v>510</v>
      </c>
      <c r="C26" s="489">
        <f ca="1">ROUND(F20*F24,4)</f>
        <v>5.7000000000000002E-3</v>
      </c>
      <c r="D26" s="470"/>
      <c r="E26" s="479"/>
      <c r="F26" s="478"/>
      <c r="G26" s="1319" t="s">
        <v>511</v>
      </c>
      <c r="H26" s="455"/>
      <c r="I26" s="455"/>
      <c r="J26" s="455"/>
      <c r="K26" s="456"/>
    </row>
    <row r="27" spans="1:14" s="2112" customFormat="1" ht="13.5" customHeight="1">
      <c r="A27" s="1629" t="s">
        <v>1866</v>
      </c>
      <c r="B27" s="457" t="s">
        <v>512</v>
      </c>
      <c r="C27" s="3046">
        <f>ROUND(F27/(1+'数据-取费表'!C42),4)</f>
        <v>5.33E-2</v>
      </c>
      <c r="D27" s="460" t="s">
        <v>2834</v>
      </c>
      <c r="E27" s="460"/>
      <c r="F27" s="464">
        <f>'数据-取费表'!B41</f>
        <v>5.6000000000000001E-2</v>
      </c>
      <c r="G27" s="1952" t="s">
        <v>2292</v>
      </c>
      <c r="H27" s="445"/>
      <c r="I27" s="445"/>
      <c r="J27" s="445"/>
      <c r="K27" s="446"/>
    </row>
    <row r="28" spans="1:14" s="2113" customFormat="1" ht="13.5" customHeight="1">
      <c r="A28" s="1629" t="s">
        <v>1867</v>
      </c>
      <c r="B28" s="474" t="s">
        <v>513</v>
      </c>
      <c r="C28" s="468">
        <f ca="1">ROUND((C18+C19+C21+C24)/(1-C20-D21-D24-C27),0)</f>
        <v>215677</v>
      </c>
      <c r="D28" s="475"/>
      <c r="E28" s="467"/>
      <c r="F28" s="469"/>
      <c r="G28" s="1320" t="s">
        <v>2436</v>
      </c>
      <c r="H28" s="445"/>
      <c r="I28" s="445"/>
      <c r="J28" s="445"/>
      <c r="K28" s="446"/>
    </row>
    <row r="29" spans="1:14" s="2113"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3" customFormat="1" ht="13.5" customHeight="1">
      <c r="A30" s="441">
        <v>2</v>
      </c>
      <c r="B30" s="474" t="s">
        <v>515</v>
      </c>
      <c r="C30" s="495">
        <f ca="1">ROUND(C28*C29,0)</f>
        <v>0</v>
      </c>
      <c r="D30" s="491"/>
      <c r="E30" s="496"/>
      <c r="F30" s="497"/>
      <c r="G30" s="1322" t="s">
        <v>516</v>
      </c>
      <c r="H30" s="494"/>
      <c r="I30" s="494"/>
      <c r="J30" s="445"/>
      <c r="K30" s="446"/>
    </row>
    <row r="31" spans="1:14" s="2118" customFormat="1" ht="13.5" customHeight="1">
      <c r="A31" s="2498" t="s">
        <v>1864</v>
      </c>
      <c r="B31" s="1323"/>
      <c r="C31" s="498">
        <f>ROUND(C6*F31/(1+'数据-取费表'!C42),0)</f>
        <v>0</v>
      </c>
      <c r="D31" s="1324"/>
      <c r="E31" s="1324"/>
      <c r="F31" s="499">
        <f>'数据-取费表'!B41</f>
        <v>5.6000000000000001E-2</v>
      </c>
      <c r="G31" s="1325"/>
      <c r="H31" s="1325"/>
      <c r="I31" s="1325"/>
      <c r="J31" s="1326"/>
      <c r="K31" s="1327"/>
    </row>
    <row r="32" spans="1:14" s="207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99"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K33" sqref="K33"/>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79086</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1649</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10592</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706</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6"/>
    </row>
    <row r="6" spans="1:30" ht="20.25">
      <c r="A6" s="510" t="s">
        <v>522</v>
      </c>
      <c r="B6" s="511"/>
      <c r="C6" s="3764" t="s">
        <v>523</v>
      </c>
      <c r="D6" s="3765"/>
      <c r="E6" s="3764" t="s">
        <v>524</v>
      </c>
      <c r="F6" s="3765"/>
      <c r="G6" s="3764" t="s">
        <v>525</v>
      </c>
      <c r="H6" s="3765"/>
      <c r="I6" s="3764" t="s">
        <v>526</v>
      </c>
      <c r="J6" s="3765"/>
      <c r="K6" s="512" t="s">
        <v>527</v>
      </c>
      <c r="L6" s="2125"/>
      <c r="M6" s="2124"/>
      <c r="N6" s="2124"/>
      <c r="O6" s="2126"/>
      <c r="P6" s="3766" t="s">
        <v>528</v>
      </c>
      <c r="Q6" s="3767"/>
      <c r="R6" s="3752" t="s">
        <v>524</v>
      </c>
      <c r="S6" s="3753"/>
      <c r="T6" s="3752" t="s">
        <v>525</v>
      </c>
      <c r="U6" s="3753"/>
      <c r="V6" s="3772" t="s">
        <v>526</v>
      </c>
      <c r="W6" s="3772"/>
      <c r="X6" s="1559"/>
      <c r="Y6" s="3752" t="s">
        <v>528</v>
      </c>
      <c r="Z6" s="3753"/>
      <c r="AA6" s="3747" t="s">
        <v>524</v>
      </c>
      <c r="AB6" s="3748" t="s">
        <v>525</v>
      </c>
      <c r="AC6" s="3747" t="s">
        <v>526</v>
      </c>
    </row>
    <row r="7" spans="1:30" ht="20.25">
      <c r="A7" s="513"/>
      <c r="B7" s="514"/>
      <c r="C7" s="3775" t="s">
        <v>2929</v>
      </c>
      <c r="D7" s="3776"/>
      <c r="E7" s="3775" t="str">
        <f>土地案例!A7</f>
        <v>XDG-2016-28号地块</v>
      </c>
      <c r="F7" s="3776"/>
      <c r="G7" s="3775" t="str">
        <f>土地案例!A19</f>
        <v>XDG-2017-49号地块</v>
      </c>
      <c r="H7" s="3776"/>
      <c r="I7" s="3775" t="str">
        <f>土地案例!A26</f>
        <v>XDG-2017-4号地块</v>
      </c>
      <c r="J7" s="3776"/>
      <c r="K7" s="512"/>
      <c r="L7" s="2125"/>
      <c r="M7" s="2124"/>
      <c r="N7" s="2124"/>
      <c r="O7" s="2126"/>
      <c r="P7" s="3768"/>
      <c r="Q7" s="3769"/>
      <c r="R7" s="3754"/>
      <c r="S7" s="3755"/>
      <c r="T7" s="3754"/>
      <c r="U7" s="3755"/>
      <c r="V7" s="3772"/>
      <c r="W7" s="3772"/>
      <c r="X7" s="1559"/>
      <c r="Y7" s="3754"/>
      <c r="Z7" s="3755"/>
      <c r="AA7" s="3748"/>
      <c r="AB7" s="3748"/>
      <c r="AC7" s="3748"/>
    </row>
    <row r="8" spans="1:30" ht="21" thickBot="1">
      <c r="A8" s="513"/>
      <c r="B8" s="514"/>
      <c r="C8" s="3777" t="s">
        <v>2933</v>
      </c>
      <c r="D8" s="3778"/>
      <c r="E8" s="3777" t="s">
        <v>2933</v>
      </c>
      <c r="F8" s="3778"/>
      <c r="G8" s="3773" t="s">
        <v>2933</v>
      </c>
      <c r="H8" s="3774"/>
      <c r="I8" s="3773" t="s">
        <v>2933</v>
      </c>
      <c r="J8" s="3774"/>
      <c r="K8" s="512" t="s">
        <v>529</v>
      </c>
      <c r="L8" s="2125"/>
      <c r="M8" s="2124"/>
      <c r="N8" s="2124"/>
      <c r="O8" s="2126"/>
      <c r="P8" s="3770"/>
      <c r="Q8" s="3771"/>
      <c r="R8" s="3754"/>
      <c r="S8" s="3755"/>
      <c r="T8" s="3756"/>
      <c r="U8" s="3757"/>
      <c r="V8" s="3772"/>
      <c r="W8" s="3772"/>
      <c r="X8" s="1559"/>
      <c r="Y8" s="3756"/>
      <c r="Z8" s="3757"/>
      <c r="AA8" s="3749"/>
      <c r="AB8" s="3749"/>
      <c r="AC8" s="3749"/>
    </row>
    <row r="9" spans="1:30" s="1213" customFormat="1" ht="21" thickBot="1">
      <c r="A9" s="2928"/>
      <c r="B9" s="2935" t="s">
        <v>530</v>
      </c>
      <c r="C9" s="2927">
        <f>'数据-取费表'!B2</f>
        <v>43271</v>
      </c>
      <c r="D9" s="518">
        <v>100</v>
      </c>
      <c r="E9" s="519" t="str">
        <f>土地案例!H7</f>
        <v>2017-06-05</v>
      </c>
      <c r="F9" s="520">
        <f>SUMIF(72:72,YEAR(E9)&amp;"-"&amp;INT((MONTH(E9)+2)/3),73:73)</f>
        <v>97.199999999999989</v>
      </c>
      <c r="G9" s="521" t="str">
        <f>土地案例!H19</f>
        <v>2018-03-06</v>
      </c>
      <c r="H9" s="518">
        <f>SUMIF(72:72,YEAR(G9)&amp;"-"&amp;INT((MONTH(G9)+2)/3),73:73)</f>
        <v>99.3</v>
      </c>
      <c r="I9" s="521" t="str">
        <f>土地案例!H26</f>
        <v>2017-08-18</v>
      </c>
      <c r="J9" s="518">
        <f>SUMIF(72:72,YEAR(I9)&amp;"-"&amp;INT((MONTH(I9)+2)/3),73:73)</f>
        <v>97.899999999999991</v>
      </c>
      <c r="K9" s="522"/>
      <c r="L9" s="2127"/>
      <c r="M9" s="2124"/>
      <c r="N9" s="2124"/>
      <c r="O9" s="2128"/>
      <c r="P9" s="3750" t="s">
        <v>531</v>
      </c>
      <c r="Q9" s="3759"/>
      <c r="R9" s="1560" t="s">
        <v>8</v>
      </c>
      <c r="S9" s="1561">
        <f t="shared" ref="S9:S17" si="0">F9</f>
        <v>97.199999999999989</v>
      </c>
      <c r="T9" s="1560" t="s">
        <v>8</v>
      </c>
      <c r="U9" s="1561">
        <f t="shared" ref="U9:U17" si="1">H9</f>
        <v>99.3</v>
      </c>
      <c r="V9" s="1560" t="s">
        <v>8</v>
      </c>
      <c r="W9" s="1561">
        <f t="shared" ref="W9:W17" si="2">J9</f>
        <v>97.899999999999991</v>
      </c>
      <c r="X9" s="1562"/>
      <c r="Y9" s="3750" t="s">
        <v>531</v>
      </c>
      <c r="Z9" s="3751"/>
      <c r="AA9" s="1563">
        <f>D9/F9</f>
        <v>1.0288065843621401</v>
      </c>
      <c r="AB9" s="1563">
        <f>D9/H9</f>
        <v>1.0070493454179255</v>
      </c>
      <c r="AC9" s="1563">
        <f>D9/J9</f>
        <v>1.021450459652707</v>
      </c>
    </row>
    <row r="10" spans="1:30" s="1213" customFormat="1" ht="21" thickBot="1">
      <c r="A10" s="2929"/>
      <c r="B10" s="2936" t="s">
        <v>532</v>
      </c>
      <c r="C10" s="853" t="s">
        <v>533</v>
      </c>
      <c r="D10" s="518">
        <v>100</v>
      </c>
      <c r="E10" s="523" t="s">
        <v>3285</v>
      </c>
      <c r="F10" s="520">
        <f>SUMIF(75:75,E10,76:76)-SUMIF(75:75,C10,76:76)+100</f>
        <v>100</v>
      </c>
      <c r="G10" s="523" t="s">
        <v>3285</v>
      </c>
      <c r="H10" s="518">
        <f>SUMIF(75:75,G10,76:76)-SUMIF(75:75,C10,76:76)+100</f>
        <v>100</v>
      </c>
      <c r="I10" s="523" t="s">
        <v>3285</v>
      </c>
      <c r="J10" s="518">
        <f>SUMIF(75:75,I10,76:76)-SUMIF(75:75,C10,76:76)+100</f>
        <v>100</v>
      </c>
      <c r="K10" s="522"/>
      <c r="L10" s="2127"/>
      <c r="M10" s="2124"/>
      <c r="N10" s="2124"/>
      <c r="O10" s="2128"/>
      <c r="P10" s="3750" t="s">
        <v>534</v>
      </c>
      <c r="Q10" s="3751"/>
      <c r="R10" s="1560" t="s">
        <v>8</v>
      </c>
      <c r="S10" s="1561">
        <f t="shared" si="0"/>
        <v>100</v>
      </c>
      <c r="T10" s="1560" t="s">
        <v>8</v>
      </c>
      <c r="U10" s="1561">
        <f t="shared" si="1"/>
        <v>100</v>
      </c>
      <c r="V10" s="1560" t="s">
        <v>8</v>
      </c>
      <c r="W10" s="1561">
        <f t="shared" si="2"/>
        <v>100</v>
      </c>
      <c r="X10" s="1562"/>
      <c r="Y10" s="3750" t="s">
        <v>534</v>
      </c>
      <c r="Z10" s="3751"/>
      <c r="AA10" s="1563">
        <f t="shared" ref="AA10:AA47" si="3">D10/F10</f>
        <v>1</v>
      </c>
      <c r="AB10" s="1563">
        <f t="shared" ref="AB10:AB47" si="4">D10/H10</f>
        <v>1</v>
      </c>
      <c r="AC10" s="1563">
        <f t="shared" ref="AC10:AC47" si="5">D10/J10</f>
        <v>1</v>
      </c>
    </row>
    <row r="11" spans="1:30" s="1213" customFormat="1" ht="20.25">
      <c r="A11" s="2930"/>
      <c r="B11" s="2937" t="s">
        <v>2760</v>
      </c>
      <c r="C11" s="3490" t="s">
        <v>3303</v>
      </c>
      <c r="D11" s="252">
        <v>100</v>
      </c>
      <c r="E11" s="3491" t="s">
        <v>3304</v>
      </c>
      <c r="F11" s="252">
        <f>SUMIF(77:77,E11,78:78)-SUMIF(77:77,C11,78:78)+100</f>
        <v>100</v>
      </c>
      <c r="G11" s="3491" t="s">
        <v>3303</v>
      </c>
      <c r="H11" s="252">
        <f>SUMIF(77:77,G11,78:78)-SUMIF(77:77,C11,78:78)+100</f>
        <v>100</v>
      </c>
      <c r="I11" s="3491" t="s">
        <v>3303</v>
      </c>
      <c r="J11" s="252">
        <f>SUMIF(77:77,I11,78:78)-SUMIF(77:77,C11,78:78)+100</f>
        <v>100</v>
      </c>
      <c r="K11" s="522"/>
      <c r="L11" s="2127"/>
      <c r="M11" s="2124"/>
      <c r="N11" s="2124"/>
      <c r="O11" s="2129"/>
      <c r="P11" s="3758" t="s">
        <v>536</v>
      </c>
      <c r="Q11" s="1144" t="str">
        <f t="shared" ref="Q11:Q17" si="6">B11</f>
        <v>用途</v>
      </c>
      <c r="R11" s="1560" t="s">
        <v>8</v>
      </c>
      <c r="S11" s="1561">
        <f t="shared" si="0"/>
        <v>100</v>
      </c>
      <c r="T11" s="1560" t="s">
        <v>8</v>
      </c>
      <c r="U11" s="1561">
        <f t="shared" si="1"/>
        <v>100</v>
      </c>
      <c r="V11" s="1560" t="s">
        <v>8</v>
      </c>
      <c r="W11" s="1561">
        <f t="shared" si="2"/>
        <v>100</v>
      </c>
      <c r="X11" s="1562"/>
      <c r="Y11" s="3715" t="s">
        <v>537</v>
      </c>
      <c r="Z11" s="1143" t="str">
        <f t="shared" ref="Z11:Z17" si="7">Q11</f>
        <v>用途</v>
      </c>
      <c r="AA11" s="1563">
        <f t="shared" si="3"/>
        <v>1</v>
      </c>
      <c r="AB11" s="1563">
        <f t="shared" si="4"/>
        <v>1</v>
      </c>
      <c r="AC11" s="1563">
        <f t="shared" si="5"/>
        <v>1</v>
      </c>
    </row>
    <row r="12" spans="1:30" s="1331" customFormat="1" ht="27">
      <c r="A12" s="2931"/>
      <c r="B12" s="2936" t="s">
        <v>2761</v>
      </c>
      <c r="C12" s="903" t="s">
        <v>3407</v>
      </c>
      <c r="D12" s="253">
        <v>100</v>
      </c>
      <c r="E12" s="527" t="s">
        <v>3408</v>
      </c>
      <c r="F12" s="253">
        <f>ROUND(100/'数据-取费表'!G16,0)</f>
        <v>104</v>
      </c>
      <c r="G12" s="528" t="s">
        <v>3408</v>
      </c>
      <c r="H12" s="253">
        <f>ROUND(100/'数据-取费表'!G16,0)</f>
        <v>104</v>
      </c>
      <c r="I12" s="528" t="s">
        <v>3409</v>
      </c>
      <c r="J12" s="253">
        <f>ROUND(100/'数据-取费表'!G16,0)</f>
        <v>104</v>
      </c>
      <c r="K12" s="529"/>
      <c r="L12" s="2130"/>
      <c r="M12" s="2124"/>
      <c r="N12" s="2124"/>
      <c r="O12" s="2131"/>
      <c r="P12" s="3758"/>
      <c r="Q12" s="1144" t="str">
        <f t="shared" si="6"/>
        <v>土地使用年限（年）</v>
      </c>
      <c r="R12" s="1560" t="s">
        <v>8</v>
      </c>
      <c r="S12" s="1561">
        <f t="shared" si="0"/>
        <v>104</v>
      </c>
      <c r="T12" s="1560" t="s">
        <v>8</v>
      </c>
      <c r="U12" s="1561">
        <f t="shared" si="1"/>
        <v>104</v>
      </c>
      <c r="V12" s="1560" t="s">
        <v>8</v>
      </c>
      <c r="W12" s="1561">
        <f t="shared" si="2"/>
        <v>104</v>
      </c>
      <c r="X12" s="1562"/>
      <c r="Y12" s="3715"/>
      <c r="Z12" s="1143" t="str">
        <f t="shared" si="7"/>
        <v>土地使用年限（年）</v>
      </c>
      <c r="AA12" s="1563">
        <f t="shared" si="3"/>
        <v>0.96153846153846156</v>
      </c>
      <c r="AB12" s="1563">
        <f t="shared" si="4"/>
        <v>0.96153846153846156</v>
      </c>
      <c r="AC12" s="1563">
        <f t="shared" si="5"/>
        <v>0.96153846153846156</v>
      </c>
    </row>
    <row r="13" spans="1:30" ht="20.25">
      <c r="A13" s="2932"/>
      <c r="B13" s="2936" t="s">
        <v>2762</v>
      </c>
      <c r="C13" s="3562">
        <f>'数据-汇总表'!I7</f>
        <v>6.34</v>
      </c>
      <c r="D13" s="253">
        <v>100</v>
      </c>
      <c r="E13" s="531">
        <f>土地案例!F7</f>
        <v>1.2</v>
      </c>
      <c r="F13" s="253">
        <f>LOOKUP(E13,82:82,83:83)-LOOKUP(C13,82:82,83:83)+100</f>
        <v>108</v>
      </c>
      <c r="G13" s="532">
        <f>土地案例!F19</f>
        <v>2</v>
      </c>
      <c r="H13" s="253">
        <f>LOOKUP(G13,82:82,83:83)-LOOKUP(C13,82:82,83:83)+100</f>
        <v>106</v>
      </c>
      <c r="I13" s="531">
        <f>土地案例!F26</f>
        <v>2.5</v>
      </c>
      <c r="J13" s="253">
        <f>LOOKUP(I13,82:82,83:83)-LOOKUP(C13,82:82,83:83)+100</f>
        <v>106</v>
      </c>
      <c r="K13" s="533">
        <v>2</v>
      </c>
      <c r="L13" s="2132"/>
      <c r="M13" s="2124"/>
      <c r="N13" s="2124"/>
      <c r="O13" s="2133"/>
      <c r="P13" s="3758"/>
      <c r="Q13" s="1144" t="str">
        <f t="shared" si="6"/>
        <v>容积率</v>
      </c>
      <c r="R13" s="1560" t="s">
        <v>8</v>
      </c>
      <c r="S13" s="1561">
        <f t="shared" si="0"/>
        <v>108</v>
      </c>
      <c r="T13" s="1560" t="s">
        <v>8</v>
      </c>
      <c r="U13" s="1561">
        <f t="shared" si="1"/>
        <v>106</v>
      </c>
      <c r="V13" s="1560" t="s">
        <v>8</v>
      </c>
      <c r="W13" s="1561">
        <f t="shared" si="2"/>
        <v>106</v>
      </c>
      <c r="X13" s="1562"/>
      <c r="Y13" s="3715"/>
      <c r="Z13" s="1143" t="str">
        <f t="shared" si="7"/>
        <v>容积率</v>
      </c>
      <c r="AA13" s="1563">
        <f t="shared" si="3"/>
        <v>0.92592592592592593</v>
      </c>
      <c r="AB13" s="1563">
        <f t="shared" si="4"/>
        <v>0.94339622641509435</v>
      </c>
      <c r="AC13" s="1563">
        <f t="shared" si="5"/>
        <v>0.94339622641509435</v>
      </c>
    </row>
    <row r="14" spans="1:30" s="1213" customFormat="1" ht="20.25">
      <c r="A14" s="2929"/>
      <c r="B14" s="2938" t="s">
        <v>2763</v>
      </c>
      <c r="C14" s="2925"/>
      <c r="D14" s="536">
        <v>100</v>
      </c>
      <c r="E14" s="1367"/>
      <c r="F14" s="253">
        <f>SUMIF(84:84,E14,85:85)-SUMIF(84:84,C14,85:85)+100</f>
        <v>100</v>
      </c>
      <c r="G14" s="528"/>
      <c r="H14" s="253">
        <f>SUMIF(84:84,G14,85:85)-SUMIF(84:84,C14,85:85)+100</f>
        <v>100</v>
      </c>
      <c r="I14" s="527"/>
      <c r="J14" s="253">
        <f>SUMIF(84:84,I14,85:85)-SUMIF(84:84,C14,85:85)+100</f>
        <v>100</v>
      </c>
      <c r="K14" s="529"/>
      <c r="L14" s="2127"/>
      <c r="M14" s="2124"/>
      <c r="N14" s="2124"/>
      <c r="O14" s="2129"/>
      <c r="P14" s="3758"/>
      <c r="Q14" s="1144" t="str">
        <f t="shared" si="6"/>
        <v>配建</v>
      </c>
      <c r="R14" s="1560" t="s">
        <v>8</v>
      </c>
      <c r="S14" s="1561">
        <f t="shared" si="0"/>
        <v>100</v>
      </c>
      <c r="T14" s="1560" t="s">
        <v>8</v>
      </c>
      <c r="U14" s="1561">
        <f t="shared" si="1"/>
        <v>100</v>
      </c>
      <c r="V14" s="1560" t="s">
        <v>8</v>
      </c>
      <c r="W14" s="1561">
        <f t="shared" si="2"/>
        <v>100</v>
      </c>
      <c r="X14" s="1562"/>
      <c r="Y14" s="3715"/>
      <c r="Z14" s="1143" t="str">
        <f t="shared" si="7"/>
        <v>配建</v>
      </c>
      <c r="AA14" s="1563">
        <f>D14/F14</f>
        <v>1</v>
      </c>
      <c r="AB14" s="1563">
        <f>D14/H14</f>
        <v>1</v>
      </c>
      <c r="AC14" s="1563">
        <f>D14/J14</f>
        <v>1</v>
      </c>
    </row>
    <row r="15" spans="1:30" ht="20.25">
      <c r="A15" s="2933"/>
      <c r="B15" s="2939">
        <v>111</v>
      </c>
      <c r="C15" s="905"/>
      <c r="D15" s="538">
        <v>100</v>
      </c>
      <c r="E15" s="539"/>
      <c r="F15" s="253">
        <f>SUMIF(86:86,E15,87:87)-SUMIF(86:86,C15,87:87)+100</f>
        <v>100</v>
      </c>
      <c r="G15" s="540"/>
      <c r="H15" s="538">
        <f>SUMIF(86:86,G15,87:87)-SUMIF(86:86,C15,87:87)+100</f>
        <v>100</v>
      </c>
      <c r="I15" s="540"/>
      <c r="J15" s="538">
        <f>SUMIF(86:86,I15,87:87)-SUMIF(86:86,C15,87:87)+100</f>
        <v>100</v>
      </c>
      <c r="K15" s="529"/>
      <c r="L15" s="2134"/>
      <c r="M15" s="2124"/>
      <c r="N15" s="2124"/>
      <c r="O15" s="2133"/>
      <c r="P15" s="3758"/>
      <c r="Q15" s="1144">
        <f t="shared" si="6"/>
        <v>111</v>
      </c>
      <c r="R15" s="1560" t="s">
        <v>8</v>
      </c>
      <c r="S15" s="1561">
        <f t="shared" si="0"/>
        <v>100</v>
      </c>
      <c r="T15" s="1560" t="s">
        <v>8</v>
      </c>
      <c r="U15" s="1561">
        <f t="shared" si="1"/>
        <v>100</v>
      </c>
      <c r="V15" s="1560" t="s">
        <v>8</v>
      </c>
      <c r="W15" s="1561">
        <f t="shared" si="2"/>
        <v>100</v>
      </c>
      <c r="X15" s="1562"/>
      <c r="Y15" s="3715"/>
      <c r="Z15" s="1143">
        <f t="shared" si="7"/>
        <v>111</v>
      </c>
      <c r="AA15" s="1563">
        <f>D15/F15</f>
        <v>1</v>
      </c>
      <c r="AB15" s="1563">
        <f>D15/H15</f>
        <v>1</v>
      </c>
      <c r="AC15" s="1563">
        <f>D15/J15</f>
        <v>1</v>
      </c>
    </row>
    <row r="16" spans="1:30" ht="21" thickBot="1">
      <c r="A16" s="2934"/>
      <c r="B16" s="2940">
        <v>111</v>
      </c>
      <c r="C16" s="908"/>
      <c r="D16" s="544">
        <v>100</v>
      </c>
      <c r="E16" s="539"/>
      <c r="F16" s="544">
        <f>SUMIF(88:88,E16,89:89)-SUMIF(88:88,C16,89:89)+100</f>
        <v>100</v>
      </c>
      <c r="G16" s="540"/>
      <c r="H16" s="544">
        <f>SUMIF(88:88,G16,89:89)-SUMIF(88:88,C16,89:89)+100</f>
        <v>100</v>
      </c>
      <c r="I16" s="540"/>
      <c r="J16" s="544">
        <f>SUMIF(88:88,I16,89:89)-SUMIF(88:88,C16,89:89)+100</f>
        <v>100</v>
      </c>
      <c r="K16" s="529"/>
      <c r="L16" s="2134"/>
      <c r="M16" s="2124"/>
      <c r="N16" s="2124"/>
      <c r="O16" s="2133"/>
      <c r="P16" s="3758"/>
      <c r="Q16" s="1144">
        <f t="shared" si="6"/>
        <v>111</v>
      </c>
      <c r="R16" s="1560" t="s">
        <v>8</v>
      </c>
      <c r="S16" s="1561">
        <f t="shared" si="0"/>
        <v>100</v>
      </c>
      <c r="T16" s="1560" t="s">
        <v>8</v>
      </c>
      <c r="U16" s="1561">
        <f t="shared" si="1"/>
        <v>100</v>
      </c>
      <c r="V16" s="1560" t="s">
        <v>8</v>
      </c>
      <c r="W16" s="1561">
        <f t="shared" si="2"/>
        <v>100</v>
      </c>
      <c r="X16" s="1562"/>
      <c r="Y16" s="3715"/>
      <c r="Z16" s="1143">
        <f t="shared" si="7"/>
        <v>111</v>
      </c>
      <c r="AA16" s="1563">
        <f>D16/F16</f>
        <v>1</v>
      </c>
      <c r="AB16" s="1563">
        <f>D16/H16</f>
        <v>1</v>
      </c>
      <c r="AC16" s="1563">
        <f>D16/J16</f>
        <v>1</v>
      </c>
    </row>
    <row r="17" spans="1:29" ht="99.75" hidden="1">
      <c r="A17" s="2926" t="s">
        <v>2758</v>
      </c>
      <c r="B17" s="3544" t="s">
        <v>295</v>
      </c>
      <c r="C17" s="546" t="str">
        <f>估价对象房地状况!C15</f>
        <v>估价对象位于太湖商圈，周边办公楼项目较多（无锡金融中心等），入驻率较高，办公集聚程度较好</v>
      </c>
      <c r="D17" s="549">
        <v>100</v>
      </c>
      <c r="E17" s="3523" t="s">
        <v>3427</v>
      </c>
      <c r="F17" s="547">
        <f>SUMIF(90:90,E18,91:91)-SUMIF(90:90,C18,91:91)+100</f>
        <v>100</v>
      </c>
      <c r="G17" s="3522" t="s">
        <v>3428</v>
      </c>
      <c r="H17" s="547">
        <f>SUMIF(90:90,G18,91:91)-SUMIF(90:90,C18,91:91)+100</f>
        <v>100</v>
      </c>
      <c r="I17" s="3523" t="s">
        <v>3429</v>
      </c>
      <c r="J17" s="547">
        <f>SUMIF(90:90,I18,91:91)-SUMIF(90:90,C18,91:91)+100</f>
        <v>100</v>
      </c>
      <c r="K17" s="533">
        <v>2</v>
      </c>
      <c r="L17" s="2134"/>
      <c r="M17" s="2124"/>
      <c r="N17" s="2124"/>
      <c r="O17" s="2133"/>
      <c r="P17" s="3760" t="s">
        <v>541</v>
      </c>
      <c r="Q17" s="1564" t="str">
        <f t="shared" si="6"/>
        <v>居住社区成熟度</v>
      </c>
      <c r="R17" s="1565" t="s">
        <v>8</v>
      </c>
      <c r="S17" s="1566">
        <f t="shared" si="0"/>
        <v>100</v>
      </c>
      <c r="T17" s="1565" t="s">
        <v>8</v>
      </c>
      <c r="U17" s="1566">
        <f t="shared" si="1"/>
        <v>100</v>
      </c>
      <c r="V17" s="1565" t="s">
        <v>8</v>
      </c>
      <c r="W17" s="1566">
        <f t="shared" si="2"/>
        <v>100</v>
      </c>
      <c r="X17" s="1559"/>
      <c r="Y17" s="3760" t="s">
        <v>541</v>
      </c>
      <c r="Z17" s="1567" t="str">
        <f t="shared" si="7"/>
        <v>居住社区成熟度</v>
      </c>
      <c r="AA17" s="1568">
        <f t="shared" si="3"/>
        <v>1</v>
      </c>
      <c r="AB17" s="1568">
        <f t="shared" si="4"/>
        <v>1</v>
      </c>
      <c r="AC17" s="1568">
        <f t="shared" si="5"/>
        <v>1</v>
      </c>
    </row>
    <row r="18" spans="1:29" ht="20.25" hidden="1">
      <c r="A18" s="530"/>
      <c r="B18" s="551"/>
      <c r="C18" s="3492" t="s">
        <v>3305</v>
      </c>
      <c r="D18" s="555"/>
      <c r="E18" s="3493" t="s">
        <v>3305</v>
      </c>
      <c r="F18" s="553"/>
      <c r="G18" s="3494" t="s">
        <v>3306</v>
      </c>
      <c r="H18" s="557"/>
      <c r="I18" s="3493" t="s">
        <v>3288</v>
      </c>
      <c r="J18" s="553"/>
      <c r="K18" s="529"/>
      <c r="L18" s="2134"/>
      <c r="M18" s="2124"/>
      <c r="N18" s="2124"/>
      <c r="O18" s="2133"/>
      <c r="P18" s="3761"/>
      <c r="Q18" s="1564"/>
      <c r="R18" s="1565"/>
      <c r="S18" s="1566"/>
      <c r="T18" s="1565"/>
      <c r="U18" s="1566"/>
      <c r="V18" s="1565"/>
      <c r="W18" s="1566"/>
      <c r="X18" s="1559"/>
      <c r="Y18" s="3761"/>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7" t="s">
        <v>3432</v>
      </c>
      <c r="F19" s="557">
        <f>SUMIF(92:92,E20,93:93)-SUMIF(92:92,C20,93:93)+100</f>
        <v>98</v>
      </c>
      <c r="G19" s="3526" t="s">
        <v>3425</v>
      </c>
      <c r="H19" s="563">
        <f>SUMIF(92:92,G20,93:93)-SUMIF(92:92,C20,93:93)+100</f>
        <v>100</v>
      </c>
      <c r="I19" s="3527" t="s">
        <v>3432</v>
      </c>
      <c r="J19" s="563">
        <f>SUMIF(92:92,I20,93:93)-SUMIF(92:92,C20,93:93)+100</f>
        <v>98</v>
      </c>
      <c r="K19" s="533">
        <v>2</v>
      </c>
      <c r="L19" s="2134"/>
      <c r="M19" s="2124"/>
      <c r="N19" s="2124"/>
      <c r="O19" s="2133"/>
      <c r="P19" s="3761"/>
      <c r="Q19" s="1564" t="str">
        <f>B19</f>
        <v>商业繁华度</v>
      </c>
      <c r="R19" s="1565" t="s">
        <v>8</v>
      </c>
      <c r="S19" s="1566">
        <f>F19</f>
        <v>98</v>
      </c>
      <c r="T19" s="1565" t="s">
        <v>8</v>
      </c>
      <c r="U19" s="1566">
        <f>H19</f>
        <v>100</v>
      </c>
      <c r="V19" s="1565" t="s">
        <v>8</v>
      </c>
      <c r="W19" s="1566">
        <f>J19</f>
        <v>98</v>
      </c>
      <c r="X19" s="1559"/>
      <c r="Y19" s="3761"/>
      <c r="Z19" s="1567" t="str">
        <f>Q19</f>
        <v>商业繁华度</v>
      </c>
      <c r="AA19" s="1568">
        <f t="shared" si="3"/>
        <v>1.0204081632653061</v>
      </c>
      <c r="AB19" s="1568">
        <f t="shared" si="4"/>
        <v>1</v>
      </c>
      <c r="AC19" s="1568">
        <f t="shared" si="5"/>
        <v>1.0204081632653061</v>
      </c>
    </row>
    <row r="20" spans="1:29" ht="20.25">
      <c r="A20" s="530"/>
      <c r="B20" s="564"/>
      <c r="C20" s="3500" t="s">
        <v>3305</v>
      </c>
      <c r="D20" s="561"/>
      <c r="E20" s="566" t="s">
        <v>3287</v>
      </c>
      <c r="F20" s="557"/>
      <c r="G20" s="565" t="s">
        <v>3288</v>
      </c>
      <c r="H20" s="553"/>
      <c r="I20" s="566" t="s">
        <v>3287</v>
      </c>
      <c r="J20" s="553"/>
      <c r="K20" s="529"/>
      <c r="L20" s="2134"/>
      <c r="M20" s="2124"/>
      <c r="N20" s="2124"/>
      <c r="O20" s="2133"/>
      <c r="P20" s="3761"/>
      <c r="Q20" s="1564"/>
      <c r="R20" s="1565"/>
      <c r="S20" s="1566"/>
      <c r="T20" s="1565"/>
      <c r="U20" s="1566"/>
      <c r="V20" s="1565"/>
      <c r="W20" s="1566"/>
      <c r="X20" s="1559"/>
      <c r="Y20" s="3761"/>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5" t="s">
        <v>3433</v>
      </c>
      <c r="F21" s="563">
        <f>SUMIF(94:94,E22,95:95)-SUMIF(94:94,C22,95:95)+100</f>
        <v>100</v>
      </c>
      <c r="G21" s="3524" t="s">
        <v>3426</v>
      </c>
      <c r="H21" s="557">
        <f>SUMIF(94:94,G22,95:95)-SUMIF(94:94,C22,95:95)+100</f>
        <v>100</v>
      </c>
      <c r="I21" s="3525" t="s">
        <v>3472</v>
      </c>
      <c r="J21" s="557">
        <f>SUMIF(94:94,I22,95:95)-SUMIF(94:94,C22,95:95)+100</f>
        <v>100</v>
      </c>
      <c r="K21" s="533">
        <v>2</v>
      </c>
      <c r="L21" s="2134"/>
      <c r="M21" s="2124"/>
      <c r="N21" s="2124"/>
      <c r="O21" s="2133"/>
      <c r="P21" s="3761"/>
      <c r="Q21" s="1564" t="str">
        <f>B21</f>
        <v>办公集聚程度</v>
      </c>
      <c r="R21" s="1565" t="s">
        <v>8</v>
      </c>
      <c r="S21" s="1566">
        <f>F21</f>
        <v>100</v>
      </c>
      <c r="T21" s="1565" t="s">
        <v>8</v>
      </c>
      <c r="U21" s="1566">
        <f>H21</f>
        <v>100</v>
      </c>
      <c r="V21" s="1565" t="s">
        <v>8</v>
      </c>
      <c r="W21" s="1566">
        <f>J21</f>
        <v>100</v>
      </c>
      <c r="X21" s="1559"/>
      <c r="Y21" s="3761"/>
      <c r="Z21" s="1567" t="str">
        <f>Q21</f>
        <v>办公集聚程度</v>
      </c>
      <c r="AA21" s="1568">
        <f t="shared" si="3"/>
        <v>1</v>
      </c>
      <c r="AB21" s="1568">
        <f t="shared" si="4"/>
        <v>1</v>
      </c>
      <c r="AC21" s="1568">
        <f t="shared" si="5"/>
        <v>1</v>
      </c>
    </row>
    <row r="22" spans="1:29" ht="20.25">
      <c r="A22" s="530"/>
      <c r="B22" s="564"/>
      <c r="C22" s="3492" t="s">
        <v>3305</v>
      </c>
      <c r="D22" s="555"/>
      <c r="E22" s="3493" t="s">
        <v>3305</v>
      </c>
      <c r="F22" s="553"/>
      <c r="G22" s="3494" t="s">
        <v>3305</v>
      </c>
      <c r="H22" s="553"/>
      <c r="I22" s="3493" t="s">
        <v>3305</v>
      </c>
      <c r="J22" s="553"/>
      <c r="K22" s="529"/>
      <c r="L22" s="2134"/>
      <c r="M22" s="2124"/>
      <c r="N22" s="2124"/>
      <c r="O22" s="2133"/>
      <c r="P22" s="3761"/>
      <c r="Q22" s="1564"/>
      <c r="R22" s="1565"/>
      <c r="S22" s="1566"/>
      <c r="T22" s="1565"/>
      <c r="U22" s="1566"/>
      <c r="V22" s="1565"/>
      <c r="W22" s="1566"/>
      <c r="X22" s="1559"/>
      <c r="Y22" s="3761"/>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3434</v>
      </c>
      <c r="F23" s="563">
        <f>SUMIF(96:96,E24,97:97)-SUMIF(96:96,C24,97:97)+100</f>
        <v>100</v>
      </c>
      <c r="G23" s="560" t="s">
        <v>3435</v>
      </c>
      <c r="H23" s="557">
        <f>SUMIF(96:96,G24,97:97)-SUMIF(96:96,C24,97:97)+100</f>
        <v>100</v>
      </c>
      <c r="I23" s="562" t="s">
        <v>3436</v>
      </c>
      <c r="J23" s="557">
        <f>SUMIF(96:96,I24,97:97)-SUMIF(96:96,C24,97:97)+100</f>
        <v>100</v>
      </c>
      <c r="K23" s="533">
        <v>2</v>
      </c>
      <c r="L23" s="2134"/>
      <c r="M23" s="2124"/>
      <c r="N23" s="2124"/>
      <c r="O23" s="2133"/>
      <c r="P23" s="3761"/>
      <c r="Q23" s="1564" t="str">
        <f>B23</f>
        <v>交通便捷度</v>
      </c>
      <c r="R23" s="1565" t="s">
        <v>8</v>
      </c>
      <c r="S23" s="1566">
        <f>F23</f>
        <v>100</v>
      </c>
      <c r="T23" s="1565" t="s">
        <v>8</v>
      </c>
      <c r="U23" s="1566">
        <f>H23</f>
        <v>100</v>
      </c>
      <c r="V23" s="1565" t="s">
        <v>8</v>
      </c>
      <c r="W23" s="1566">
        <f>J23</f>
        <v>100</v>
      </c>
      <c r="X23" s="1559"/>
      <c r="Y23" s="3761"/>
      <c r="Z23" s="1567" t="str">
        <f>Q23</f>
        <v>交通便捷度</v>
      </c>
      <c r="AA23" s="1568">
        <f t="shared" si="3"/>
        <v>1</v>
      </c>
      <c r="AB23" s="1568">
        <f t="shared" si="4"/>
        <v>1</v>
      </c>
      <c r="AC23" s="1568">
        <f t="shared" si="5"/>
        <v>1</v>
      </c>
    </row>
    <row r="24" spans="1:29" ht="20.25">
      <c r="A24" s="530"/>
      <c r="B24" s="575"/>
      <c r="C24" s="3492" t="s">
        <v>3305</v>
      </c>
      <c r="D24" s="555"/>
      <c r="E24" s="3493" t="s">
        <v>3305</v>
      </c>
      <c r="F24" s="553"/>
      <c r="G24" s="3494" t="s">
        <v>3305</v>
      </c>
      <c r="H24" s="553"/>
      <c r="I24" s="3493" t="s">
        <v>3305</v>
      </c>
      <c r="J24" s="553"/>
      <c r="K24" s="529"/>
      <c r="L24" s="2134"/>
      <c r="M24" s="2124"/>
      <c r="N24" s="2124"/>
      <c r="O24" s="2133"/>
      <c r="P24" s="3761"/>
      <c r="Q24" s="1564"/>
      <c r="R24" s="1565"/>
      <c r="S24" s="1566"/>
      <c r="T24" s="1565"/>
      <c r="U24" s="1566"/>
      <c r="V24" s="1565"/>
      <c r="W24" s="1566"/>
      <c r="X24" s="1559"/>
      <c r="Y24" s="3761"/>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4"/>
      <c r="M25" s="2124"/>
      <c r="N25" s="2124"/>
      <c r="O25" s="2133"/>
      <c r="P25" s="3761"/>
      <c r="Q25" s="1564" t="str">
        <f t="shared" ref="Q25:Q39" si="8">B25</f>
        <v>区域土地利用方向</v>
      </c>
      <c r="R25" s="1565" t="s">
        <v>8</v>
      </c>
      <c r="S25" s="1566">
        <f>F25</f>
        <v>100</v>
      </c>
      <c r="T25" s="1565" t="s">
        <v>8</v>
      </c>
      <c r="U25" s="1566">
        <f>H25</f>
        <v>100</v>
      </c>
      <c r="V25" s="1565" t="s">
        <v>8</v>
      </c>
      <c r="W25" s="1566">
        <f>J25</f>
        <v>100</v>
      </c>
      <c r="X25" s="1559"/>
      <c r="Y25" s="3761"/>
      <c r="Z25" s="1567" t="str">
        <f>Q25</f>
        <v>区域土地利用方向</v>
      </c>
      <c r="AA25" s="1568">
        <f t="shared" si="3"/>
        <v>1</v>
      </c>
      <c r="AB25" s="1568">
        <f t="shared" si="4"/>
        <v>1</v>
      </c>
      <c r="AC25" s="1568">
        <f t="shared" si="5"/>
        <v>1</v>
      </c>
    </row>
    <row r="26" spans="1:29" ht="20.25">
      <c r="A26" s="513"/>
      <c r="B26" s="1000"/>
      <c r="C26" s="3492" t="s">
        <v>3305</v>
      </c>
      <c r="D26" s="555"/>
      <c r="E26" s="3493" t="s">
        <v>3305</v>
      </c>
      <c r="F26" s="553"/>
      <c r="G26" s="3494" t="s">
        <v>3305</v>
      </c>
      <c r="H26" s="553"/>
      <c r="I26" s="3493" t="s">
        <v>3305</v>
      </c>
      <c r="J26" s="553"/>
      <c r="K26" s="529"/>
      <c r="L26" s="2134"/>
      <c r="M26" s="2124"/>
      <c r="N26" s="2124"/>
      <c r="O26" s="2133"/>
      <c r="P26" s="3761"/>
      <c r="Q26" s="1564"/>
      <c r="R26" s="1565"/>
      <c r="S26" s="1566"/>
      <c r="T26" s="1565"/>
      <c r="U26" s="1566"/>
      <c r="V26" s="1565"/>
      <c r="W26" s="1566"/>
      <c r="X26" s="1559"/>
      <c r="Y26" s="3761"/>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7" t="s">
        <v>3437</v>
      </c>
      <c r="F27" s="557">
        <f>SUMIF(100:100,E28,101:101)-SUMIF(100:100,C28,101:101)+100</f>
        <v>100</v>
      </c>
      <c r="G27" s="3526" t="s">
        <v>3438</v>
      </c>
      <c r="H27" s="557">
        <f>SUMIF(100:100,G28,101:101)-SUMIF(100:100,C28,101:101)+100</f>
        <v>100</v>
      </c>
      <c r="I27" s="3527" t="s">
        <v>3439</v>
      </c>
      <c r="J27" s="557">
        <f>SUMIF(100:100,I28,101:101)-SUMIF(100:100,C28,101:101)+100</f>
        <v>100</v>
      </c>
      <c r="K27" s="533">
        <v>2</v>
      </c>
      <c r="L27" s="2134"/>
      <c r="M27" s="2124"/>
      <c r="N27" s="2124"/>
      <c r="O27" s="2133"/>
      <c r="P27" s="3761"/>
      <c r="Q27" s="1564" t="str">
        <f t="shared" si="8"/>
        <v>自然及人文环境状况</v>
      </c>
      <c r="R27" s="1565" t="s">
        <v>8</v>
      </c>
      <c r="S27" s="1566">
        <f>F27</f>
        <v>100</v>
      </c>
      <c r="T27" s="1565" t="s">
        <v>8</v>
      </c>
      <c r="U27" s="1566">
        <f>H27</f>
        <v>100</v>
      </c>
      <c r="V27" s="1565" t="s">
        <v>8</v>
      </c>
      <c r="W27" s="1566">
        <f>J27</f>
        <v>100</v>
      </c>
      <c r="X27" s="1559"/>
      <c r="Y27" s="3761"/>
      <c r="Z27" s="1567" t="str">
        <f>Q27</f>
        <v>自然及人文环境状况</v>
      </c>
      <c r="AA27" s="1568">
        <f t="shared" si="3"/>
        <v>1</v>
      </c>
      <c r="AB27" s="1568">
        <f t="shared" si="4"/>
        <v>1</v>
      </c>
      <c r="AC27" s="1568">
        <f t="shared" si="5"/>
        <v>1</v>
      </c>
    </row>
    <row r="28" spans="1:29" ht="20.25">
      <c r="A28" s="513"/>
      <c r="B28" s="564"/>
      <c r="C28" s="3492" t="s">
        <v>3287</v>
      </c>
      <c r="D28" s="555"/>
      <c r="E28" s="3499" t="s">
        <v>3311</v>
      </c>
      <c r="F28" s="553"/>
      <c r="G28" s="3492" t="s">
        <v>3287</v>
      </c>
      <c r="H28" s="553"/>
      <c r="I28" s="3499" t="s">
        <v>3287</v>
      </c>
      <c r="J28" s="553"/>
      <c r="K28" s="529"/>
      <c r="L28" s="2134"/>
      <c r="M28" s="2124"/>
      <c r="N28" s="2124"/>
      <c r="O28" s="2133"/>
      <c r="P28" s="3761"/>
      <c r="Q28" s="1564"/>
      <c r="R28" s="1565"/>
      <c r="S28" s="1566"/>
      <c r="T28" s="1565"/>
      <c r="U28" s="1566"/>
      <c r="V28" s="1565"/>
      <c r="W28" s="1566"/>
      <c r="X28" s="1559"/>
      <c r="Y28" s="3761"/>
      <c r="Z28" s="1567"/>
      <c r="AA28" s="1568">
        <v>1</v>
      </c>
      <c r="AB28" s="1568">
        <v>1</v>
      </c>
      <c r="AC28" s="1568">
        <v>1</v>
      </c>
    </row>
    <row r="29" spans="1:29" s="1213" customFormat="1" ht="99.75">
      <c r="A29" s="574"/>
      <c r="B29" s="2607" t="s">
        <v>2552</v>
      </c>
      <c r="C29" s="570" t="str">
        <f>估价对象房地状况!C21</f>
        <v>估价对象所在区域内有农业银行、无锡市第二中医医院、无锡金桥双语实验学校，公共配套设施水平较好</v>
      </c>
      <c r="D29" s="561">
        <v>100</v>
      </c>
      <c r="E29" s="3527" t="s">
        <v>3440</v>
      </c>
      <c r="F29" s="557">
        <f>SUMIF(102:102,E30,103:103)-SUMIF(102:102,C30,103:103)+100</f>
        <v>100</v>
      </c>
      <c r="G29" s="3526" t="s">
        <v>3441</v>
      </c>
      <c r="H29" s="557">
        <f>SUMIF(102:102,G30,103:103)-SUMIF(102:102,C30,103:103)+100</f>
        <v>100</v>
      </c>
      <c r="I29" s="3527" t="s">
        <v>3442</v>
      </c>
      <c r="J29" s="557">
        <f>SUMIF(102:102,I30,103:103)-SUMIF(102:102,C30,103:103)+100</f>
        <v>100</v>
      </c>
      <c r="K29" s="533">
        <v>2</v>
      </c>
      <c r="L29" s="2127"/>
      <c r="M29" s="2124"/>
      <c r="N29" s="2124"/>
      <c r="O29" s="2129"/>
      <c r="P29" s="3761"/>
      <c r="Q29" s="1144" t="str">
        <f t="shared" si="8"/>
        <v>公共配套设施</v>
      </c>
      <c r="R29" s="1560" t="s">
        <v>8</v>
      </c>
      <c r="S29" s="1561">
        <f>F29</f>
        <v>100</v>
      </c>
      <c r="T29" s="1560" t="s">
        <v>8</v>
      </c>
      <c r="U29" s="1561">
        <f>H29</f>
        <v>100</v>
      </c>
      <c r="V29" s="1560" t="s">
        <v>8</v>
      </c>
      <c r="W29" s="1561">
        <f>J29</f>
        <v>100</v>
      </c>
      <c r="X29" s="1562"/>
      <c r="Y29" s="3761"/>
      <c r="Z29" s="1143" t="str">
        <f>Q29</f>
        <v>公共配套设施</v>
      </c>
      <c r="AA29" s="1568">
        <f>D29/F29</f>
        <v>1</v>
      </c>
      <c r="AB29" s="1568">
        <f>D29/H29</f>
        <v>1</v>
      </c>
      <c r="AC29" s="1568">
        <f>D29/J29</f>
        <v>1</v>
      </c>
    </row>
    <row r="30" spans="1:29" s="1213" customFormat="1" ht="20.25">
      <c r="A30" s="574"/>
      <c r="B30" s="564"/>
      <c r="C30" s="3497" t="s">
        <v>3305</v>
      </c>
      <c r="D30" s="555"/>
      <c r="E30" s="3499" t="s">
        <v>3305</v>
      </c>
      <c r="F30" s="553"/>
      <c r="G30" s="3492" t="s">
        <v>3306</v>
      </c>
      <c r="H30" s="553"/>
      <c r="I30" s="3499" t="s">
        <v>3305</v>
      </c>
      <c r="J30" s="553"/>
      <c r="K30" s="529"/>
      <c r="L30" s="2127"/>
      <c r="M30" s="2124"/>
      <c r="N30" s="2124"/>
      <c r="O30" s="2129"/>
      <c r="P30" s="3761"/>
      <c r="Q30" s="1144"/>
      <c r="R30" s="1560"/>
      <c r="S30" s="1561"/>
      <c r="T30" s="1560"/>
      <c r="U30" s="1561"/>
      <c r="V30" s="1560"/>
      <c r="W30" s="1561"/>
      <c r="X30" s="1562"/>
      <c r="Y30" s="3761"/>
      <c r="Z30" s="1143"/>
      <c r="AA30" s="1568">
        <v>1</v>
      </c>
      <c r="AB30" s="1568">
        <v>1</v>
      </c>
      <c r="AC30" s="1568">
        <v>1</v>
      </c>
    </row>
    <row r="31" spans="1:29" s="1213" customFormat="1" ht="42.75">
      <c r="A31" s="574"/>
      <c r="B31" s="2607"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7"/>
      <c r="M31" s="2124"/>
      <c r="N31" s="2124"/>
      <c r="O31" s="2129"/>
      <c r="P31" s="3761"/>
      <c r="Q31" s="2594" t="str">
        <f t="shared" ref="Q31" si="9">B31</f>
        <v>基础设施水平</v>
      </c>
      <c r="R31" s="1560" t="s">
        <v>8</v>
      </c>
      <c r="S31" s="1561">
        <f>F31</f>
        <v>100</v>
      </c>
      <c r="T31" s="1560" t="s">
        <v>8</v>
      </c>
      <c r="U31" s="1561">
        <f>H31</f>
        <v>100</v>
      </c>
      <c r="V31" s="1560" t="s">
        <v>8</v>
      </c>
      <c r="W31" s="1561">
        <f>J31</f>
        <v>100</v>
      </c>
      <c r="X31" s="1562"/>
      <c r="Y31" s="3761"/>
      <c r="Z31" s="2591" t="str">
        <f>Q31</f>
        <v>基础设施水平</v>
      </c>
      <c r="AA31" s="1568">
        <f>D31/F31</f>
        <v>1</v>
      </c>
      <c r="AB31" s="1568">
        <f>D31/H31</f>
        <v>1</v>
      </c>
      <c r="AC31" s="1568">
        <f>D31/J31</f>
        <v>1</v>
      </c>
    </row>
    <row r="32" spans="1:29" s="1213" customFormat="1" ht="20.25">
      <c r="A32" s="574"/>
      <c r="B32" s="564"/>
      <c r="C32" s="3497" t="s">
        <v>3310</v>
      </c>
      <c r="D32" s="555"/>
      <c r="E32" s="3498" t="s">
        <v>3310</v>
      </c>
      <c r="F32" s="553"/>
      <c r="G32" s="3497" t="s">
        <v>3310</v>
      </c>
      <c r="H32" s="553"/>
      <c r="I32" s="3497" t="s">
        <v>3310</v>
      </c>
      <c r="J32" s="553"/>
      <c r="K32" s="529"/>
      <c r="L32" s="2127"/>
      <c r="M32" s="2124"/>
      <c r="N32" s="2124"/>
      <c r="O32" s="2129"/>
      <c r="P32" s="3761"/>
      <c r="Q32" s="2594"/>
      <c r="R32" s="1560"/>
      <c r="S32" s="1561"/>
      <c r="T32" s="1560"/>
      <c r="U32" s="1561"/>
      <c r="V32" s="1560"/>
      <c r="W32" s="1561"/>
      <c r="X32" s="1562"/>
      <c r="Y32" s="3761"/>
      <c r="Z32" s="2591"/>
      <c r="AA32" s="1568">
        <v>1</v>
      </c>
      <c r="AB32" s="1568">
        <v>1</v>
      </c>
      <c r="AC32" s="1568">
        <v>1</v>
      </c>
    </row>
    <row r="33" spans="1:29" ht="20.25">
      <c r="A33" s="530"/>
      <c r="B33" s="564" t="s">
        <v>548</v>
      </c>
      <c r="C33" s="577" t="s">
        <v>3296</v>
      </c>
      <c r="D33" s="572">
        <v>100</v>
      </c>
      <c r="E33" s="580" t="s">
        <v>3297</v>
      </c>
      <c r="F33" s="538">
        <f>SUMIF(106:106,E33,107:107)-SUMIF(106:106,C33,107:107)+100</f>
        <v>98</v>
      </c>
      <c r="G33" s="577" t="s">
        <v>3297</v>
      </c>
      <c r="H33" s="538">
        <f>SUMIF(106:106,G33,107:107)-SUMIF(106:106,C33,107:107)+100</f>
        <v>98</v>
      </c>
      <c r="I33" s="577" t="s">
        <v>3297</v>
      </c>
      <c r="J33" s="538">
        <f>SUMIF(106:106,I33,107:107)-SUMIF(106:106,C33,107:107)+100</f>
        <v>98</v>
      </c>
      <c r="K33" s="533">
        <v>2</v>
      </c>
      <c r="L33" s="2134"/>
      <c r="M33" s="2124"/>
      <c r="N33" s="2124"/>
      <c r="O33" s="2133"/>
      <c r="P33" s="3761"/>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61"/>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4"/>
      <c r="M34" s="2124"/>
      <c r="N34" s="2124"/>
      <c r="O34" s="2133"/>
      <c r="P34" s="3761"/>
      <c r="Q34" s="1564" t="str">
        <f t="shared" si="8"/>
        <v>毗邻道路的类型与等级</v>
      </c>
      <c r="R34" s="1565" t="s">
        <v>8</v>
      </c>
      <c r="S34" s="1566">
        <f t="shared" si="10"/>
        <v>98</v>
      </c>
      <c r="T34" s="1565" t="s">
        <v>8</v>
      </c>
      <c r="U34" s="1566">
        <f t="shared" si="11"/>
        <v>100</v>
      </c>
      <c r="V34" s="1565" t="s">
        <v>8</v>
      </c>
      <c r="W34" s="1566">
        <f t="shared" si="12"/>
        <v>102</v>
      </c>
      <c r="X34" s="1559"/>
      <c r="Y34" s="3761"/>
      <c r="Z34" s="1567" t="str">
        <f t="shared" si="13"/>
        <v>毗邻道路的类型与等级</v>
      </c>
      <c r="AA34" s="1568">
        <f t="shared" si="3"/>
        <v>1.0204081632653061</v>
      </c>
      <c r="AB34" s="1568">
        <f t="shared" si="4"/>
        <v>1</v>
      </c>
      <c r="AC34" s="1568">
        <f t="shared" si="5"/>
        <v>0.98039215686274506</v>
      </c>
    </row>
    <row r="35" spans="1:29" ht="20.25">
      <c r="A35" s="530"/>
      <c r="B35" s="564"/>
      <c r="C35" s="3492" t="s">
        <v>3309</v>
      </c>
      <c r="D35" s="555"/>
      <c r="E35" s="573" t="s">
        <v>3292</v>
      </c>
      <c r="F35" s="553"/>
      <c r="G35" s="552" t="s">
        <v>3290</v>
      </c>
      <c r="H35" s="553"/>
      <c r="I35" s="573" t="s">
        <v>3289</v>
      </c>
      <c r="J35" s="553"/>
      <c r="K35" s="578"/>
      <c r="L35" s="2134"/>
      <c r="M35" s="2124"/>
      <c r="N35" s="2124"/>
      <c r="O35" s="2133"/>
      <c r="P35" s="3761"/>
      <c r="Q35" s="1564"/>
      <c r="R35" s="1565"/>
      <c r="S35" s="1566"/>
      <c r="T35" s="1565"/>
      <c r="U35" s="1566"/>
      <c r="V35" s="1565"/>
      <c r="W35" s="1566"/>
      <c r="X35" s="1559"/>
      <c r="Y35" s="3761"/>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4"/>
      <c r="M36" s="2124"/>
      <c r="N36" s="2124"/>
      <c r="O36" s="2133"/>
      <c r="P36" s="3761"/>
      <c r="Q36" s="1564" t="str">
        <f t="shared" si="8"/>
        <v>土地级别</v>
      </c>
      <c r="R36" s="1565" t="s">
        <v>8</v>
      </c>
      <c r="S36" s="1566">
        <f t="shared" si="10"/>
        <v>100</v>
      </c>
      <c r="T36" s="1565" t="s">
        <v>8</v>
      </c>
      <c r="U36" s="1566">
        <f t="shared" si="11"/>
        <v>100</v>
      </c>
      <c r="V36" s="1565" t="s">
        <v>8</v>
      </c>
      <c r="W36" s="1566">
        <f t="shared" si="12"/>
        <v>100</v>
      </c>
      <c r="X36" s="1559"/>
      <c r="Y36" s="3761"/>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4"/>
      <c r="M37" s="2124"/>
      <c r="N37" s="2124"/>
      <c r="O37" s="2133"/>
      <c r="P37" s="3761"/>
      <c r="Q37" s="1564">
        <f t="shared" si="8"/>
        <v>111</v>
      </c>
      <c r="R37" s="1565" t="s">
        <v>8</v>
      </c>
      <c r="S37" s="1566">
        <f t="shared" si="10"/>
        <v>100</v>
      </c>
      <c r="T37" s="1565" t="s">
        <v>8</v>
      </c>
      <c r="U37" s="1566">
        <f t="shared" si="11"/>
        <v>100</v>
      </c>
      <c r="V37" s="1565" t="s">
        <v>8</v>
      </c>
      <c r="W37" s="1566">
        <f t="shared" si="12"/>
        <v>100</v>
      </c>
      <c r="X37" s="1559"/>
      <c r="Y37" s="3761"/>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4"/>
      <c r="M38" s="2124"/>
      <c r="N38" s="2124"/>
      <c r="O38" s="2133"/>
      <c r="P38" s="3762" t="s">
        <v>551</v>
      </c>
      <c r="Q38" s="1564">
        <f t="shared" si="8"/>
        <v>111</v>
      </c>
      <c r="R38" s="1565" t="s">
        <v>8</v>
      </c>
      <c r="S38" s="1566">
        <f t="shared" si="10"/>
        <v>100</v>
      </c>
      <c r="T38" s="1565" t="s">
        <v>8</v>
      </c>
      <c r="U38" s="1566">
        <f t="shared" si="11"/>
        <v>100</v>
      </c>
      <c r="V38" s="1565" t="s">
        <v>8</v>
      </c>
      <c r="W38" s="1566">
        <f t="shared" si="12"/>
        <v>100</v>
      </c>
      <c r="X38" s="1559"/>
      <c r="Y38" s="3763"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2"/>
      <c r="M39" s="2124"/>
      <c r="N39" s="2124"/>
      <c r="O39" s="2135"/>
      <c r="P39" s="3763"/>
      <c r="Q39" s="1564">
        <f t="shared" si="8"/>
        <v>111</v>
      </c>
      <c r="R39" s="1569" t="s">
        <v>8</v>
      </c>
      <c r="S39" s="1570">
        <f t="shared" si="10"/>
        <v>100</v>
      </c>
      <c r="T39" s="1569" t="s">
        <v>8</v>
      </c>
      <c r="U39" s="1570">
        <f t="shared" si="11"/>
        <v>100</v>
      </c>
      <c r="V39" s="1569" t="s">
        <v>8</v>
      </c>
      <c r="W39" s="1570">
        <f t="shared" si="12"/>
        <v>100</v>
      </c>
      <c r="X39" s="1571"/>
      <c r="Y39" s="3763"/>
      <c r="Z39" s="1572">
        <f t="shared" si="13"/>
        <v>111</v>
      </c>
      <c r="AA39" s="1568">
        <f t="shared" si="3"/>
        <v>1</v>
      </c>
      <c r="AB39" s="1568">
        <f t="shared" si="4"/>
        <v>1</v>
      </c>
      <c r="AC39" s="1568">
        <f t="shared" si="5"/>
        <v>1</v>
      </c>
    </row>
    <row r="40" spans="1:29" ht="20.25">
      <c r="A40" s="2924" t="s">
        <v>2759</v>
      </c>
      <c r="B40" s="592" t="s">
        <v>553</v>
      </c>
      <c r="C40" s="593">
        <f>'数据-基础表'!A3</f>
        <v>74665.899999999994</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4"/>
      <c r="M40" s="2124"/>
      <c r="N40" s="2124"/>
      <c r="O40" s="2133"/>
      <c r="P40" s="3763"/>
      <c r="Q40" s="1564" t="str">
        <f>B40</f>
        <v>宗地面积</v>
      </c>
      <c r="R40" s="1565" t="s">
        <v>8</v>
      </c>
      <c r="S40" s="1566">
        <f t="shared" si="10"/>
        <v>98</v>
      </c>
      <c r="T40" s="1565" t="s">
        <v>8</v>
      </c>
      <c r="U40" s="1566">
        <f t="shared" si="11"/>
        <v>97</v>
      </c>
      <c r="V40" s="1565" t="s">
        <v>8</v>
      </c>
      <c r="W40" s="1566">
        <f t="shared" si="12"/>
        <v>98</v>
      </c>
      <c r="X40" s="1559"/>
      <c r="Y40" s="3763"/>
      <c r="Z40" s="1567" t="str">
        <f t="shared" si="13"/>
        <v>宗地面积</v>
      </c>
      <c r="AA40" s="1568">
        <f t="shared" si="3"/>
        <v>1.0204081632653061</v>
      </c>
      <c r="AB40" s="1568">
        <f t="shared" si="4"/>
        <v>1.0309278350515463</v>
      </c>
      <c r="AC40" s="1568">
        <f t="shared" si="5"/>
        <v>1.0204081632653061</v>
      </c>
    </row>
    <row r="41" spans="1:29" ht="20.25">
      <c r="A41" s="591"/>
      <c r="B41" s="525" t="s">
        <v>554</v>
      </c>
      <c r="C41" s="3549" t="s">
        <v>3308</v>
      </c>
      <c r="D41" s="538">
        <v>100</v>
      </c>
      <c r="E41" s="3495" t="s">
        <v>3308</v>
      </c>
      <c r="F41" s="538">
        <f>SUMIF(121:121,E41,122:122)-SUMIF(121:121,C41,122:122)+100</f>
        <v>100</v>
      </c>
      <c r="G41" s="3495" t="s">
        <v>3308</v>
      </c>
      <c r="H41" s="538">
        <f>SUMIF(121:121,G41,122:122)-SUMIF(121:121,C41,122:122)+100</f>
        <v>100</v>
      </c>
      <c r="I41" s="3495" t="s">
        <v>3308</v>
      </c>
      <c r="J41" s="538">
        <f>SUMIF(121:121,I41,122:122)-SUMIF(121:121,C41,122:122)+100</f>
        <v>100</v>
      </c>
      <c r="K41" s="581"/>
      <c r="L41" s="2134"/>
      <c r="M41" s="2124"/>
      <c r="N41" s="2124"/>
      <c r="O41" s="2133"/>
      <c r="P41" s="3763"/>
      <c r="Q41" s="1564" t="str">
        <f t="shared" ref="Q41:Q47" si="14">B41</f>
        <v>宗地形状</v>
      </c>
      <c r="R41" s="1565" t="s">
        <v>8</v>
      </c>
      <c r="S41" s="1566">
        <f t="shared" si="10"/>
        <v>100</v>
      </c>
      <c r="T41" s="1565" t="s">
        <v>8</v>
      </c>
      <c r="U41" s="1566">
        <f t="shared" si="11"/>
        <v>100</v>
      </c>
      <c r="V41" s="1565" t="s">
        <v>8</v>
      </c>
      <c r="W41" s="1566">
        <f t="shared" si="12"/>
        <v>100</v>
      </c>
      <c r="X41" s="1559"/>
      <c r="Y41" s="3763"/>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4"/>
      <c r="M42" s="2124"/>
      <c r="N42" s="2124"/>
      <c r="O42" s="2133"/>
      <c r="P42" s="3763"/>
      <c r="Q42" s="1564" t="str">
        <f t="shared" si="14"/>
        <v>临街宽度及深度</v>
      </c>
      <c r="R42" s="1565" t="s">
        <v>8</v>
      </c>
      <c r="S42" s="1566">
        <f t="shared" si="10"/>
        <v>100</v>
      </c>
      <c r="T42" s="1565" t="s">
        <v>8</v>
      </c>
      <c r="U42" s="1566">
        <f t="shared" si="11"/>
        <v>100</v>
      </c>
      <c r="V42" s="1565" t="s">
        <v>8</v>
      </c>
      <c r="W42" s="1566">
        <f t="shared" si="12"/>
        <v>100</v>
      </c>
      <c r="X42" s="1559"/>
      <c r="Y42" s="3763"/>
      <c r="Z42" s="1567" t="str">
        <f t="shared" si="13"/>
        <v>临街宽度及深度</v>
      </c>
      <c r="AA42" s="1568">
        <f t="shared" si="3"/>
        <v>1</v>
      </c>
      <c r="AB42" s="1568">
        <f t="shared" si="4"/>
        <v>1</v>
      </c>
      <c r="AC42" s="1568">
        <f t="shared" si="5"/>
        <v>1</v>
      </c>
    </row>
    <row r="43" spans="1:29" s="1213" customFormat="1" ht="20.25">
      <c r="A43" s="597"/>
      <c r="B43" s="1887" t="s">
        <v>2426</v>
      </c>
      <c r="C43" s="3496" t="s">
        <v>3307</v>
      </c>
      <c r="D43" s="253">
        <v>100</v>
      </c>
      <c r="E43" s="3496" t="s">
        <v>3307</v>
      </c>
      <c r="F43" s="538">
        <f>SUMIF(125:125,E43,126:126)-SUMIF(125:125,C43,126:126)+100</f>
        <v>100</v>
      </c>
      <c r="G43" s="3496" t="s">
        <v>3307</v>
      </c>
      <c r="H43" s="538">
        <f>SUMIF(125:125,G43,126:126)-SUMIF(125:125,C43,126:126)+100</f>
        <v>100</v>
      </c>
      <c r="I43" s="3496" t="s">
        <v>3307</v>
      </c>
      <c r="J43" s="538">
        <f>SUMIF(125:125,I43,126:126)-SUMIF(125:125,C43,126:126)+100</f>
        <v>100</v>
      </c>
      <c r="K43" s="581"/>
      <c r="L43" s="2127"/>
      <c r="M43" s="2124"/>
      <c r="N43" s="2124"/>
      <c r="O43" s="2129"/>
      <c r="P43" s="3763"/>
      <c r="Q43" s="1564" t="str">
        <f t="shared" si="14"/>
        <v>宗地开发程度</v>
      </c>
      <c r="R43" s="1560" t="s">
        <v>8</v>
      </c>
      <c r="S43" s="1561">
        <f t="shared" si="10"/>
        <v>100</v>
      </c>
      <c r="T43" s="1560" t="s">
        <v>8</v>
      </c>
      <c r="U43" s="1561">
        <f t="shared" si="11"/>
        <v>100</v>
      </c>
      <c r="V43" s="1560" t="s">
        <v>8</v>
      </c>
      <c r="W43" s="1561">
        <f t="shared" si="12"/>
        <v>100</v>
      </c>
      <c r="X43" s="1562"/>
      <c r="Y43" s="3763"/>
      <c r="Z43" s="1143" t="str">
        <f t="shared" si="13"/>
        <v>宗地开发程度</v>
      </c>
      <c r="AA43" s="1563">
        <f t="shared" si="3"/>
        <v>1</v>
      </c>
      <c r="AB43" s="1563">
        <f t="shared" si="4"/>
        <v>1</v>
      </c>
      <c r="AC43" s="1563">
        <f t="shared" si="5"/>
        <v>1</v>
      </c>
    </row>
    <row r="44" spans="1:29" ht="20.25">
      <c r="A44" s="591"/>
      <c r="B44" s="525" t="s">
        <v>556</v>
      </c>
      <c r="C44" s="3495" t="s">
        <v>3305</v>
      </c>
      <c r="D44" s="538">
        <v>100</v>
      </c>
      <c r="E44" s="3495" t="s">
        <v>3305</v>
      </c>
      <c r="F44" s="538">
        <f>SUMIF(127:127,E44,128:128)-SUMIF(127:127,C44,128:128)+100</f>
        <v>100</v>
      </c>
      <c r="G44" s="3495" t="s">
        <v>3306</v>
      </c>
      <c r="H44" s="538">
        <f>SUMIF(127:127,G44,128:128)-SUMIF(127:127,C44,128:128)+100</f>
        <v>100</v>
      </c>
      <c r="I44" s="3495" t="s">
        <v>3305</v>
      </c>
      <c r="J44" s="538">
        <f>SUMIF(127:127,I44,128:128)-SUMIF(127:127,C44,128:128)+100</f>
        <v>100</v>
      </c>
      <c r="K44" s="581"/>
      <c r="L44" s="2134"/>
      <c r="M44" s="2124"/>
      <c r="N44" s="2124"/>
      <c r="O44" s="2133"/>
      <c r="P44" s="3763" t="s">
        <v>551</v>
      </c>
      <c r="Q44" s="1564" t="str">
        <f t="shared" si="14"/>
        <v>工程地质条件</v>
      </c>
      <c r="R44" s="1565" t="s">
        <v>8</v>
      </c>
      <c r="S44" s="1566">
        <f t="shared" si="10"/>
        <v>100</v>
      </c>
      <c r="T44" s="1565" t="s">
        <v>8</v>
      </c>
      <c r="U44" s="1566">
        <f t="shared" si="11"/>
        <v>100</v>
      </c>
      <c r="V44" s="1565" t="s">
        <v>8</v>
      </c>
      <c r="W44" s="1566">
        <f t="shared" si="12"/>
        <v>100</v>
      </c>
      <c r="X44" s="1559"/>
      <c r="Y44" s="3763"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4"/>
      <c r="M45" s="2124"/>
      <c r="N45" s="2124"/>
      <c r="O45" s="2133"/>
      <c r="P45" s="3763"/>
      <c r="Q45" s="1564">
        <f t="shared" si="14"/>
        <v>111</v>
      </c>
      <c r="R45" s="1565" t="s">
        <v>8</v>
      </c>
      <c r="S45" s="1566">
        <f t="shared" si="10"/>
        <v>100</v>
      </c>
      <c r="T45" s="1565" t="s">
        <v>8</v>
      </c>
      <c r="U45" s="1566">
        <f t="shared" si="11"/>
        <v>100</v>
      </c>
      <c r="V45" s="1565" t="s">
        <v>8</v>
      </c>
      <c r="W45" s="1566">
        <f t="shared" si="12"/>
        <v>100</v>
      </c>
      <c r="X45" s="1559"/>
      <c r="Y45" s="3763"/>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4"/>
      <c r="M46" s="2124"/>
      <c r="N46" s="2124"/>
      <c r="O46" s="2133"/>
      <c r="P46" s="3763"/>
      <c r="Q46" s="1564">
        <f t="shared" si="14"/>
        <v>111</v>
      </c>
      <c r="R46" s="1565" t="s">
        <v>8</v>
      </c>
      <c r="S46" s="1566">
        <f t="shared" si="10"/>
        <v>100</v>
      </c>
      <c r="T46" s="1565" t="s">
        <v>8</v>
      </c>
      <c r="U46" s="1566">
        <f t="shared" si="11"/>
        <v>100</v>
      </c>
      <c r="V46" s="1565" t="s">
        <v>8</v>
      </c>
      <c r="W46" s="1566">
        <f t="shared" si="12"/>
        <v>100</v>
      </c>
      <c r="X46" s="1559"/>
      <c r="Y46" s="3763"/>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2"/>
      <c r="M47" s="2124"/>
      <c r="N47" s="2124"/>
      <c r="O47" s="2135"/>
      <c r="P47" s="3763"/>
      <c r="Q47" s="1564">
        <f t="shared" si="14"/>
        <v>111</v>
      </c>
      <c r="R47" s="1569" t="s">
        <v>8</v>
      </c>
      <c r="S47" s="1570">
        <f t="shared" si="10"/>
        <v>100</v>
      </c>
      <c r="T47" s="1569" t="s">
        <v>8</v>
      </c>
      <c r="U47" s="1570">
        <f t="shared" si="11"/>
        <v>100</v>
      </c>
      <c r="V47" s="1569" t="s">
        <v>8</v>
      </c>
      <c r="W47" s="1570">
        <f t="shared" si="12"/>
        <v>100</v>
      </c>
      <c r="X47" s="1571"/>
      <c r="Y47" s="3763"/>
      <c r="Z47" s="1572">
        <f t="shared" si="13"/>
        <v>111</v>
      </c>
      <c r="AA47" s="1568">
        <f t="shared" si="3"/>
        <v>1</v>
      </c>
      <c r="AB47" s="1568">
        <f t="shared" si="4"/>
        <v>1</v>
      </c>
      <c r="AC47" s="1568">
        <f t="shared" si="5"/>
        <v>1</v>
      </c>
    </row>
    <row r="48" spans="1:29" ht="20.25">
      <c r="A48" s="604" t="s">
        <v>557</v>
      </c>
      <c r="B48" s="605" t="s">
        <v>3286</v>
      </c>
      <c r="C48" s="606" t="s">
        <v>1</v>
      </c>
      <c r="D48" s="607"/>
      <c r="E48" s="3548">
        <v>2120</v>
      </c>
      <c r="F48" s="609"/>
      <c r="G48" s="610">
        <v>2598</v>
      </c>
      <c r="H48" s="611"/>
      <c r="I48" s="608">
        <v>2322</v>
      </c>
      <c r="J48" s="611"/>
      <c r="K48" s="1333"/>
      <c r="L48" s="2136"/>
      <c r="M48" s="2124"/>
      <c r="N48" s="2124"/>
      <c r="O48" s="2137"/>
      <c r="P48" s="3758" t="str">
        <f>A48</f>
        <v>成交单价</v>
      </c>
      <c r="Q48" s="3758"/>
      <c r="R48" s="3772">
        <f>E48</f>
        <v>2120</v>
      </c>
      <c r="S48" s="3772"/>
      <c r="T48" s="3772">
        <f>G48</f>
        <v>2598</v>
      </c>
      <c r="U48" s="3772"/>
      <c r="V48" s="3772">
        <f>I48</f>
        <v>2322</v>
      </c>
      <c r="W48" s="3772"/>
      <c r="X48" s="1551"/>
      <c r="Y48" s="1573"/>
      <c r="Z48" s="1551"/>
      <c r="AA48" s="1551"/>
      <c r="AB48" s="1551"/>
      <c r="AC48" s="1551"/>
    </row>
    <row r="49" spans="1:29" ht="21" thickBot="1">
      <c r="A49" s="612" t="s">
        <v>2697</v>
      </c>
      <c r="B49" s="613"/>
      <c r="C49" s="614">
        <f>R50</f>
        <v>2281</v>
      </c>
      <c r="D49" s="615"/>
      <c r="E49" s="614">
        <f>R49</f>
        <v>2105</v>
      </c>
      <c r="F49" s="616"/>
      <c r="G49" s="617">
        <f>T49</f>
        <v>2497</v>
      </c>
      <c r="H49" s="615"/>
      <c r="I49" s="614">
        <f>V49</f>
        <v>2241</v>
      </c>
      <c r="J49" s="615"/>
      <c r="K49" s="1334"/>
      <c r="L49" s="2136"/>
      <c r="M49" s="2124"/>
      <c r="N49" s="2124"/>
      <c r="O49" s="2137"/>
      <c r="P49" s="3758" t="str">
        <f>A49</f>
        <v>比较价格（元/平方米）</v>
      </c>
      <c r="Q49" s="3758"/>
      <c r="R49" s="3782">
        <f>ROUND(PRODUCT(R48,AA9:AA47),0)</f>
        <v>2105</v>
      </c>
      <c r="S49" s="3782"/>
      <c r="T49" s="3782">
        <f>ROUND(PRODUCT(T48,AB9:AB47),0)</f>
        <v>2497</v>
      </c>
      <c r="U49" s="3782"/>
      <c r="V49" s="3782">
        <f>ROUND(PRODUCT(V48,AC9:AC47),0)</f>
        <v>2241</v>
      </c>
      <c r="W49" s="3782"/>
      <c r="X49" s="1551"/>
      <c r="Y49" s="1551"/>
      <c r="Z49" s="1551"/>
      <c r="AA49" s="1551"/>
      <c r="AB49" s="1551"/>
      <c r="AC49" s="1551"/>
    </row>
    <row r="50" spans="1:29" ht="21" thickBot="1">
      <c r="A50" s="618" t="s">
        <v>2935</v>
      </c>
      <c r="B50" s="619"/>
      <c r="C50" s="620">
        <f>R50</f>
        <v>2281</v>
      </c>
      <c r="D50" s="620"/>
      <c r="E50" s="620"/>
      <c r="F50" s="620"/>
      <c r="G50" s="620"/>
      <c r="H50" s="620"/>
      <c r="I50" s="620"/>
      <c r="J50" s="620"/>
      <c r="K50" s="1335"/>
      <c r="L50" s="2136"/>
      <c r="M50" s="2124"/>
      <c r="N50" s="2124"/>
      <c r="O50" s="2137"/>
      <c r="P50" s="3779" t="str">
        <f>A50</f>
        <v>估价对象XX用房的比较价格（楼面单价，元/平方米）</v>
      </c>
      <c r="Q50" s="3780"/>
      <c r="R50" s="3781">
        <f>ROUND(AVERAGE(R49:V49),0)</f>
        <v>2281</v>
      </c>
      <c r="S50" s="3781"/>
      <c r="T50" s="3781"/>
      <c r="U50" s="3781"/>
      <c r="V50" s="3781"/>
      <c r="W50" s="3781"/>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7.1258907363420665E-3</v>
      </c>
      <c r="F53" s="624" t="str">
        <f>IF(OR(E53&gt;=0.3,E53&lt;=-0.3),"超过30%","")</f>
        <v/>
      </c>
      <c r="G53" s="623">
        <f>IF(G48&lt;G49,G49/G48-1,G48/G49-1)</f>
        <v>4.0448538245895005E-2</v>
      </c>
      <c r="H53" s="624" t="str">
        <f>IF(OR(G53&gt;=0.3,G53&lt;=-0.3),"超过30%","")</f>
        <v/>
      </c>
      <c r="I53" s="623">
        <f>IF(I48&lt;I49,I49/I48-1,I48/I49-1)</f>
        <v>3.6144578313253017E-2</v>
      </c>
      <c r="J53" s="624"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0.1862232779097388</v>
      </c>
      <c r="F54" s="624" t="str">
        <f>IF(OR(E54&gt;=0.2,E54&lt;=-0.2),"超过20%","")</f>
        <v/>
      </c>
      <c r="G54" s="623">
        <f>IF(G49&lt;I49,I49/G49-1,G49/I49-1)</f>
        <v>0.11423471664435514</v>
      </c>
      <c r="H54" s="624" t="str">
        <f>IF(OR(G54&gt;=0.2,G54&lt;=-0.2),"超过20%","")</f>
        <v/>
      </c>
      <c r="I54" s="623">
        <f>IF(I49&lt;E49,E49/I49-1,I49/E49-1)</f>
        <v>6.4608076009501136E-2</v>
      </c>
      <c r="J54" s="624" t="str">
        <f>IF(OR(I54&gt;=0.2,I54&lt;=-0.2),"超过20%","")</f>
        <v/>
      </c>
      <c r="K54" s="2141"/>
      <c r="L54" s="2142"/>
      <c r="M54" s="2124"/>
      <c r="N54" s="2124"/>
      <c r="O54" s="2137"/>
      <c r="P54" s="1551"/>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8"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6" t="s">
        <v>561</v>
      </c>
      <c r="B57" s="627" t="s">
        <v>562</v>
      </c>
      <c r="C57" s="1552" t="s">
        <v>1723</v>
      </c>
      <c r="D57" s="2219" t="s">
        <v>2294</v>
      </c>
      <c r="E57" s="628" t="s">
        <v>563</v>
      </c>
      <c r="F57" s="629" t="s">
        <v>564</v>
      </c>
      <c r="G57" s="3742" t="s">
        <v>2282</v>
      </c>
      <c r="H57" s="3743"/>
      <c r="I57" s="1547" t="s">
        <v>1721</v>
      </c>
      <c r="J57" s="1547">
        <f>项目基本情况!F41</f>
        <v>0</v>
      </c>
      <c r="K57" s="2146" t="s">
        <v>1722</v>
      </c>
      <c r="L57" s="2142"/>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630" t="s">
        <v>565</v>
      </c>
      <c r="B58" s="631">
        <f>C50</f>
        <v>2281</v>
      </c>
      <c r="C58" s="632">
        <v>1</v>
      </c>
      <c r="D58" s="2220">
        <v>1</v>
      </c>
      <c r="E58" s="632">
        <f>'数据-汇总表'!E8+'数据-汇总表'!E9</f>
        <v>346718</v>
      </c>
      <c r="F58" s="633">
        <f t="shared" ref="F58:F67" si="15">ROUND(B58*E58/10000,0)</f>
        <v>79086</v>
      </c>
      <c r="G58" s="3744"/>
      <c r="H58" s="3745"/>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566</v>
      </c>
      <c r="B59" s="635">
        <f>ROUND($C$50*C59*D59,0)</f>
        <v>0</v>
      </c>
      <c r="C59" s="376">
        <f t="shared" ref="C59:C67" si="16">IF($C$57="北京市系数",I59,J59)</f>
        <v>0</v>
      </c>
      <c r="D59" s="2221">
        <v>0.25</v>
      </c>
      <c r="E59" s="636">
        <v>0</v>
      </c>
      <c r="F59" s="633">
        <f t="shared" si="15"/>
        <v>0</v>
      </c>
      <c r="G59" s="3746" t="s">
        <v>2283</v>
      </c>
      <c r="H59" s="1940">
        <f>项目基本情况!B43</f>
        <v>0</v>
      </c>
      <c r="I59" s="1548">
        <f>SUMIF(修正!$A$45:$A$56,H59,修正!B45:B56)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567</v>
      </c>
      <c r="B60" s="635">
        <f t="shared" ref="B60:B67" si="17">ROUND($C$50*C60*D60,0)</f>
        <v>0</v>
      </c>
      <c r="C60" s="376">
        <f t="shared" si="16"/>
        <v>0</v>
      </c>
      <c r="D60" s="2221">
        <v>0.25</v>
      </c>
      <c r="E60" s="636">
        <v>0</v>
      </c>
      <c r="F60" s="633">
        <f t="shared" si="15"/>
        <v>0</v>
      </c>
      <c r="G60" s="3746"/>
      <c r="H60" s="1940">
        <f>项目基本情况!B43</f>
        <v>0</v>
      </c>
      <c r="I60" s="1548">
        <f>SUMIF(修正!$A$45:$A$56,H60,修正!C45:C56)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568</v>
      </c>
      <c r="B61" s="635">
        <f t="shared" si="17"/>
        <v>0</v>
      </c>
      <c r="C61" s="376">
        <f t="shared" si="16"/>
        <v>0</v>
      </c>
      <c r="D61" s="2221">
        <v>0.25</v>
      </c>
      <c r="E61" s="636">
        <v>0</v>
      </c>
      <c r="F61" s="633">
        <f t="shared" si="15"/>
        <v>0</v>
      </c>
      <c r="G61" s="3746"/>
      <c r="H61" s="1940">
        <f>项目基本情况!B43</f>
        <v>0</v>
      </c>
      <c r="I61" s="1548">
        <f>SUMIF(修正!$A$45:$A$56,H61,修正!D45:D56)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2.75">
      <c r="A62" s="634" t="s">
        <v>569</v>
      </c>
      <c r="B62" s="635">
        <f t="shared" si="17"/>
        <v>0</v>
      </c>
      <c r="C62" s="376">
        <f t="shared" si="16"/>
        <v>0</v>
      </c>
      <c r="D62" s="2221">
        <v>0.25</v>
      </c>
      <c r="E62" s="636">
        <v>0</v>
      </c>
      <c r="F62" s="633">
        <f t="shared" si="15"/>
        <v>0</v>
      </c>
      <c r="G62" s="3746"/>
      <c r="H62" s="1940">
        <f>项目基本情况!B43</f>
        <v>0</v>
      </c>
      <c r="I62" s="1548">
        <f>SUMIF(修正!$A$45:$A$56,H62,修正!E45:E56)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2.75">
      <c r="A63" s="2323" t="s">
        <v>2329</v>
      </c>
      <c r="B63" s="635">
        <f t="shared" si="17"/>
        <v>0</v>
      </c>
      <c r="C63" s="376">
        <f t="shared" si="16"/>
        <v>0</v>
      </c>
      <c r="D63" s="2221">
        <v>0.25</v>
      </c>
      <c r="E63" s="638">
        <f>'数据-汇总表'!E11</f>
        <v>0</v>
      </c>
      <c r="F63" s="633">
        <f t="shared" si="15"/>
        <v>0</v>
      </c>
      <c r="G63" s="1937" t="s">
        <v>2284</v>
      </c>
      <c r="H63" s="1940">
        <f>项目基本情况!C43</f>
        <v>0</v>
      </c>
      <c r="I63" s="1548">
        <f>SUMIF(修正!$A$45:$A$56,H63,修正!F45:F56)</f>
        <v>0</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9" customFormat="1" ht="12.75">
      <c r="A64" s="634" t="s">
        <v>570</v>
      </c>
      <c r="B64" s="635">
        <f t="shared" si="17"/>
        <v>0</v>
      </c>
      <c r="C64" s="376">
        <f t="shared" si="16"/>
        <v>0</v>
      </c>
      <c r="D64" s="2221">
        <v>0.25</v>
      </c>
      <c r="E64" s="638">
        <f>'数据-汇总表'!E12</f>
        <v>0</v>
      </c>
      <c r="F64" s="633">
        <f t="shared" si="15"/>
        <v>0</v>
      </c>
      <c r="G64" s="1938" t="s">
        <v>1678</v>
      </c>
      <c r="H64" s="1936">
        <f>IF(G64="商业",项目基本情况!B43,IF(G64="办公",项目基本情况!C43,IF(G64="住宅",项目基本情况!D43,项目基本情况!E43)))</f>
        <v>0</v>
      </c>
      <c r="I64" s="1548">
        <f>SUMIF(修正!$A$45:$A$56,H64,修正!G45:G56)</f>
        <v>0</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9" customFormat="1" ht="12.75">
      <c r="A65" s="634" t="s">
        <v>571</v>
      </c>
      <c r="B65" s="635">
        <f t="shared" si="17"/>
        <v>0</v>
      </c>
      <c r="C65" s="376">
        <f t="shared" si="16"/>
        <v>0</v>
      </c>
      <c r="D65" s="2221">
        <v>0.25</v>
      </c>
      <c r="E65" s="638">
        <f>'数据-汇总表'!E13</f>
        <v>0</v>
      </c>
      <c r="F65" s="633">
        <f t="shared" si="15"/>
        <v>0</v>
      </c>
      <c r="G65" s="1938" t="s">
        <v>923</v>
      </c>
      <c r="H65" s="1936">
        <f>IF(G65="商业",项目基本情况!B43,IF(G65="办公",项目基本情况!C43,IF(G65="住宅",项目基本情况!D43,项目基本情况!E43)))</f>
        <v>0</v>
      </c>
      <c r="I65" s="1548">
        <f>SUMIF(修正!$A$45:$A$56,H65,修正!H45:H56)</f>
        <v>0</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9" customFormat="1" ht="12.75">
      <c r="A66" s="634" t="s">
        <v>572</v>
      </c>
      <c r="B66" s="635">
        <f t="shared" si="17"/>
        <v>0</v>
      </c>
      <c r="C66" s="376">
        <f t="shared" si="16"/>
        <v>0</v>
      </c>
      <c r="D66" s="2221">
        <v>0.25</v>
      </c>
      <c r="E66" s="638">
        <f>'数据-汇总表'!E14</f>
        <v>97995</v>
      </c>
      <c r="F66" s="633">
        <f t="shared" si="15"/>
        <v>0</v>
      </c>
      <c r="G66" s="1937" t="s">
        <v>2283</v>
      </c>
      <c r="H66" s="1940">
        <f>项目基本情况!B43</f>
        <v>0</v>
      </c>
      <c r="I66" s="1548">
        <f>SUMIF(修正!$A$45:$A$56,H66,修正!H45:H56)</f>
        <v>0</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9" customFormat="1" ht="13.5" thickBot="1">
      <c r="A67" s="634" t="s">
        <v>573</v>
      </c>
      <c r="B67" s="635">
        <f t="shared" si="17"/>
        <v>0</v>
      </c>
      <c r="C67" s="376">
        <f t="shared" si="16"/>
        <v>0</v>
      </c>
      <c r="D67" s="2221">
        <v>0.25</v>
      </c>
      <c r="E67" s="638">
        <f>'数据-汇总表'!E15</f>
        <v>0</v>
      </c>
      <c r="F67" s="633">
        <f t="shared" si="15"/>
        <v>0</v>
      </c>
      <c r="G67" s="1939" t="s">
        <v>2284</v>
      </c>
      <c r="H67" s="1941">
        <f>项目基本情况!C43</f>
        <v>0</v>
      </c>
      <c r="I67" s="1548">
        <f>SUMIF(修正!$A$45:$A$56,H67,修正!H45:H56)</f>
        <v>0</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9" customFormat="1" ht="13.5" thickBot="1">
      <c r="A68" s="639" t="s">
        <v>574</v>
      </c>
      <c r="B68" s="640" t="s">
        <v>17</v>
      </c>
      <c r="C68" s="640" t="s">
        <v>18</v>
      </c>
      <c r="D68" s="640" t="s">
        <v>2295</v>
      </c>
      <c r="E68" s="640">
        <f>IF(B48="楼面地价",SUM(E58:E67),'数据-汇总表'!D3)</f>
        <v>444713</v>
      </c>
      <c r="F68" s="641">
        <f>IF(B48="楼面地价",SUM(F58:F67),ROUND(C50*E68/10000,0))</f>
        <v>79086</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2018-6-1</v>
      </c>
      <c r="D70" s="2816">
        <f>EDATE(C70,-3)</f>
        <v>43160</v>
      </c>
      <c r="E70" s="2816">
        <f t="shared" ref="E70:N70" si="18">EDATE(D70,-3)</f>
        <v>43070</v>
      </c>
      <c r="F70" s="2816">
        <f t="shared" si="18"/>
        <v>42979</v>
      </c>
      <c r="G70" s="2816">
        <f t="shared" si="18"/>
        <v>42887</v>
      </c>
      <c r="H70" s="2816">
        <f t="shared" si="18"/>
        <v>42795</v>
      </c>
      <c r="I70" s="2816">
        <f t="shared" si="18"/>
        <v>42705</v>
      </c>
      <c r="J70" s="2816">
        <f t="shared" si="18"/>
        <v>42614</v>
      </c>
      <c r="K70" s="2816">
        <f t="shared" si="18"/>
        <v>42522</v>
      </c>
      <c r="L70" s="2816">
        <f t="shared" si="18"/>
        <v>42430</v>
      </c>
      <c r="M70" s="2816">
        <f t="shared" si="18"/>
        <v>42339</v>
      </c>
      <c r="N70" s="2816">
        <f t="shared" si="18"/>
        <v>42248</v>
      </c>
      <c r="O70" s="2137"/>
      <c r="P70" s="2137"/>
      <c r="Q70" s="2137"/>
      <c r="R70" s="2137"/>
      <c r="S70" s="2137"/>
      <c r="T70" s="2137"/>
      <c r="U70" s="2137"/>
      <c r="V70" s="2137"/>
      <c r="W70" s="2137"/>
      <c r="X70" s="2137"/>
      <c r="Y70" s="2137"/>
      <c r="Z70" s="2137"/>
      <c r="AA70" s="2137"/>
      <c r="AB70" s="2137"/>
      <c r="AC70" s="2137"/>
    </row>
    <row r="71" spans="1:29" ht="21.75" thickBot="1">
      <c r="A71" s="1576" t="s">
        <v>575</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40" customFormat="1" ht="15">
      <c r="A72" s="2584" t="s">
        <v>2536</v>
      </c>
      <c r="B72" s="2585"/>
      <c r="C72" s="2811" t="str">
        <f>YEAR(C70)&amp;"-"&amp;ROUNDUP(MONTH(C70)/3,0)</f>
        <v>2018-2</v>
      </c>
      <c r="D72" s="2818" t="str">
        <f>YEAR(D70)&amp;"-"&amp;ROUNDUP(MONTH(D70)/3,0)</f>
        <v>2018-1</v>
      </c>
      <c r="E72" s="2818" t="str">
        <f t="shared" ref="E72:N72" si="19">YEAR(E70)&amp;"-"&amp;ROUNDUP(MONTH(E70)/3,0)</f>
        <v>2017-4</v>
      </c>
      <c r="F72" s="2818" t="str">
        <f t="shared" si="19"/>
        <v>2017-3</v>
      </c>
      <c r="G72" s="2818" t="str">
        <f t="shared" si="19"/>
        <v>2017-2</v>
      </c>
      <c r="H72" s="2818" t="str">
        <f t="shared" si="19"/>
        <v>2017-1</v>
      </c>
      <c r="I72" s="2818" t="str">
        <f t="shared" si="19"/>
        <v>2016-4</v>
      </c>
      <c r="J72" s="2818" t="str">
        <f t="shared" si="19"/>
        <v>2016-3</v>
      </c>
      <c r="K72" s="2818" t="str">
        <f t="shared" si="19"/>
        <v>2016-2</v>
      </c>
      <c r="L72" s="2818" t="str">
        <f t="shared" si="19"/>
        <v>2016-1</v>
      </c>
      <c r="M72" s="2818" t="str">
        <f t="shared" si="19"/>
        <v>2015-4</v>
      </c>
      <c r="N72" s="2818" t="str">
        <f t="shared" si="19"/>
        <v>2015-3</v>
      </c>
      <c r="O72" s="2151"/>
      <c r="P72" s="2152"/>
      <c r="Q72" s="2153"/>
      <c r="R72" s="2153"/>
      <c r="S72" s="2153"/>
      <c r="T72" s="2153"/>
      <c r="U72" s="2153"/>
      <c r="V72" s="2153"/>
      <c r="W72" s="2153"/>
      <c r="X72" s="2153"/>
      <c r="Y72" s="2153"/>
      <c r="Z72" s="2153"/>
      <c r="AA72" s="2153"/>
      <c r="AB72" s="2153"/>
      <c r="AC72" s="2153"/>
    </row>
    <row r="73" spans="1:29" s="1213" customFormat="1" ht="27" customHeight="1">
      <c r="A73" s="2823" t="s">
        <v>2651</v>
      </c>
      <c r="B73" s="477" t="str">
        <f>"北京市平均增长率"&amp;TEXT(SUMIF(基准地价!N21:N25,A73,基准地价!P21:P25),"0.00%")</f>
        <v>北京市平均增长率0.00%</v>
      </c>
      <c r="C73" s="887">
        <v>100</v>
      </c>
      <c r="D73" s="3481">
        <f>C73-$C$74</f>
        <v>99.3</v>
      </c>
      <c r="E73" s="3481">
        <f t="shared" ref="E73:N73" si="20">D73-$C$74</f>
        <v>98.6</v>
      </c>
      <c r="F73" s="3481">
        <f t="shared" si="20"/>
        <v>97.899999999999991</v>
      </c>
      <c r="G73" s="3481">
        <f t="shared" si="20"/>
        <v>97.199999999999989</v>
      </c>
      <c r="H73" s="3481">
        <f t="shared" si="20"/>
        <v>96.499999999999986</v>
      </c>
      <c r="I73" s="3481">
        <f t="shared" si="20"/>
        <v>95.799999999999983</v>
      </c>
      <c r="J73" s="3481">
        <f t="shared" si="20"/>
        <v>95.09999999999998</v>
      </c>
      <c r="K73" s="3481">
        <f t="shared" si="20"/>
        <v>94.399999999999977</v>
      </c>
      <c r="L73" s="3481">
        <f t="shared" si="20"/>
        <v>93.699999999999974</v>
      </c>
      <c r="M73" s="3481">
        <f t="shared" si="20"/>
        <v>92.999999999999972</v>
      </c>
      <c r="N73" s="3481">
        <f t="shared" si="20"/>
        <v>92.299999999999969</v>
      </c>
      <c r="O73" s="2154"/>
      <c r="P73" s="2150"/>
      <c r="Q73" s="1985"/>
      <c r="R73" s="1985"/>
      <c r="S73" s="1985"/>
      <c r="T73" s="1985"/>
      <c r="U73" s="1985"/>
      <c r="V73" s="1985"/>
      <c r="W73" s="1985"/>
      <c r="X73" s="1985"/>
      <c r="Y73" s="1985"/>
      <c r="Z73" s="1985"/>
      <c r="AA73" s="1985"/>
      <c r="AB73" s="1985"/>
      <c r="AC73" s="1985"/>
    </row>
    <row r="74" spans="1:29" s="1213" customFormat="1" ht="15" customHeight="1" thickBot="1">
      <c r="A74" s="2813" t="s">
        <v>2650</v>
      </c>
      <c r="B74" s="2822"/>
      <c r="C74" s="3480">
        <v>0.7</v>
      </c>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3" customFormat="1" ht="15">
      <c r="A75" s="656" t="s">
        <v>532</v>
      </c>
      <c r="B75" s="645"/>
      <c r="C75" s="657" t="s">
        <v>577</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3"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578</v>
      </c>
      <c r="B77" s="662" t="s">
        <v>535</v>
      </c>
      <c r="C77" s="595"/>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538</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9">
        <v>0</v>
      </c>
      <c r="D82" s="539">
        <v>1</v>
      </c>
      <c r="E82" s="539">
        <v>2</v>
      </c>
      <c r="F82" s="539">
        <v>3</v>
      </c>
      <c r="G82" s="539">
        <v>4</v>
      </c>
      <c r="H82" s="539">
        <v>5</v>
      </c>
      <c r="I82" s="539"/>
      <c r="J82" s="539"/>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8"/>
      <c r="O83" s="2158"/>
      <c r="P83" s="2157"/>
      <c r="Q83" s="2150"/>
      <c r="R83" s="2137"/>
      <c r="S83" s="2137"/>
      <c r="T83" s="2137"/>
      <c r="U83" s="2137"/>
      <c r="V83" s="2137"/>
      <c r="W83" s="2137"/>
      <c r="X83" s="2137"/>
      <c r="Y83" s="2137"/>
      <c r="Z83" s="2137"/>
      <c r="AA83" s="2137"/>
      <c r="AB83" s="2137"/>
      <c r="AC83" s="2137"/>
    </row>
    <row r="84" spans="1:29" s="1332" customFormat="1" ht="15.75" thickTop="1">
      <c r="A84" s="684"/>
      <c r="B84" s="670" t="str">
        <f>B14</f>
        <v>配建</v>
      </c>
      <c r="C84" s="685"/>
      <c r="D84" s="1368"/>
      <c r="E84" s="1369"/>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2"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2"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2"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2"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540</v>
      </c>
      <c r="B90" s="662" t="s">
        <v>579</v>
      </c>
      <c r="C90" s="700" t="s">
        <v>580</v>
      </c>
      <c r="D90" s="700" t="s">
        <v>581</v>
      </c>
      <c r="E90" s="700" t="s">
        <v>582</v>
      </c>
      <c r="F90" s="700" t="s">
        <v>583</v>
      </c>
      <c r="G90" s="700" t="s">
        <v>584</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98</v>
      </c>
      <c r="E91" s="676">
        <f>D91-$K17</f>
        <v>96</v>
      </c>
      <c r="F91" s="676">
        <f>E91-$K17</f>
        <v>94</v>
      </c>
      <c r="G91" s="676">
        <f>F91-$K17</f>
        <v>92</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585</v>
      </c>
      <c r="C92" s="705" t="s">
        <v>580</v>
      </c>
      <c r="D92" s="705" t="s">
        <v>581</v>
      </c>
      <c r="E92" s="705" t="s">
        <v>582</v>
      </c>
      <c r="F92" s="705" t="s">
        <v>583</v>
      </c>
      <c r="G92" s="705" t="s">
        <v>584</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586</v>
      </c>
      <c r="C94" s="705" t="s">
        <v>580</v>
      </c>
      <c r="D94" s="705" t="s">
        <v>581</v>
      </c>
      <c r="E94" s="705" t="s">
        <v>582</v>
      </c>
      <c r="F94" s="705" t="s">
        <v>583</v>
      </c>
      <c r="G94" s="705" t="s">
        <v>584</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587</v>
      </c>
      <c r="C96" s="705" t="s">
        <v>580</v>
      </c>
      <c r="D96" s="705" t="s">
        <v>581</v>
      </c>
      <c r="E96" s="705" t="s">
        <v>582</v>
      </c>
      <c r="F96" s="705" t="s">
        <v>583</v>
      </c>
      <c r="G96" s="705" t="s">
        <v>584</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98</v>
      </c>
      <c r="E97" s="676">
        <f>D97-$K23</f>
        <v>96</v>
      </c>
      <c r="F97" s="676">
        <f>E97-$K23</f>
        <v>94</v>
      </c>
      <c r="G97" s="676">
        <f>F97-$K23</f>
        <v>92</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2" customFormat="1" ht="15.75" thickTop="1">
      <c r="A102" s="684"/>
      <c r="B102" s="1888" t="s">
        <v>2552</v>
      </c>
      <c r="C102" s="700" t="s">
        <v>580</v>
      </c>
      <c r="D102" s="700" t="s">
        <v>581</v>
      </c>
      <c r="E102" s="700" t="s">
        <v>582</v>
      </c>
      <c r="F102" s="700" t="s">
        <v>583</v>
      </c>
      <c r="G102" s="700" t="s">
        <v>584</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Top="1">
      <c r="A104" s="684"/>
      <c r="B104" s="2613" t="s">
        <v>2554</v>
      </c>
      <c r="C104" s="2614" t="s">
        <v>2555</v>
      </c>
      <c r="D104" s="2614" t="s">
        <v>2556</v>
      </c>
      <c r="E104" s="2614" t="s">
        <v>2557</v>
      </c>
      <c r="F104" s="2614" t="s">
        <v>2558</v>
      </c>
      <c r="G104" s="2614" t="s">
        <v>2559</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549</v>
      </c>
      <c r="C108" s="3482" t="s">
        <v>3294</v>
      </c>
      <c r="D108" s="3482" t="s">
        <v>3295</v>
      </c>
      <c r="E108" s="3482" t="s">
        <v>3291</v>
      </c>
      <c r="F108" s="3482" t="s">
        <v>3293</v>
      </c>
      <c r="G108" s="685"/>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550</v>
      </c>
      <c r="C110" s="715"/>
      <c r="D110" s="715"/>
      <c r="E110" s="715"/>
      <c r="F110" s="715"/>
      <c r="G110" s="715"/>
      <c r="H110" s="715"/>
      <c r="I110" s="715"/>
      <c r="J110" s="715"/>
      <c r="K110" s="716"/>
      <c r="L110" s="717"/>
      <c r="M110" s="71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2"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2"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5" t="str">
        <f t="shared" si="26"/>
        <v>(含)-</v>
      </c>
      <c r="K118" s="3105" t="str">
        <f t="shared" si="26"/>
        <v>(含)-</v>
      </c>
      <c r="L118" s="3106" t="str">
        <f t="shared" si="26"/>
        <v>(含)-</v>
      </c>
      <c r="M118" s="3107"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20000</v>
      </c>
      <c r="E119" s="727">
        <v>40000</v>
      </c>
      <c r="F119" s="727">
        <v>60000</v>
      </c>
      <c r="G119" s="727">
        <v>80000</v>
      </c>
      <c r="H119" s="727"/>
      <c r="I119" s="727"/>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101</v>
      </c>
      <c r="E120" s="723">
        <v>102</v>
      </c>
      <c r="F120" s="723">
        <v>103</v>
      </c>
      <c r="G120" s="723">
        <v>104</v>
      </c>
      <c r="H120" s="723">
        <v>110</v>
      </c>
      <c r="I120" s="723"/>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595</v>
      </c>
      <c r="C121" s="715"/>
      <c r="D121" s="715"/>
      <c r="E121" s="715"/>
      <c r="F121" s="715"/>
      <c r="G121" s="715"/>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596</v>
      </c>
      <c r="C123" s="685"/>
      <c r="D123" s="685"/>
      <c r="E123" s="685"/>
      <c r="F123" s="715"/>
      <c r="G123" s="715"/>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8"/>
      <c r="O124" s="2158"/>
      <c r="P124" s="2157"/>
      <c r="Q124" s="2150"/>
      <c r="R124" s="2137"/>
      <c r="S124" s="2137"/>
      <c r="T124" s="2137"/>
      <c r="U124" s="2137"/>
      <c r="V124" s="2137"/>
      <c r="W124" s="2137"/>
      <c r="X124" s="2137"/>
      <c r="Y124" s="2137"/>
      <c r="Z124" s="2137"/>
      <c r="AA124" s="2137"/>
      <c r="AB124" s="2137"/>
      <c r="AC124" s="2137"/>
    </row>
    <row r="125" spans="1:29" s="1332" customFormat="1" ht="15" thickTop="1">
      <c r="A125" s="725"/>
      <c r="B125" s="1888" t="s">
        <v>2427</v>
      </c>
      <c r="C125" s="1368"/>
      <c r="D125" s="1368"/>
      <c r="E125" s="1368"/>
      <c r="F125" s="1368"/>
      <c r="G125" s="1368"/>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597</v>
      </c>
      <c r="C127" s="685"/>
      <c r="D127" s="685"/>
      <c r="E127" s="715"/>
      <c r="F127" s="715"/>
      <c r="G127" s="715"/>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2"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2"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J36" sqref="J36"/>
    </sheetView>
  </sheetViews>
  <sheetFormatPr defaultRowHeight="11.25"/>
  <cols>
    <col min="1" max="1" width="16" style="3470" customWidth="1"/>
    <col min="2" max="2" width="9" style="3470"/>
    <col min="3" max="3" width="12.25" style="3470" customWidth="1"/>
    <col min="4" max="13" width="9" style="3470"/>
    <col min="14" max="14" width="31.25" style="3470" customWidth="1"/>
    <col min="15" max="16384" width="9" style="3470"/>
  </cols>
  <sheetData>
    <row r="1" spans="1:15" ht="36" customHeight="1">
      <c r="A1" s="3783" t="s">
        <v>3259</v>
      </c>
      <c r="B1" s="3783"/>
      <c r="C1" s="3783"/>
      <c r="D1" s="3783"/>
      <c r="E1" s="3783"/>
      <c r="F1" s="3783"/>
      <c r="G1" s="3783"/>
      <c r="H1" s="3783"/>
      <c r="I1" s="3783"/>
      <c r="J1" s="3783"/>
      <c r="K1" s="3783"/>
      <c r="L1" s="3783"/>
      <c r="M1" s="3783"/>
      <c r="N1" s="3783"/>
    </row>
    <row r="2" spans="1:15" s="3467" customFormat="1" ht="51.75" customHeight="1">
      <c r="A2" s="3471" t="s">
        <v>3219</v>
      </c>
      <c r="B2" s="3471" t="s">
        <v>3220</v>
      </c>
      <c r="C2" s="3471" t="s">
        <v>3221</v>
      </c>
      <c r="D2" s="3471" t="s">
        <v>3222</v>
      </c>
      <c r="E2" s="3471" t="s">
        <v>3223</v>
      </c>
      <c r="F2" s="3471" t="s">
        <v>2033</v>
      </c>
      <c r="G2" s="3471" t="s">
        <v>3224</v>
      </c>
      <c r="H2" s="3471" t="s">
        <v>3225</v>
      </c>
      <c r="I2" s="3471" t="s">
        <v>3226</v>
      </c>
      <c r="J2" s="3471" t="s">
        <v>3260</v>
      </c>
      <c r="K2" s="3471" t="s">
        <v>3228</v>
      </c>
      <c r="L2" s="3471" t="s">
        <v>3258</v>
      </c>
      <c r="M2" s="3471" t="s">
        <v>3229</v>
      </c>
      <c r="N2" s="3471" t="s">
        <v>3230</v>
      </c>
    </row>
    <row r="3" spans="1:15" s="3469" customFormat="1" ht="24.95" customHeight="1">
      <c r="A3" s="3472" t="s">
        <v>3231</v>
      </c>
      <c r="B3" s="3472" t="s">
        <v>3232</v>
      </c>
      <c r="C3" s="3472" t="s">
        <v>3233</v>
      </c>
      <c r="D3" s="3472">
        <v>12958.9</v>
      </c>
      <c r="E3" s="3472">
        <v>19438.349999999999</v>
      </c>
      <c r="F3" s="3472">
        <f>ROUND(E3/D3,3)</f>
        <v>1.5</v>
      </c>
      <c r="G3" s="3472" t="s">
        <v>3234</v>
      </c>
      <c r="H3" s="3472" t="s">
        <v>3235</v>
      </c>
      <c r="I3" s="3472">
        <v>2750</v>
      </c>
      <c r="J3" s="3472">
        <v>2750</v>
      </c>
      <c r="K3" s="3472">
        <v>1414.73</v>
      </c>
      <c r="L3" s="3472">
        <f>ROUND(J3/D3*10000,0)</f>
        <v>2122</v>
      </c>
      <c r="M3" s="3472">
        <v>0</v>
      </c>
      <c r="N3" s="3472" t="s">
        <v>3236</v>
      </c>
    </row>
    <row r="4" spans="1:15" s="3469" customFormat="1" ht="24.95" hidden="1" customHeight="1">
      <c r="A4" s="3472" t="s">
        <v>3237</v>
      </c>
      <c r="B4" s="3472" t="s">
        <v>3232</v>
      </c>
      <c r="C4" s="3472" t="s">
        <v>3233</v>
      </c>
      <c r="D4" s="3472">
        <v>1291</v>
      </c>
      <c r="E4" s="3472">
        <v>322.75</v>
      </c>
      <c r="F4" s="3472">
        <f t="shared" ref="F4:F11" si="0">ROUND(E4/D4,3)</f>
        <v>0.25</v>
      </c>
      <c r="G4" s="3472" t="s">
        <v>3234</v>
      </c>
      <c r="H4" s="3472" t="s">
        <v>3238</v>
      </c>
      <c r="I4" s="3472">
        <v>600</v>
      </c>
      <c r="J4" s="3472">
        <v>600</v>
      </c>
      <c r="K4" s="3472">
        <v>18590.240000000002</v>
      </c>
      <c r="L4" s="3472">
        <f t="shared" ref="L4:L11" si="1">ROUND(J4/D4*10000,0)</f>
        <v>4648</v>
      </c>
      <c r="M4" s="3472">
        <v>0</v>
      </c>
      <c r="N4" s="3472" t="s">
        <v>3239</v>
      </c>
    </row>
    <row r="5" spans="1:15" s="3469" customFormat="1" ht="24.95" hidden="1" customHeight="1">
      <c r="A5" s="3472" t="s">
        <v>3240</v>
      </c>
      <c r="B5" s="3472" t="s">
        <v>3232</v>
      </c>
      <c r="C5" s="3472" t="s">
        <v>3233</v>
      </c>
      <c r="D5" s="3472">
        <v>14054.5</v>
      </c>
      <c r="E5" s="3472">
        <v>8432.7000000000007</v>
      </c>
      <c r="F5" s="3472">
        <f t="shared" si="0"/>
        <v>0.6</v>
      </c>
      <c r="G5" s="3472" t="s">
        <v>3234</v>
      </c>
      <c r="H5" s="3472" t="s">
        <v>3238</v>
      </c>
      <c r="I5" s="3472">
        <v>5200</v>
      </c>
      <c r="J5" s="3472">
        <v>5200</v>
      </c>
      <c r="K5" s="3472">
        <v>6166.47</v>
      </c>
      <c r="L5" s="3472">
        <f t="shared" si="1"/>
        <v>3700</v>
      </c>
      <c r="M5" s="3472">
        <v>0</v>
      </c>
      <c r="N5" s="3472" t="s">
        <v>3241</v>
      </c>
    </row>
    <row r="6" spans="1:15" s="3469" customFormat="1" ht="24.95" customHeight="1">
      <c r="A6" s="3472" t="s">
        <v>3242</v>
      </c>
      <c r="B6" s="3472" t="s">
        <v>3232</v>
      </c>
      <c r="C6" s="3472" t="s">
        <v>3233</v>
      </c>
      <c r="D6" s="3472">
        <v>11372.3</v>
      </c>
      <c r="E6" s="3472">
        <v>11372.3</v>
      </c>
      <c r="F6" s="3472">
        <f>ROUND(E6/D6,3)</f>
        <v>1</v>
      </c>
      <c r="G6" s="3472" t="s">
        <v>3234</v>
      </c>
      <c r="H6" s="3472" t="s">
        <v>3243</v>
      </c>
      <c r="I6" s="3472">
        <v>2850</v>
      </c>
      <c r="J6" s="3472">
        <v>6200</v>
      </c>
      <c r="K6" s="3472">
        <v>5451.84</v>
      </c>
      <c r="L6" s="3472">
        <f>ROUND(J6/D6*10000,0)</f>
        <v>5452</v>
      </c>
      <c r="M6" s="3472">
        <v>117.54</v>
      </c>
      <c r="N6" s="3472" t="s">
        <v>3261</v>
      </c>
    </row>
    <row r="7" spans="1:15" s="3476" customFormat="1" ht="24.95" customHeight="1">
      <c r="A7" s="3475" t="s">
        <v>3245</v>
      </c>
      <c r="B7" s="3475" t="s">
        <v>3232</v>
      </c>
      <c r="C7" s="3475" t="s">
        <v>3233</v>
      </c>
      <c r="D7" s="3475">
        <v>23581.5</v>
      </c>
      <c r="E7" s="3475">
        <v>28297.8</v>
      </c>
      <c r="F7" s="3475">
        <f>ROUND(E7/D7,3)</f>
        <v>1.2</v>
      </c>
      <c r="G7" s="3475" t="s">
        <v>3234</v>
      </c>
      <c r="H7" s="3475" t="s">
        <v>3246</v>
      </c>
      <c r="I7" s="3475">
        <v>6000</v>
      </c>
      <c r="J7" s="3475">
        <v>6000</v>
      </c>
      <c r="K7" s="3475">
        <v>2120.3000000000002</v>
      </c>
      <c r="L7" s="3475">
        <f t="shared" si="1"/>
        <v>2544</v>
      </c>
      <c r="M7" s="3475">
        <v>0</v>
      </c>
      <c r="N7" s="3475" t="s">
        <v>3244</v>
      </c>
    </row>
    <row r="8" spans="1:15" s="3469" customFormat="1" ht="24.95" hidden="1" customHeight="1">
      <c r="A8" s="3468" t="s">
        <v>3237</v>
      </c>
      <c r="B8" s="3468" t="s">
        <v>3232</v>
      </c>
      <c r="C8" s="3468" t="s">
        <v>3233</v>
      </c>
      <c r="D8" s="3468">
        <v>1288.8</v>
      </c>
      <c r="E8" s="3468">
        <v>322.2</v>
      </c>
      <c r="F8" s="3468">
        <f t="shared" si="0"/>
        <v>0.25</v>
      </c>
      <c r="G8" s="3468" t="s">
        <v>3234</v>
      </c>
      <c r="H8" s="3468" t="s">
        <v>3247</v>
      </c>
      <c r="I8" s="3468" t="s">
        <v>2822</v>
      </c>
      <c r="J8" s="3468">
        <v>4200</v>
      </c>
      <c r="K8" s="3468">
        <v>130353.82</v>
      </c>
      <c r="L8" s="3468">
        <f t="shared" si="1"/>
        <v>32588</v>
      </c>
      <c r="M8" s="3468" t="s">
        <v>2822</v>
      </c>
      <c r="N8" s="3468" t="s">
        <v>3239</v>
      </c>
    </row>
    <row r="9" spans="1:15" s="3469" customFormat="1" ht="24.95" hidden="1" customHeight="1">
      <c r="A9" s="3468" t="s">
        <v>3248</v>
      </c>
      <c r="B9" s="3468" t="s">
        <v>3232</v>
      </c>
      <c r="C9" s="3468" t="s">
        <v>3233</v>
      </c>
      <c r="D9" s="3468">
        <v>1982</v>
      </c>
      <c r="E9" s="3468">
        <v>495.5</v>
      </c>
      <c r="F9" s="3468">
        <f t="shared" si="0"/>
        <v>0.25</v>
      </c>
      <c r="G9" s="3468" t="s">
        <v>3234</v>
      </c>
      <c r="H9" s="3468" t="s">
        <v>3249</v>
      </c>
      <c r="I9" s="3468">
        <v>700</v>
      </c>
      <c r="J9" s="3468">
        <v>1560</v>
      </c>
      <c r="K9" s="3468">
        <v>31483.34</v>
      </c>
      <c r="L9" s="3468">
        <f t="shared" si="1"/>
        <v>7871</v>
      </c>
      <c r="M9" s="3468">
        <v>122.86</v>
      </c>
      <c r="N9" s="3468" t="s">
        <v>3250</v>
      </c>
    </row>
    <row r="10" spans="1:15" s="3469" customFormat="1" ht="24.95" hidden="1" customHeight="1">
      <c r="A10" s="3468" t="s">
        <v>3251</v>
      </c>
      <c r="B10" s="3468" t="s">
        <v>3232</v>
      </c>
      <c r="C10" s="3468" t="s">
        <v>3233</v>
      </c>
      <c r="D10" s="3468">
        <v>2093.5</v>
      </c>
      <c r="E10" s="3468">
        <v>418.7</v>
      </c>
      <c r="F10" s="3468">
        <f t="shared" si="0"/>
        <v>0.2</v>
      </c>
      <c r="G10" s="3468" t="s">
        <v>3234</v>
      </c>
      <c r="H10" s="3468" t="s">
        <v>3252</v>
      </c>
      <c r="I10" s="3468">
        <v>713</v>
      </c>
      <c r="J10" s="3468">
        <v>713</v>
      </c>
      <c r="K10" s="3468">
        <v>17028.900000000001</v>
      </c>
      <c r="L10" s="3468">
        <f t="shared" si="1"/>
        <v>3406</v>
      </c>
      <c r="M10" s="3468">
        <v>0</v>
      </c>
      <c r="N10" s="3468" t="s">
        <v>3253</v>
      </c>
    </row>
    <row r="11" spans="1:15" s="3469" customFormat="1" ht="24.95" hidden="1" customHeight="1">
      <c r="A11" s="3468" t="s">
        <v>3254</v>
      </c>
      <c r="B11" s="3468" t="s">
        <v>3232</v>
      </c>
      <c r="C11" s="3468" t="s">
        <v>3233</v>
      </c>
      <c r="D11" s="3468">
        <v>1808.8</v>
      </c>
      <c r="E11" s="3468">
        <v>542.64</v>
      </c>
      <c r="F11" s="3468">
        <f t="shared" si="0"/>
        <v>0.3</v>
      </c>
      <c r="G11" s="3468" t="s">
        <v>3234</v>
      </c>
      <c r="H11" s="3468" t="s">
        <v>3255</v>
      </c>
      <c r="I11" s="3468">
        <v>554</v>
      </c>
      <c r="J11" s="3468">
        <v>554</v>
      </c>
      <c r="K11" s="3468">
        <v>10209.35</v>
      </c>
      <c r="L11" s="3468">
        <f t="shared" si="1"/>
        <v>3063</v>
      </c>
      <c r="M11" s="3468">
        <v>0</v>
      </c>
      <c r="N11" s="3468" t="s">
        <v>3256</v>
      </c>
    </row>
    <row r="12" spans="1:15">
      <c r="L12" s="3468"/>
    </row>
    <row r="16" spans="1:15" s="2955" customFormat="1" ht="40.5">
      <c r="A16" s="3474" t="s">
        <v>3219</v>
      </c>
      <c r="B16" s="3474" t="s">
        <v>3220</v>
      </c>
      <c r="C16" s="3474" t="s">
        <v>3221</v>
      </c>
      <c r="D16" s="3474" t="s">
        <v>3222</v>
      </c>
      <c r="E16" s="3474" t="s">
        <v>3223</v>
      </c>
      <c r="F16" s="3474" t="s">
        <v>2033</v>
      </c>
      <c r="G16" s="3474" t="s">
        <v>3224</v>
      </c>
      <c r="H16" s="3474" t="s">
        <v>3225</v>
      </c>
      <c r="I16" s="3474" t="s">
        <v>3226</v>
      </c>
      <c r="J16" s="3474" t="s">
        <v>3227</v>
      </c>
      <c r="K16" s="3474" t="s">
        <v>3228</v>
      </c>
      <c r="L16" s="3474" t="s">
        <v>3257</v>
      </c>
      <c r="M16" s="3474" t="s">
        <v>3229</v>
      </c>
      <c r="N16" s="3474" t="s">
        <v>3230</v>
      </c>
      <c r="O16" s="3473"/>
    </row>
    <row r="17" spans="1:15" s="2955" customFormat="1" ht="27" hidden="1">
      <c r="A17" s="3474" t="s">
        <v>3262</v>
      </c>
      <c r="B17" s="3474" t="s">
        <v>3232</v>
      </c>
      <c r="C17" s="3474" t="s">
        <v>3233</v>
      </c>
      <c r="D17" s="3474">
        <v>28398.400000000001</v>
      </c>
      <c r="E17" s="3474">
        <v>22718.720000000001</v>
      </c>
      <c r="F17" s="3474">
        <f>E17/D17</f>
        <v>0.8</v>
      </c>
      <c r="G17" s="3471" t="s">
        <v>3234</v>
      </c>
      <c r="H17" s="3474" t="s">
        <v>3235</v>
      </c>
      <c r="I17" s="3474">
        <v>8850</v>
      </c>
      <c r="J17" s="3474">
        <v>8850</v>
      </c>
      <c r="K17" s="3474">
        <v>3895.46</v>
      </c>
      <c r="L17" s="3472">
        <f>ROUND(J17/D17*10000,0)</f>
        <v>3116</v>
      </c>
      <c r="M17" s="3474">
        <v>0</v>
      </c>
      <c r="N17" s="3474" t="s">
        <v>3263</v>
      </c>
      <c r="O17" s="3473"/>
    </row>
    <row r="18" spans="1:15" s="2955" customFormat="1" ht="27" hidden="1">
      <c r="A18" s="3474" t="s">
        <v>3264</v>
      </c>
      <c r="B18" s="3474" t="s">
        <v>3232</v>
      </c>
      <c r="C18" s="3474" t="s">
        <v>3233</v>
      </c>
      <c r="D18" s="3474">
        <v>30344.5</v>
      </c>
      <c r="E18" s="3474">
        <v>24275.599999999999</v>
      </c>
      <c r="F18" s="3474">
        <f t="shared" ref="F18:F28" si="2">E18/D18</f>
        <v>0.79999999999999993</v>
      </c>
      <c r="G18" s="3474" t="s">
        <v>3234</v>
      </c>
      <c r="H18" s="3474" t="s">
        <v>3235</v>
      </c>
      <c r="I18" s="3474">
        <v>9460</v>
      </c>
      <c r="J18" s="3474">
        <v>9460</v>
      </c>
      <c r="K18" s="3474">
        <v>3896.92</v>
      </c>
      <c r="L18" s="3472">
        <f t="shared" ref="L18:L28" si="3">ROUND(J18/D18*10000,0)</f>
        <v>3118</v>
      </c>
      <c r="M18" s="3474">
        <v>0</v>
      </c>
      <c r="N18" s="3474" t="s">
        <v>3263</v>
      </c>
      <c r="O18" s="3473"/>
    </row>
    <row r="19" spans="1:15" s="3479" customFormat="1" ht="27">
      <c r="A19" s="3477" t="s">
        <v>3265</v>
      </c>
      <c r="B19" s="3477" t="s">
        <v>3232</v>
      </c>
      <c r="C19" s="3477" t="s">
        <v>3233</v>
      </c>
      <c r="D19" s="3477">
        <v>17452.599999999999</v>
      </c>
      <c r="E19" s="3477">
        <v>34905.199999999997</v>
      </c>
      <c r="F19" s="3477">
        <f t="shared" si="2"/>
        <v>2</v>
      </c>
      <c r="G19" s="3477" t="s">
        <v>3234</v>
      </c>
      <c r="H19" s="3477" t="s">
        <v>3235</v>
      </c>
      <c r="I19" s="3477">
        <v>9070</v>
      </c>
      <c r="J19" s="3477">
        <v>9070</v>
      </c>
      <c r="K19" s="3477">
        <v>2598.46</v>
      </c>
      <c r="L19" s="3475">
        <f t="shared" si="3"/>
        <v>5197</v>
      </c>
      <c r="M19" s="3477">
        <v>0</v>
      </c>
      <c r="N19" s="3477" t="s">
        <v>3266</v>
      </c>
      <c r="O19" s="3478"/>
    </row>
    <row r="20" spans="1:15" s="2955" customFormat="1" ht="27" hidden="1">
      <c r="A20" s="3474" t="s">
        <v>3267</v>
      </c>
      <c r="B20" s="3474" t="s">
        <v>3232</v>
      </c>
      <c r="C20" s="3474" t="s">
        <v>3233</v>
      </c>
      <c r="D20" s="3474">
        <v>9594.6</v>
      </c>
      <c r="E20" s="3474">
        <v>7675.68</v>
      </c>
      <c r="F20" s="3474">
        <f t="shared" si="2"/>
        <v>0.8</v>
      </c>
      <c r="G20" s="3474" t="s">
        <v>3234</v>
      </c>
      <c r="H20" s="3474" t="s">
        <v>3235</v>
      </c>
      <c r="I20" s="3474">
        <v>2990</v>
      </c>
      <c r="J20" s="3474">
        <v>2990</v>
      </c>
      <c r="K20" s="3474">
        <v>3895.42</v>
      </c>
      <c r="L20" s="3472">
        <f t="shared" si="3"/>
        <v>3116</v>
      </c>
      <c r="M20" s="3474">
        <v>0</v>
      </c>
      <c r="N20" s="3474" t="s">
        <v>3263</v>
      </c>
      <c r="O20" s="3473"/>
    </row>
    <row r="21" spans="1:15" s="2955" customFormat="1" ht="27">
      <c r="A21" s="3474" t="s">
        <v>3268</v>
      </c>
      <c r="B21" s="3474" t="s">
        <v>3232</v>
      </c>
      <c r="C21" s="3474" t="s">
        <v>3233</v>
      </c>
      <c r="D21" s="3474">
        <v>114503.3</v>
      </c>
      <c r="E21" s="3474">
        <v>171754.95</v>
      </c>
      <c r="F21" s="3474">
        <f t="shared" si="2"/>
        <v>1.5</v>
      </c>
      <c r="G21" s="3474" t="s">
        <v>3234</v>
      </c>
      <c r="H21" s="3474" t="s">
        <v>3269</v>
      </c>
      <c r="I21" s="3474">
        <v>27300</v>
      </c>
      <c r="J21" s="3474">
        <v>27300</v>
      </c>
      <c r="K21" s="3474">
        <v>1589.47</v>
      </c>
      <c r="L21" s="3472">
        <f t="shared" si="3"/>
        <v>2384</v>
      </c>
      <c r="M21" s="3474">
        <v>0</v>
      </c>
      <c r="N21" s="3474" t="s">
        <v>3270</v>
      </c>
      <c r="O21" s="3473"/>
    </row>
    <row r="22" spans="1:15" s="2955" customFormat="1" ht="27">
      <c r="A22" s="3474" t="s">
        <v>3271</v>
      </c>
      <c r="B22" s="3474" t="s">
        <v>3232</v>
      </c>
      <c r="C22" s="3474" t="s">
        <v>3233</v>
      </c>
      <c r="D22" s="3474">
        <v>164991.9</v>
      </c>
      <c r="E22" s="3474">
        <v>230988.66</v>
      </c>
      <c r="F22" s="3474">
        <f t="shared" si="2"/>
        <v>1.4000000000000001</v>
      </c>
      <c r="G22" s="3474" t="s">
        <v>3234</v>
      </c>
      <c r="H22" s="3474" t="s">
        <v>3269</v>
      </c>
      <c r="I22" s="3474">
        <v>27700</v>
      </c>
      <c r="J22" s="3474">
        <v>27700</v>
      </c>
      <c r="K22" s="3474">
        <v>1199.19</v>
      </c>
      <c r="L22" s="3472">
        <f t="shared" si="3"/>
        <v>1679</v>
      </c>
      <c r="M22" s="3474">
        <v>0</v>
      </c>
      <c r="N22" s="3474" t="s">
        <v>3270</v>
      </c>
      <c r="O22" s="3473"/>
    </row>
    <row r="23" spans="1:15" s="2955" customFormat="1" ht="27">
      <c r="A23" s="3474" t="s">
        <v>3272</v>
      </c>
      <c r="B23" s="3474" t="s">
        <v>3232</v>
      </c>
      <c r="C23" s="3474" t="s">
        <v>3233</v>
      </c>
      <c r="D23" s="3474">
        <v>9263</v>
      </c>
      <c r="E23" s="3474">
        <v>11115.6</v>
      </c>
      <c r="F23" s="3474">
        <f t="shared" si="2"/>
        <v>1.2</v>
      </c>
      <c r="G23" s="3474" t="s">
        <v>3234</v>
      </c>
      <c r="H23" s="3474" t="s">
        <v>3273</v>
      </c>
      <c r="I23" s="3474">
        <v>2080</v>
      </c>
      <c r="J23" s="3474">
        <v>2080</v>
      </c>
      <c r="K23" s="3474">
        <v>1871.24</v>
      </c>
      <c r="L23" s="3472">
        <f t="shared" si="3"/>
        <v>2245</v>
      </c>
      <c r="M23" s="3474">
        <v>0</v>
      </c>
      <c r="N23" s="3474" t="s">
        <v>3274</v>
      </c>
      <c r="O23" s="3473"/>
    </row>
    <row r="24" spans="1:15" s="2955" customFormat="1" ht="27">
      <c r="A24" s="3474" t="s">
        <v>3275</v>
      </c>
      <c r="B24" s="3474" t="s">
        <v>3232</v>
      </c>
      <c r="C24" s="3474" t="s">
        <v>3233</v>
      </c>
      <c r="D24" s="3474">
        <v>8908.7000000000007</v>
      </c>
      <c r="E24" s="3474">
        <v>11581.31</v>
      </c>
      <c r="F24" s="3474">
        <f t="shared" si="2"/>
        <v>1.2999999999999998</v>
      </c>
      <c r="G24" s="3474" t="s">
        <v>3234</v>
      </c>
      <c r="H24" s="3474" t="s">
        <v>3276</v>
      </c>
      <c r="I24" s="3474">
        <v>1400</v>
      </c>
      <c r="J24" s="3474">
        <v>1400</v>
      </c>
      <c r="K24" s="3474">
        <v>1208.83</v>
      </c>
      <c r="L24" s="3472">
        <f t="shared" si="3"/>
        <v>1571</v>
      </c>
      <c r="M24" s="3474">
        <v>0</v>
      </c>
      <c r="N24" s="3474" t="s">
        <v>3270</v>
      </c>
      <c r="O24" s="3473"/>
    </row>
    <row r="25" spans="1:15" s="2955" customFormat="1" ht="27">
      <c r="A25" s="3474" t="s">
        <v>3277</v>
      </c>
      <c r="B25" s="3474" t="s">
        <v>3232</v>
      </c>
      <c r="C25" s="3474" t="s">
        <v>3233</v>
      </c>
      <c r="D25" s="3474">
        <v>64118</v>
      </c>
      <c r="E25" s="3474">
        <v>76941.600000000006</v>
      </c>
      <c r="F25" s="3474">
        <f t="shared" si="2"/>
        <v>1.2000000000000002</v>
      </c>
      <c r="G25" s="3474" t="s">
        <v>3234</v>
      </c>
      <c r="H25" s="3474" t="s">
        <v>3276</v>
      </c>
      <c r="I25" s="3474">
        <v>13500</v>
      </c>
      <c r="J25" s="3474">
        <v>13500</v>
      </c>
      <c r="K25" s="3474">
        <v>1754.57</v>
      </c>
      <c r="L25" s="3472">
        <f t="shared" si="3"/>
        <v>2105</v>
      </c>
      <c r="M25" s="3474">
        <v>0</v>
      </c>
      <c r="N25" s="3474" t="s">
        <v>3278</v>
      </c>
      <c r="O25" s="3473"/>
    </row>
    <row r="26" spans="1:15" s="3479" customFormat="1" ht="27">
      <c r="A26" s="3477" t="s">
        <v>3279</v>
      </c>
      <c r="B26" s="3477" t="s">
        <v>3232</v>
      </c>
      <c r="C26" s="3477" t="s">
        <v>3233</v>
      </c>
      <c r="D26" s="3477">
        <v>39629</v>
      </c>
      <c r="E26" s="3477">
        <v>99072.5</v>
      </c>
      <c r="F26" s="3477">
        <f t="shared" si="2"/>
        <v>2.5</v>
      </c>
      <c r="G26" s="3477" t="s">
        <v>3234</v>
      </c>
      <c r="H26" s="3477" t="s">
        <v>3243</v>
      </c>
      <c r="I26" s="3477">
        <v>23000</v>
      </c>
      <c r="J26" s="3477">
        <v>23000</v>
      </c>
      <c r="K26" s="3477">
        <v>2321.5300000000002</v>
      </c>
      <c r="L26" s="3475">
        <f t="shared" si="3"/>
        <v>5804</v>
      </c>
      <c r="M26" s="3477">
        <v>0</v>
      </c>
      <c r="N26" s="3477" t="s">
        <v>3280</v>
      </c>
      <c r="O26" s="3478"/>
    </row>
    <row r="27" spans="1:15" s="2955" customFormat="1" ht="27">
      <c r="A27" s="3474" t="s">
        <v>3281</v>
      </c>
      <c r="B27" s="3474" t="s">
        <v>3232</v>
      </c>
      <c r="C27" s="3474" t="s">
        <v>3233</v>
      </c>
      <c r="D27" s="3474">
        <v>248899.6</v>
      </c>
      <c r="E27" s="3474">
        <v>323569.5</v>
      </c>
      <c r="F27" s="3474">
        <f t="shared" si="2"/>
        <v>1.3000000803536846</v>
      </c>
      <c r="G27" s="3474" t="s">
        <v>3234</v>
      </c>
      <c r="H27" s="3474" t="s">
        <v>3243</v>
      </c>
      <c r="I27" s="3474">
        <v>137194</v>
      </c>
      <c r="J27" s="3474">
        <v>137194</v>
      </c>
      <c r="K27" s="3474">
        <v>4240.0200000000004</v>
      </c>
      <c r="L27" s="3472">
        <f t="shared" si="3"/>
        <v>5512</v>
      </c>
      <c r="M27" s="3474">
        <v>0</v>
      </c>
      <c r="N27" s="3474" t="s">
        <v>3282</v>
      </c>
      <c r="O27" s="3473"/>
    </row>
    <row r="28" spans="1:15" s="2955" customFormat="1" ht="27">
      <c r="A28" s="3474" t="s">
        <v>3283</v>
      </c>
      <c r="B28" s="3474" t="s">
        <v>3232</v>
      </c>
      <c r="C28" s="3474" t="s">
        <v>3233</v>
      </c>
      <c r="D28" s="3474">
        <v>98577.600000000006</v>
      </c>
      <c r="E28" s="3474">
        <v>128150.88</v>
      </c>
      <c r="F28" s="3474">
        <f t="shared" si="2"/>
        <v>1.3</v>
      </c>
      <c r="G28" s="3474" t="s">
        <v>3234</v>
      </c>
      <c r="H28" s="3474" t="s">
        <v>3246</v>
      </c>
      <c r="I28" s="3474">
        <v>16500</v>
      </c>
      <c r="J28" s="3474">
        <v>16500</v>
      </c>
      <c r="K28" s="3474">
        <v>1287.53</v>
      </c>
      <c r="L28" s="3472">
        <f t="shared" si="3"/>
        <v>1674</v>
      </c>
      <c r="M28" s="3474">
        <v>0</v>
      </c>
      <c r="N28" s="3474" t="s">
        <v>3284</v>
      </c>
      <c r="O28" s="3473"/>
    </row>
  </sheetData>
  <mergeCells count="1">
    <mergeCell ref="A1:N1"/>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6"/>
    </row>
    <row r="6" spans="1:29" ht="15">
      <c r="A6" s="510" t="s">
        <v>522</v>
      </c>
      <c r="B6" s="511"/>
      <c r="C6" s="3764" t="s">
        <v>523</v>
      </c>
      <c r="D6" s="3765"/>
      <c r="E6" s="3789" t="s">
        <v>524</v>
      </c>
      <c r="F6" s="3790"/>
      <c r="G6" s="3764" t="s">
        <v>525</v>
      </c>
      <c r="H6" s="3765"/>
      <c r="I6" s="3764" t="s">
        <v>526</v>
      </c>
      <c r="J6" s="3765"/>
      <c r="K6" s="512" t="s">
        <v>527</v>
      </c>
      <c r="L6" s="2125"/>
      <c r="M6" s="2126"/>
      <c r="N6" s="2126"/>
      <c r="O6" s="2126"/>
      <c r="P6" s="3766" t="s">
        <v>528</v>
      </c>
      <c r="Q6" s="3767"/>
      <c r="R6" s="3752" t="s">
        <v>524</v>
      </c>
      <c r="S6" s="3753"/>
      <c r="T6" s="3752" t="s">
        <v>525</v>
      </c>
      <c r="U6" s="3753"/>
      <c r="V6" s="3772" t="s">
        <v>526</v>
      </c>
      <c r="W6" s="3772"/>
      <c r="X6" s="1559"/>
      <c r="Y6" s="3752" t="s">
        <v>528</v>
      </c>
      <c r="Z6" s="3753"/>
      <c r="AA6" s="3747" t="s">
        <v>524</v>
      </c>
      <c r="AB6" s="3748" t="s">
        <v>525</v>
      </c>
      <c r="AC6" s="3747" t="s">
        <v>526</v>
      </c>
    </row>
    <row r="7" spans="1:29" ht="15">
      <c r="A7" s="513"/>
      <c r="B7" s="514"/>
      <c r="C7" s="3775" t="s">
        <v>2929</v>
      </c>
      <c r="D7" s="3776"/>
      <c r="E7" s="3791" t="s">
        <v>2930</v>
      </c>
      <c r="F7" s="3792"/>
      <c r="G7" s="3775" t="s">
        <v>2931</v>
      </c>
      <c r="H7" s="3776"/>
      <c r="I7" s="3775" t="s">
        <v>2932</v>
      </c>
      <c r="J7" s="3776"/>
      <c r="K7" s="512"/>
      <c r="L7" s="2125"/>
      <c r="M7" s="2126"/>
      <c r="N7" s="2126"/>
      <c r="O7" s="2126"/>
      <c r="P7" s="3768"/>
      <c r="Q7" s="3769"/>
      <c r="R7" s="3754"/>
      <c r="S7" s="3755"/>
      <c r="T7" s="3754"/>
      <c r="U7" s="3755"/>
      <c r="V7" s="3772"/>
      <c r="W7" s="3772"/>
      <c r="X7" s="1559"/>
      <c r="Y7" s="3754"/>
      <c r="Z7" s="3755"/>
      <c r="AA7" s="3748"/>
      <c r="AB7" s="3748"/>
      <c r="AC7" s="3748"/>
    </row>
    <row r="8" spans="1:29" ht="15.75" thickBot="1">
      <c r="A8" s="515"/>
      <c r="B8" s="516"/>
      <c r="C8" s="3773" t="s">
        <v>2933</v>
      </c>
      <c r="D8" s="3774"/>
      <c r="E8" s="3793" t="s">
        <v>2933</v>
      </c>
      <c r="F8" s="3794"/>
      <c r="G8" s="3773" t="s">
        <v>2933</v>
      </c>
      <c r="H8" s="3774"/>
      <c r="I8" s="3773" t="s">
        <v>2933</v>
      </c>
      <c r="J8" s="3774"/>
      <c r="K8" s="512" t="s">
        <v>529</v>
      </c>
      <c r="L8" s="2125"/>
      <c r="M8" s="2126"/>
      <c r="N8" s="2126"/>
      <c r="O8" s="2126"/>
      <c r="P8" s="3770"/>
      <c r="Q8" s="3771"/>
      <c r="R8" s="3754"/>
      <c r="S8" s="3755"/>
      <c r="T8" s="3756"/>
      <c r="U8" s="3757"/>
      <c r="V8" s="3772"/>
      <c r="W8" s="3772"/>
      <c r="X8" s="1559"/>
      <c r="Y8" s="3756"/>
      <c r="Z8" s="3757"/>
      <c r="AA8" s="3749"/>
      <c r="AB8" s="3749"/>
      <c r="AC8" s="3749"/>
    </row>
    <row r="9" spans="1:29" s="1213" customFormat="1" ht="15.75" thickBot="1">
      <c r="A9" s="2928"/>
      <c r="B9" s="2935" t="s">
        <v>530</v>
      </c>
      <c r="C9" s="517">
        <f>'数据-取费表'!B2</f>
        <v>43271</v>
      </c>
      <c r="D9" s="518">
        <v>100</v>
      </c>
      <c r="E9" s="519"/>
      <c r="F9" s="520">
        <f>SUMIF(67:67,YEAR(E9)&amp;"-"&amp;INT((MONTH(E9)+2)/3),68:68)</f>
        <v>0</v>
      </c>
      <c r="G9" s="521"/>
      <c r="H9" s="518">
        <f>SUMIF(67:67,YEAR(G9)&amp;"-"&amp;INT((MONTH(G9)+2)/3),68:68)</f>
        <v>0</v>
      </c>
      <c r="I9" s="521"/>
      <c r="J9" s="518">
        <f>SUMIF(67:67,YEAR(I9)&amp;"-"&amp;INT((MONTH(I9)+2)/3),68:68)</f>
        <v>0</v>
      </c>
      <c r="K9" s="522"/>
      <c r="L9" s="2127"/>
      <c r="M9" s="2128"/>
      <c r="N9" s="2128"/>
      <c r="O9" s="2128"/>
      <c r="P9" s="3750" t="s">
        <v>531</v>
      </c>
      <c r="Q9" s="3759"/>
      <c r="R9" s="1560" t="s">
        <v>8</v>
      </c>
      <c r="S9" s="1561">
        <f t="shared" ref="S9:S17" si="0">F9</f>
        <v>0</v>
      </c>
      <c r="T9" s="1560" t="s">
        <v>8</v>
      </c>
      <c r="U9" s="1561">
        <f t="shared" ref="U9:U17" si="1">H9</f>
        <v>0</v>
      </c>
      <c r="V9" s="1560" t="s">
        <v>8</v>
      </c>
      <c r="W9" s="1561">
        <f t="shared" ref="W9:W17" si="2">J9</f>
        <v>0</v>
      </c>
      <c r="X9" s="1562"/>
      <c r="Y9" s="3750" t="s">
        <v>531</v>
      </c>
      <c r="Z9" s="3751"/>
      <c r="AA9" s="1563" t="e">
        <f>D9/F9</f>
        <v>#DIV/0!</v>
      </c>
      <c r="AB9" s="1563" t="e">
        <f>D9/H9</f>
        <v>#DIV/0!</v>
      </c>
      <c r="AC9" s="1563" t="e">
        <f>D9/J9</f>
        <v>#DIV/0!</v>
      </c>
    </row>
    <row r="10" spans="1:29" s="1213" customFormat="1" ht="15.75" thickBot="1">
      <c r="A10" s="2929"/>
      <c r="B10" s="2936"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7"/>
      <c r="M10" s="2128"/>
      <c r="N10" s="2128"/>
      <c r="O10" s="2128"/>
      <c r="P10" s="3750" t="s">
        <v>534</v>
      </c>
      <c r="Q10" s="3751"/>
      <c r="R10" s="1560" t="s">
        <v>8</v>
      </c>
      <c r="S10" s="1561">
        <f t="shared" si="0"/>
        <v>0</v>
      </c>
      <c r="T10" s="1560" t="s">
        <v>8</v>
      </c>
      <c r="U10" s="1561">
        <f t="shared" si="1"/>
        <v>0</v>
      </c>
      <c r="V10" s="1560" t="s">
        <v>8</v>
      </c>
      <c r="W10" s="1561">
        <f t="shared" si="2"/>
        <v>0</v>
      </c>
      <c r="X10" s="1562"/>
      <c r="Y10" s="3750" t="s">
        <v>534</v>
      </c>
      <c r="Z10" s="3751"/>
      <c r="AA10" s="1563" t="e">
        <f t="shared" ref="AA10:AA42" si="3">D10/F10</f>
        <v>#DIV/0!</v>
      </c>
      <c r="AB10" s="1563" t="e">
        <f t="shared" ref="AB10:AB42" si="4">D10/H10</f>
        <v>#DIV/0!</v>
      </c>
      <c r="AC10" s="1563" t="e">
        <f t="shared" ref="AC10:AC42" si="5">D10/J10</f>
        <v>#DIV/0!</v>
      </c>
    </row>
    <row r="11" spans="1:29" s="1213" customFormat="1" ht="15">
      <c r="A11" s="2930"/>
      <c r="B11" s="2937" t="s">
        <v>2760</v>
      </c>
      <c r="C11" s="524"/>
      <c r="D11" s="252">
        <v>100</v>
      </c>
      <c r="E11" s="524"/>
      <c r="F11" s="252">
        <f>SUMIF(72:72,E11,73:73)-SUMIF(72:72,C11,73:73)+100</f>
        <v>100</v>
      </c>
      <c r="G11" s="524"/>
      <c r="H11" s="252">
        <f>SUMIF(72:72,G11,73:73)-SUMIF(72:72,C11,73:73)+100</f>
        <v>100</v>
      </c>
      <c r="I11" s="524"/>
      <c r="J11" s="252">
        <f>SUMIF(72:72,I11,73:73)-SUMIF(72:72,C11,73:73)+100</f>
        <v>100</v>
      </c>
      <c r="K11" s="522"/>
      <c r="L11" s="2127"/>
      <c r="M11" s="2128"/>
      <c r="N11" s="2128"/>
      <c r="O11" s="2129"/>
      <c r="P11" s="3758" t="s">
        <v>536</v>
      </c>
      <c r="Q11" s="1144" t="str">
        <f t="shared" ref="Q11:Q17" si="6">B11</f>
        <v>用途</v>
      </c>
      <c r="R11" s="1560" t="s">
        <v>8</v>
      </c>
      <c r="S11" s="1561">
        <f t="shared" si="0"/>
        <v>100</v>
      </c>
      <c r="T11" s="1560" t="s">
        <v>8</v>
      </c>
      <c r="U11" s="1561">
        <f t="shared" si="1"/>
        <v>100</v>
      </c>
      <c r="V11" s="1560" t="s">
        <v>8</v>
      </c>
      <c r="W11" s="1561">
        <f t="shared" si="2"/>
        <v>100</v>
      </c>
      <c r="X11" s="1562"/>
      <c r="Y11" s="3715" t="s">
        <v>537</v>
      </c>
      <c r="Z11" s="1143" t="str">
        <f t="shared" ref="Z11:Z17" si="7">Q11</f>
        <v>用途</v>
      </c>
      <c r="AA11" s="1563">
        <f t="shared" si="3"/>
        <v>1</v>
      </c>
      <c r="AB11" s="1563">
        <f t="shared" si="4"/>
        <v>1</v>
      </c>
      <c r="AC11" s="1563">
        <f t="shared" si="5"/>
        <v>1</v>
      </c>
    </row>
    <row r="12" spans="1:29" s="1331" customFormat="1" ht="27">
      <c r="A12" s="2931"/>
      <c r="B12" s="2936" t="s">
        <v>2761</v>
      </c>
      <c r="C12" s="526"/>
      <c r="D12" s="253">
        <v>100</v>
      </c>
      <c r="E12" s="526"/>
      <c r="F12" s="253">
        <f>ROUND(100/'数据-取费表'!G16,0)</f>
        <v>104</v>
      </c>
      <c r="G12" s="526"/>
      <c r="H12" s="253">
        <f>ROUND(100/'数据-取费表'!G16,0)</f>
        <v>104</v>
      </c>
      <c r="I12" s="526"/>
      <c r="J12" s="253">
        <f>ROUND(100/'数据-取费表'!G16,0)</f>
        <v>104</v>
      </c>
      <c r="K12" s="529"/>
      <c r="L12" s="2130"/>
      <c r="M12" s="2170"/>
      <c r="N12" s="2170"/>
      <c r="O12" s="2131"/>
      <c r="P12" s="3758"/>
      <c r="Q12" s="1144" t="str">
        <f t="shared" si="6"/>
        <v>土地使用年限（年）</v>
      </c>
      <c r="R12" s="1560" t="s">
        <v>8</v>
      </c>
      <c r="S12" s="1561">
        <f t="shared" si="0"/>
        <v>104</v>
      </c>
      <c r="T12" s="1560" t="s">
        <v>8</v>
      </c>
      <c r="U12" s="1561">
        <f t="shared" si="1"/>
        <v>104</v>
      </c>
      <c r="V12" s="1560" t="s">
        <v>8</v>
      </c>
      <c r="W12" s="1561">
        <f t="shared" si="2"/>
        <v>104</v>
      </c>
      <c r="X12" s="1562"/>
      <c r="Y12" s="3715"/>
      <c r="Z12" s="1143" t="str">
        <f t="shared" si="7"/>
        <v>土地使用年限（年）</v>
      </c>
      <c r="AA12" s="1563">
        <f t="shared" si="3"/>
        <v>0.96153846153846156</v>
      </c>
      <c r="AB12" s="1563">
        <f t="shared" si="4"/>
        <v>0.96153846153846156</v>
      </c>
      <c r="AC12" s="1563">
        <f t="shared" si="5"/>
        <v>0.96153846153846156</v>
      </c>
    </row>
    <row r="13" spans="1:29" ht="15">
      <c r="A13" s="2932"/>
      <c r="B13" s="2936"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2"/>
      <c r="M13" s="2126"/>
      <c r="N13" s="2126"/>
      <c r="O13" s="2133"/>
      <c r="P13" s="3758"/>
      <c r="Q13" s="1144" t="str">
        <f t="shared" si="6"/>
        <v>容积率</v>
      </c>
      <c r="R13" s="1560" t="s">
        <v>8</v>
      </c>
      <c r="S13" s="1561" t="e">
        <f t="shared" si="0"/>
        <v>#N/A</v>
      </c>
      <c r="T13" s="1560" t="s">
        <v>8</v>
      </c>
      <c r="U13" s="1561" t="e">
        <f t="shared" si="1"/>
        <v>#N/A</v>
      </c>
      <c r="V13" s="1560" t="s">
        <v>8</v>
      </c>
      <c r="W13" s="1561" t="e">
        <f t="shared" si="2"/>
        <v>#N/A</v>
      </c>
      <c r="X13" s="1562"/>
      <c r="Y13" s="3715"/>
      <c r="Z13" s="1143" t="str">
        <f t="shared" si="7"/>
        <v>容积率</v>
      </c>
      <c r="AA13" s="1563" t="e">
        <f t="shared" si="3"/>
        <v>#N/A</v>
      </c>
      <c r="AB13" s="1563" t="e">
        <f t="shared" si="4"/>
        <v>#N/A</v>
      </c>
      <c r="AC13" s="1563" t="e">
        <f t="shared" si="5"/>
        <v>#N/A</v>
      </c>
    </row>
    <row r="14" spans="1:29" s="1213" customFormat="1" ht="15">
      <c r="A14" s="2933"/>
      <c r="B14" s="2939">
        <v>111</v>
      </c>
      <c r="C14" s="526"/>
      <c r="D14" s="536">
        <v>100</v>
      </c>
      <c r="E14" s="539"/>
      <c r="F14" s="253">
        <f>SUMIF(79:79,E14,80:80)-SUMIF(79:79,C14,80:80)+100</f>
        <v>100</v>
      </c>
      <c r="G14" s="540"/>
      <c r="H14" s="253">
        <f>SUMIF(79:79,G14,80:80)-SUMIF(79:79,C14,80:80)+100</f>
        <v>100</v>
      </c>
      <c r="I14" s="539"/>
      <c r="J14" s="253">
        <f>SUMIF(79:79,I14,80:80)-SUMIF(79:79,C14,80:80)+100</f>
        <v>100</v>
      </c>
      <c r="K14" s="529"/>
      <c r="L14" s="2127"/>
      <c r="M14" s="2128"/>
      <c r="N14" s="2128"/>
      <c r="O14" s="2129"/>
      <c r="P14" s="3758"/>
      <c r="Q14" s="1144">
        <f t="shared" si="6"/>
        <v>111</v>
      </c>
      <c r="R14" s="1560" t="s">
        <v>8</v>
      </c>
      <c r="S14" s="1561">
        <f t="shared" si="0"/>
        <v>100</v>
      </c>
      <c r="T14" s="1560" t="s">
        <v>8</v>
      </c>
      <c r="U14" s="1561">
        <f t="shared" si="1"/>
        <v>100</v>
      </c>
      <c r="V14" s="1560" t="s">
        <v>8</v>
      </c>
      <c r="W14" s="1561">
        <f t="shared" si="2"/>
        <v>100</v>
      </c>
      <c r="X14" s="1562"/>
      <c r="Y14" s="3715"/>
      <c r="Z14" s="1143">
        <f t="shared" si="7"/>
        <v>111</v>
      </c>
      <c r="AA14" s="1563">
        <f>D14/F14</f>
        <v>1</v>
      </c>
      <c r="AB14" s="1563">
        <f>D14/H14</f>
        <v>1</v>
      </c>
      <c r="AC14" s="1563">
        <f>D14/J14</f>
        <v>1</v>
      </c>
    </row>
    <row r="15" spans="1:29" ht="15">
      <c r="A15" s="2933"/>
      <c r="B15" s="2939">
        <v>111</v>
      </c>
      <c r="C15" s="537"/>
      <c r="D15" s="538">
        <v>100</v>
      </c>
      <c r="E15" s="539"/>
      <c r="F15" s="253">
        <f>SUMIF(81:81,E15,82:82)-SUMIF(81:81,C15,82:82)+100</f>
        <v>100</v>
      </c>
      <c r="G15" s="540"/>
      <c r="H15" s="538">
        <f>SUMIF(81:81,G15,82:82)-SUMIF(81:81,C15,82:82)+100</f>
        <v>100</v>
      </c>
      <c r="I15" s="539"/>
      <c r="J15" s="538">
        <f>SUMIF(81:81,I15,82:82)-SUMIF(81:81,C15,82:82)+100</f>
        <v>100</v>
      </c>
      <c r="K15" s="529"/>
      <c r="L15" s="2134"/>
      <c r="M15" s="2126"/>
      <c r="N15" s="2126"/>
      <c r="O15" s="2133"/>
      <c r="P15" s="3758"/>
      <c r="Q15" s="1144">
        <f t="shared" si="6"/>
        <v>111</v>
      </c>
      <c r="R15" s="1560" t="s">
        <v>8</v>
      </c>
      <c r="S15" s="1561">
        <f t="shared" si="0"/>
        <v>100</v>
      </c>
      <c r="T15" s="1560" t="s">
        <v>8</v>
      </c>
      <c r="U15" s="1561">
        <f t="shared" si="1"/>
        <v>100</v>
      </c>
      <c r="V15" s="1560" t="s">
        <v>8</v>
      </c>
      <c r="W15" s="1561">
        <f t="shared" si="2"/>
        <v>100</v>
      </c>
      <c r="X15" s="1562"/>
      <c r="Y15" s="3715"/>
      <c r="Z15" s="1143">
        <f t="shared" si="7"/>
        <v>111</v>
      </c>
      <c r="AA15" s="1563">
        <f t="shared" si="3"/>
        <v>1</v>
      </c>
      <c r="AB15" s="1563">
        <f t="shared" si="4"/>
        <v>1</v>
      </c>
      <c r="AC15" s="1563">
        <f t="shared" si="5"/>
        <v>1</v>
      </c>
    </row>
    <row r="16" spans="1:29" ht="15.75" thickBot="1">
      <c r="A16" s="2934"/>
      <c r="B16" s="2940">
        <v>111</v>
      </c>
      <c r="C16" s="543"/>
      <c r="D16" s="544">
        <v>100</v>
      </c>
      <c r="E16" s="539"/>
      <c r="F16" s="544">
        <f>SUMIF(83:83,E16,84:84)-SUMIF(83:83,C16,84:84)+100</f>
        <v>100</v>
      </c>
      <c r="G16" s="540"/>
      <c r="H16" s="544">
        <f>SUMIF(83:83,G16,84:84)-SUMIF(83:83,C16,84:84)+100</f>
        <v>100</v>
      </c>
      <c r="I16" s="539"/>
      <c r="J16" s="544">
        <f>SUMIF(83:83,I16,84:84)-SUMIF(83:83,C16,84:84)+100</f>
        <v>100</v>
      </c>
      <c r="K16" s="529"/>
      <c r="L16" s="2134"/>
      <c r="M16" s="2126"/>
      <c r="N16" s="2126"/>
      <c r="O16" s="2133"/>
      <c r="P16" s="3758"/>
      <c r="Q16" s="1144">
        <f t="shared" si="6"/>
        <v>111</v>
      </c>
      <c r="R16" s="1560" t="s">
        <v>8</v>
      </c>
      <c r="S16" s="1561">
        <f t="shared" si="0"/>
        <v>100</v>
      </c>
      <c r="T16" s="1560" t="s">
        <v>8</v>
      </c>
      <c r="U16" s="1561">
        <f t="shared" si="1"/>
        <v>100</v>
      </c>
      <c r="V16" s="1560" t="s">
        <v>8</v>
      </c>
      <c r="W16" s="1561">
        <f t="shared" si="2"/>
        <v>100</v>
      </c>
      <c r="X16" s="1562"/>
      <c r="Y16" s="3715"/>
      <c r="Z16" s="1143">
        <f t="shared" si="7"/>
        <v>111</v>
      </c>
      <c r="AA16" s="1563">
        <f t="shared" si="3"/>
        <v>1</v>
      </c>
      <c r="AB16" s="1563">
        <f t="shared" si="4"/>
        <v>1</v>
      </c>
      <c r="AC16" s="1563">
        <f t="shared" si="5"/>
        <v>1</v>
      </c>
    </row>
    <row r="17" spans="1:29" ht="57">
      <c r="A17" s="2926"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4"/>
      <c r="M17" s="2126"/>
      <c r="N17" s="2126"/>
      <c r="O17" s="2133"/>
      <c r="P17" s="3760" t="s">
        <v>541</v>
      </c>
      <c r="Q17" s="1564" t="str">
        <f t="shared" si="6"/>
        <v>产业集聚程度</v>
      </c>
      <c r="R17" s="1565" t="s">
        <v>8</v>
      </c>
      <c r="S17" s="1566">
        <f t="shared" si="0"/>
        <v>100</v>
      </c>
      <c r="T17" s="1565" t="s">
        <v>8</v>
      </c>
      <c r="U17" s="1566">
        <f t="shared" si="1"/>
        <v>100</v>
      </c>
      <c r="V17" s="1565" t="s">
        <v>8</v>
      </c>
      <c r="W17" s="1566">
        <f t="shared" si="2"/>
        <v>100</v>
      </c>
      <c r="X17" s="1559"/>
      <c r="Y17" s="3760"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4"/>
      <c r="M18" s="2126"/>
      <c r="N18" s="2126"/>
      <c r="O18" s="2133"/>
      <c r="P18" s="3761"/>
      <c r="Q18" s="1564"/>
      <c r="R18" s="1565"/>
      <c r="S18" s="1566"/>
      <c r="T18" s="1565"/>
      <c r="U18" s="1566"/>
      <c r="V18" s="1565"/>
      <c r="W18" s="1566"/>
      <c r="X18" s="1559"/>
      <c r="Y18" s="3761"/>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4"/>
      <c r="M19" s="2126"/>
      <c r="N19" s="2126"/>
      <c r="O19" s="2133"/>
      <c r="P19" s="3761"/>
      <c r="Q19" s="1564" t="str">
        <f>B19</f>
        <v>交通便捷度</v>
      </c>
      <c r="R19" s="1565" t="s">
        <v>8</v>
      </c>
      <c r="S19" s="1566">
        <f>F19</f>
        <v>100</v>
      </c>
      <c r="T19" s="1565" t="s">
        <v>8</v>
      </c>
      <c r="U19" s="1566">
        <f>H19</f>
        <v>100</v>
      </c>
      <c r="V19" s="1565" t="s">
        <v>8</v>
      </c>
      <c r="W19" s="1566">
        <f>J19</f>
        <v>100</v>
      </c>
      <c r="X19" s="1559"/>
      <c r="Y19" s="3761"/>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4"/>
      <c r="M20" s="2126"/>
      <c r="N20" s="2126"/>
      <c r="O20" s="2133"/>
      <c r="P20" s="3761"/>
      <c r="Q20" s="1564"/>
      <c r="R20" s="1565"/>
      <c r="S20" s="1566"/>
      <c r="T20" s="1565"/>
      <c r="U20" s="1566"/>
      <c r="V20" s="1565"/>
      <c r="W20" s="1566"/>
      <c r="X20" s="1559"/>
      <c r="Y20" s="3761"/>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4"/>
      <c r="M21" s="2126"/>
      <c r="N21" s="2126"/>
      <c r="O21" s="2133"/>
      <c r="P21" s="3761"/>
      <c r="Q21" s="1564" t="str">
        <f t="shared" ref="Q21:Q35" si="8">B21</f>
        <v>区域土地利用方向</v>
      </c>
      <c r="R21" s="1565" t="s">
        <v>8</v>
      </c>
      <c r="S21" s="1566">
        <f>F21</f>
        <v>100</v>
      </c>
      <c r="T21" s="1565" t="s">
        <v>8</v>
      </c>
      <c r="U21" s="1566">
        <f>H21</f>
        <v>100</v>
      </c>
      <c r="V21" s="1565" t="s">
        <v>8</v>
      </c>
      <c r="W21" s="1566">
        <f>J21</f>
        <v>100</v>
      </c>
      <c r="X21" s="1559"/>
      <c r="Y21" s="3761"/>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4"/>
      <c r="M22" s="2126"/>
      <c r="N22" s="2126"/>
      <c r="O22" s="2133"/>
      <c r="P22" s="3761"/>
      <c r="Q22" s="1564"/>
      <c r="R22" s="1565"/>
      <c r="S22" s="1566"/>
      <c r="T22" s="1565"/>
      <c r="U22" s="1566"/>
      <c r="V22" s="1565"/>
      <c r="W22" s="1566"/>
      <c r="X22" s="1559"/>
      <c r="Y22" s="3761"/>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4"/>
      <c r="M23" s="2126"/>
      <c r="N23" s="2126"/>
      <c r="O23" s="2133"/>
      <c r="P23" s="3761"/>
      <c r="Q23" s="1564" t="str">
        <f t="shared" si="8"/>
        <v>环境状况</v>
      </c>
      <c r="R23" s="1565" t="s">
        <v>8</v>
      </c>
      <c r="S23" s="1566">
        <f>F23</f>
        <v>100</v>
      </c>
      <c r="T23" s="1565" t="s">
        <v>8</v>
      </c>
      <c r="U23" s="1566">
        <f>H23</f>
        <v>100</v>
      </c>
      <c r="V23" s="1565" t="s">
        <v>8</v>
      </c>
      <c r="W23" s="1566">
        <f>J23</f>
        <v>100</v>
      </c>
      <c r="X23" s="1559"/>
      <c r="Y23" s="3761"/>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4"/>
      <c r="M24" s="2126"/>
      <c r="N24" s="2126"/>
      <c r="O24" s="2133"/>
      <c r="P24" s="3761"/>
      <c r="Q24" s="1564"/>
      <c r="R24" s="1565"/>
      <c r="S24" s="1566"/>
      <c r="T24" s="1565"/>
      <c r="U24" s="1566"/>
      <c r="V24" s="1565"/>
      <c r="W24" s="1566"/>
      <c r="X24" s="1559"/>
      <c r="Y24" s="3761"/>
      <c r="Z24" s="1567"/>
      <c r="AA24" s="1568">
        <v>1</v>
      </c>
      <c r="AB24" s="1568">
        <v>1</v>
      </c>
      <c r="AC24" s="1568">
        <v>1</v>
      </c>
    </row>
    <row r="25" spans="1:29" s="1213" customFormat="1" ht="42.75">
      <c r="A25" s="574"/>
      <c r="B25" s="2609"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7"/>
      <c r="M25" s="2128"/>
      <c r="N25" s="2128"/>
      <c r="O25" s="2129"/>
      <c r="P25" s="3761"/>
      <c r="Q25" s="1144" t="str">
        <f t="shared" si="8"/>
        <v>公共配套设施</v>
      </c>
      <c r="R25" s="1560" t="s">
        <v>8</v>
      </c>
      <c r="S25" s="1561">
        <f>F25</f>
        <v>100</v>
      </c>
      <c r="T25" s="1560" t="s">
        <v>8</v>
      </c>
      <c r="U25" s="1561">
        <f>H25</f>
        <v>100</v>
      </c>
      <c r="V25" s="1560" t="s">
        <v>8</v>
      </c>
      <c r="W25" s="1561">
        <f>J25</f>
        <v>100</v>
      </c>
      <c r="X25" s="1562"/>
      <c r="Y25" s="3761"/>
      <c r="Z25" s="1143" t="str">
        <f>Q25</f>
        <v>公共配套设施</v>
      </c>
      <c r="AA25" s="1568">
        <f>D25/F25</f>
        <v>1</v>
      </c>
      <c r="AB25" s="1568">
        <f>D25/H25</f>
        <v>1</v>
      </c>
      <c r="AC25" s="1568">
        <f>D25/J25</f>
        <v>1</v>
      </c>
    </row>
    <row r="26" spans="1:29" s="1213" customFormat="1" ht="15">
      <c r="A26" s="574"/>
      <c r="B26" s="592"/>
      <c r="C26" s="2608"/>
      <c r="D26" s="553"/>
      <c r="E26" s="552"/>
      <c r="F26" s="553"/>
      <c r="G26" s="552"/>
      <c r="H26" s="553"/>
      <c r="I26" s="573"/>
      <c r="J26" s="553"/>
      <c r="K26" s="529"/>
      <c r="L26" s="2127"/>
      <c r="M26" s="2128"/>
      <c r="N26" s="2128"/>
      <c r="O26" s="2129"/>
      <c r="P26" s="3761"/>
      <c r="Q26" s="1144"/>
      <c r="R26" s="1560"/>
      <c r="S26" s="1561"/>
      <c r="T26" s="1560"/>
      <c r="U26" s="1561"/>
      <c r="V26" s="1560"/>
      <c r="W26" s="1561"/>
      <c r="X26" s="1562"/>
      <c r="Y26" s="3761"/>
      <c r="Z26" s="1143"/>
      <c r="AA26" s="1563">
        <v>1</v>
      </c>
      <c r="AB26" s="1563">
        <v>1</v>
      </c>
      <c r="AC26" s="1563">
        <v>1</v>
      </c>
    </row>
    <row r="27" spans="1:29" s="1213" customFormat="1" ht="28.5">
      <c r="A27" s="574"/>
      <c r="B27" s="2609"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7"/>
      <c r="M27" s="2128"/>
      <c r="N27" s="2128"/>
      <c r="O27" s="2129"/>
      <c r="P27" s="3761"/>
      <c r="Q27" s="2594" t="str">
        <f t="shared" ref="Q27" si="9">B27</f>
        <v>基础设施水平</v>
      </c>
      <c r="R27" s="1560" t="s">
        <v>8</v>
      </c>
      <c r="S27" s="1561">
        <f>F27</f>
        <v>100</v>
      </c>
      <c r="T27" s="1560" t="s">
        <v>8</v>
      </c>
      <c r="U27" s="1561">
        <f>H27</f>
        <v>100</v>
      </c>
      <c r="V27" s="1560" t="s">
        <v>8</v>
      </c>
      <c r="W27" s="1561">
        <f>J27</f>
        <v>100</v>
      </c>
      <c r="X27" s="1562"/>
      <c r="Y27" s="3761"/>
      <c r="Z27" s="2591" t="str">
        <f>Q27</f>
        <v>基础设施水平</v>
      </c>
      <c r="AA27" s="1568">
        <f>D27/F27</f>
        <v>1</v>
      </c>
      <c r="AB27" s="1568">
        <f>D27/H27</f>
        <v>1</v>
      </c>
      <c r="AC27" s="1568">
        <f>D27/J27</f>
        <v>1</v>
      </c>
    </row>
    <row r="28" spans="1:29" s="1213" customFormat="1" ht="15">
      <c r="A28" s="574"/>
      <c r="B28" s="592"/>
      <c r="C28" s="2608"/>
      <c r="D28" s="553"/>
      <c r="E28" s="576"/>
      <c r="F28" s="553"/>
      <c r="G28" s="576"/>
      <c r="H28" s="553"/>
      <c r="I28" s="576"/>
      <c r="J28" s="553"/>
      <c r="K28" s="529"/>
      <c r="L28" s="2127"/>
      <c r="M28" s="2128"/>
      <c r="N28" s="2128"/>
      <c r="O28" s="2129"/>
      <c r="P28" s="3761"/>
      <c r="Q28" s="2594"/>
      <c r="R28" s="1560"/>
      <c r="S28" s="1561"/>
      <c r="T28" s="1560"/>
      <c r="U28" s="1561"/>
      <c r="V28" s="1560"/>
      <c r="W28" s="1561"/>
      <c r="X28" s="1562"/>
      <c r="Y28" s="3761"/>
      <c r="Z28" s="2591"/>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4"/>
      <c r="M29" s="2126"/>
      <c r="N29" s="2126"/>
      <c r="O29" s="2133"/>
      <c r="P29" s="3761"/>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61"/>
      <c r="Z29" s="1567" t="str">
        <f t="shared" ref="Z29:Z42" si="13">Q29</f>
        <v>临街状况</v>
      </c>
      <c r="AA29" s="1568">
        <f t="shared" si="3"/>
        <v>1</v>
      </c>
      <c r="AB29" s="1568">
        <f t="shared" si="4"/>
        <v>1</v>
      </c>
      <c r="AC29" s="1568">
        <f t="shared" si="5"/>
        <v>1</v>
      </c>
    </row>
    <row r="30" spans="1:29" ht="27">
      <c r="A30" s="530"/>
      <c r="B30" s="915" t="s">
        <v>549</v>
      </c>
      <c r="C30" s="261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4"/>
      <c r="M30" s="2126"/>
      <c r="N30" s="2126"/>
      <c r="O30" s="2133"/>
      <c r="P30" s="3761"/>
      <c r="Q30" s="1564" t="str">
        <f t="shared" si="8"/>
        <v>毗邻道路的类型与等级</v>
      </c>
      <c r="R30" s="1565" t="s">
        <v>8</v>
      </c>
      <c r="S30" s="1566">
        <f t="shared" si="10"/>
        <v>100</v>
      </c>
      <c r="T30" s="1565" t="s">
        <v>8</v>
      </c>
      <c r="U30" s="1566">
        <f t="shared" si="11"/>
        <v>100</v>
      </c>
      <c r="V30" s="1565" t="s">
        <v>8</v>
      </c>
      <c r="W30" s="1566">
        <f t="shared" si="12"/>
        <v>100</v>
      </c>
      <c r="X30" s="1559"/>
      <c r="Y30" s="3761"/>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4"/>
      <c r="M31" s="2126"/>
      <c r="N31" s="2126"/>
      <c r="O31" s="2133"/>
      <c r="P31" s="3761"/>
      <c r="Q31" s="1564"/>
      <c r="R31" s="1565"/>
      <c r="S31" s="1566"/>
      <c r="T31" s="1565"/>
      <c r="U31" s="1566"/>
      <c r="V31" s="1565"/>
      <c r="W31" s="1566"/>
      <c r="X31" s="1559"/>
      <c r="Y31" s="3761"/>
      <c r="Z31" s="1567"/>
      <c r="AA31" s="1568">
        <v>1</v>
      </c>
      <c r="AB31" s="1568">
        <v>1</v>
      </c>
      <c r="AC31" s="1568">
        <v>1</v>
      </c>
    </row>
    <row r="32" spans="1:29" ht="15">
      <c r="A32" s="530"/>
      <c r="B32" s="525" t="s">
        <v>550</v>
      </c>
      <c r="C32" s="2612">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4"/>
      <c r="M32" s="2126"/>
      <c r="N32" s="2126"/>
      <c r="O32" s="2133"/>
      <c r="P32" s="3761"/>
      <c r="Q32" s="1564" t="str">
        <f t="shared" si="8"/>
        <v>土地级别</v>
      </c>
      <c r="R32" s="1565" t="s">
        <v>8</v>
      </c>
      <c r="S32" s="1566">
        <f t="shared" si="10"/>
        <v>100</v>
      </c>
      <c r="T32" s="1565" t="s">
        <v>8</v>
      </c>
      <c r="U32" s="1566">
        <f t="shared" si="11"/>
        <v>100</v>
      </c>
      <c r="V32" s="1565" t="s">
        <v>8</v>
      </c>
      <c r="W32" s="1566">
        <f t="shared" si="12"/>
        <v>100</v>
      </c>
      <c r="X32" s="1559"/>
      <c r="Y32" s="3761"/>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4"/>
      <c r="M33" s="2126"/>
      <c r="N33" s="2126"/>
      <c r="O33" s="2133"/>
      <c r="P33" s="3761"/>
      <c r="Q33" s="1564">
        <f t="shared" si="8"/>
        <v>111</v>
      </c>
      <c r="R33" s="1565" t="s">
        <v>8</v>
      </c>
      <c r="S33" s="1566">
        <f t="shared" si="10"/>
        <v>100</v>
      </c>
      <c r="T33" s="1565" t="s">
        <v>8</v>
      </c>
      <c r="U33" s="1566">
        <f t="shared" si="11"/>
        <v>100</v>
      </c>
      <c r="V33" s="1565" t="s">
        <v>8</v>
      </c>
      <c r="W33" s="1566">
        <f t="shared" si="12"/>
        <v>100</v>
      </c>
      <c r="X33" s="1559"/>
      <c r="Y33" s="3761"/>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4"/>
      <c r="M34" s="2126"/>
      <c r="N34" s="2126"/>
      <c r="O34" s="2133"/>
      <c r="P34" s="3762" t="s">
        <v>551</v>
      </c>
      <c r="Q34" s="1564">
        <f t="shared" si="8"/>
        <v>111</v>
      </c>
      <c r="R34" s="1565" t="s">
        <v>8</v>
      </c>
      <c r="S34" s="1566">
        <f t="shared" si="10"/>
        <v>100</v>
      </c>
      <c r="T34" s="1565" t="s">
        <v>8</v>
      </c>
      <c r="U34" s="1566">
        <f t="shared" si="11"/>
        <v>100</v>
      </c>
      <c r="V34" s="1565" t="s">
        <v>8</v>
      </c>
      <c r="W34" s="1566">
        <f t="shared" si="12"/>
        <v>100</v>
      </c>
      <c r="X34" s="1559"/>
      <c r="Y34" s="3763" t="s">
        <v>551</v>
      </c>
      <c r="Z34" s="1567">
        <f t="shared" si="13"/>
        <v>111</v>
      </c>
      <c r="AA34" s="1568">
        <f t="shared" si="3"/>
        <v>1</v>
      </c>
      <c r="AB34" s="1568">
        <f t="shared" si="4"/>
        <v>1</v>
      </c>
      <c r="AC34" s="1568">
        <f t="shared" si="5"/>
        <v>1</v>
      </c>
    </row>
    <row r="35" spans="1:29" s="1332" customFormat="1" ht="15.75" thickBot="1">
      <c r="A35" s="586"/>
      <c r="B35" s="2610">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2"/>
      <c r="M35" s="2163"/>
      <c r="N35" s="2163"/>
      <c r="O35" s="2135"/>
      <c r="P35" s="3763"/>
      <c r="Q35" s="1564">
        <f t="shared" si="8"/>
        <v>111</v>
      </c>
      <c r="R35" s="1569" t="s">
        <v>8</v>
      </c>
      <c r="S35" s="1570">
        <f t="shared" si="10"/>
        <v>100</v>
      </c>
      <c r="T35" s="1569" t="s">
        <v>8</v>
      </c>
      <c r="U35" s="1570">
        <f t="shared" si="11"/>
        <v>100</v>
      </c>
      <c r="V35" s="1569" t="s">
        <v>8</v>
      </c>
      <c r="W35" s="1570">
        <f t="shared" si="12"/>
        <v>100</v>
      </c>
      <c r="X35" s="1571"/>
      <c r="Y35" s="3763"/>
      <c r="Z35" s="1572">
        <f t="shared" si="13"/>
        <v>111</v>
      </c>
      <c r="AA35" s="1568">
        <f t="shared" si="3"/>
        <v>1</v>
      </c>
      <c r="AB35" s="1568">
        <f t="shared" si="4"/>
        <v>1</v>
      </c>
      <c r="AC35" s="1568">
        <f t="shared" si="5"/>
        <v>1</v>
      </c>
    </row>
    <row r="36" spans="1:29" ht="15">
      <c r="A36" s="2924"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763"/>
      <c r="Q36" s="1564" t="str">
        <f>B36</f>
        <v>宗地面积</v>
      </c>
      <c r="R36" s="1565" t="s">
        <v>8</v>
      </c>
      <c r="S36" s="1566" t="e">
        <f t="shared" si="10"/>
        <v>#N/A</v>
      </c>
      <c r="T36" s="1565" t="s">
        <v>8</v>
      </c>
      <c r="U36" s="1566" t="e">
        <f t="shared" si="11"/>
        <v>#N/A</v>
      </c>
      <c r="V36" s="1565" t="s">
        <v>8</v>
      </c>
      <c r="W36" s="1566" t="e">
        <f t="shared" si="12"/>
        <v>#N/A</v>
      </c>
      <c r="X36" s="1559"/>
      <c r="Y36" s="3763"/>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4"/>
      <c r="M37" s="2126"/>
      <c r="N37" s="2126"/>
      <c r="O37" s="2133"/>
      <c r="P37" s="3763"/>
      <c r="Q37" s="1564" t="str">
        <f t="shared" ref="Q37:Q42" si="14">B37</f>
        <v>宗地形状</v>
      </c>
      <c r="R37" s="1565" t="s">
        <v>8</v>
      </c>
      <c r="S37" s="1566">
        <f t="shared" si="10"/>
        <v>100</v>
      </c>
      <c r="T37" s="1565" t="s">
        <v>8</v>
      </c>
      <c r="U37" s="1566">
        <f t="shared" si="11"/>
        <v>100</v>
      </c>
      <c r="V37" s="1565" t="s">
        <v>8</v>
      </c>
      <c r="W37" s="1566">
        <f t="shared" si="12"/>
        <v>100</v>
      </c>
      <c r="X37" s="1559"/>
      <c r="Y37" s="3763"/>
      <c r="Z37" s="1567" t="str">
        <f t="shared" si="13"/>
        <v>宗地形状</v>
      </c>
      <c r="AA37" s="1568">
        <f t="shared" si="3"/>
        <v>1</v>
      </c>
      <c r="AB37" s="1568">
        <f t="shared" si="4"/>
        <v>1</v>
      </c>
      <c r="AC37" s="1568">
        <f t="shared" si="5"/>
        <v>1</v>
      </c>
    </row>
    <row r="38" spans="1:29" s="1213" customFormat="1" ht="15">
      <c r="A38" s="597"/>
      <c r="B38" s="1887"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7"/>
      <c r="M38" s="2128"/>
      <c r="N38" s="2128"/>
      <c r="O38" s="2129"/>
      <c r="P38" s="3763"/>
      <c r="Q38" s="1564" t="str">
        <f t="shared" si="14"/>
        <v>宗地开发程度</v>
      </c>
      <c r="R38" s="1560" t="s">
        <v>8</v>
      </c>
      <c r="S38" s="1561">
        <f t="shared" si="10"/>
        <v>100</v>
      </c>
      <c r="T38" s="1560" t="s">
        <v>8</v>
      </c>
      <c r="U38" s="1561">
        <f t="shared" si="11"/>
        <v>100</v>
      </c>
      <c r="V38" s="1560" t="s">
        <v>8</v>
      </c>
      <c r="W38" s="1561">
        <f t="shared" si="12"/>
        <v>100</v>
      </c>
      <c r="X38" s="1562"/>
      <c r="Y38" s="3763"/>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63" t="s">
        <v>602</v>
      </c>
      <c r="Q39" s="1564" t="str">
        <f t="shared" si="14"/>
        <v>工程地质条件</v>
      </c>
      <c r="R39" s="1565" t="s">
        <v>8</v>
      </c>
      <c r="S39" s="1566">
        <f t="shared" si="10"/>
        <v>100</v>
      </c>
      <c r="T39" s="1565" t="s">
        <v>8</v>
      </c>
      <c r="U39" s="1566">
        <f t="shared" si="11"/>
        <v>100</v>
      </c>
      <c r="V39" s="1565" t="s">
        <v>8</v>
      </c>
      <c r="W39" s="1566">
        <f t="shared" si="12"/>
        <v>100</v>
      </c>
      <c r="X39" s="1559"/>
      <c r="Y39" s="3763"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4"/>
      <c r="M40" s="2126"/>
      <c r="N40" s="2126"/>
      <c r="O40" s="2133"/>
      <c r="P40" s="3763"/>
      <c r="Q40" s="1564">
        <f t="shared" si="14"/>
        <v>111</v>
      </c>
      <c r="R40" s="1565" t="s">
        <v>8</v>
      </c>
      <c r="S40" s="1566">
        <f t="shared" si="10"/>
        <v>100</v>
      </c>
      <c r="T40" s="1565" t="s">
        <v>8</v>
      </c>
      <c r="U40" s="1566">
        <f t="shared" si="11"/>
        <v>100</v>
      </c>
      <c r="V40" s="1565" t="s">
        <v>8</v>
      </c>
      <c r="W40" s="1566">
        <f t="shared" si="12"/>
        <v>100</v>
      </c>
      <c r="X40" s="1559"/>
      <c r="Y40" s="3763"/>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4"/>
      <c r="M41" s="2126"/>
      <c r="N41" s="2126"/>
      <c r="O41" s="2133"/>
      <c r="P41" s="3763"/>
      <c r="Q41" s="1564">
        <f t="shared" si="14"/>
        <v>111</v>
      </c>
      <c r="R41" s="1565" t="s">
        <v>8</v>
      </c>
      <c r="S41" s="1566">
        <f t="shared" si="10"/>
        <v>100</v>
      </c>
      <c r="T41" s="1565" t="s">
        <v>8</v>
      </c>
      <c r="U41" s="1566">
        <f t="shared" si="11"/>
        <v>100</v>
      </c>
      <c r="V41" s="1565" t="s">
        <v>8</v>
      </c>
      <c r="W41" s="1566">
        <f t="shared" si="12"/>
        <v>100</v>
      </c>
      <c r="X41" s="1559"/>
      <c r="Y41" s="3763"/>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2"/>
      <c r="M42" s="2163"/>
      <c r="N42" s="2163"/>
      <c r="O42" s="2135"/>
      <c r="P42" s="3763"/>
      <c r="Q42" s="1564">
        <f t="shared" si="14"/>
        <v>111</v>
      </c>
      <c r="R42" s="1569" t="s">
        <v>8</v>
      </c>
      <c r="S42" s="1570">
        <f t="shared" si="10"/>
        <v>100</v>
      </c>
      <c r="T42" s="1569" t="s">
        <v>8</v>
      </c>
      <c r="U42" s="1570">
        <f t="shared" si="11"/>
        <v>100</v>
      </c>
      <c r="V42" s="1569" t="s">
        <v>8</v>
      </c>
      <c r="W42" s="1570">
        <f t="shared" si="12"/>
        <v>100</v>
      </c>
      <c r="X42" s="1571"/>
      <c r="Y42" s="3763"/>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6"/>
      <c r="M43" s="2126"/>
      <c r="N43" s="2126"/>
      <c r="O43" s="2137"/>
      <c r="P43" s="3758" t="str">
        <f>A43</f>
        <v>成交单价</v>
      </c>
      <c r="Q43" s="3758"/>
      <c r="R43" s="3772">
        <f>E43</f>
        <v>0</v>
      </c>
      <c r="S43" s="3772"/>
      <c r="T43" s="3772">
        <f>G43</f>
        <v>0</v>
      </c>
      <c r="U43" s="3772"/>
      <c r="V43" s="3772">
        <f>I43</f>
        <v>0</v>
      </c>
      <c r="W43" s="3772"/>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6"/>
      <c r="M44" s="2126"/>
      <c r="N44" s="2126"/>
      <c r="O44" s="2137"/>
      <c r="P44" s="3758" t="str">
        <f>A44</f>
        <v>比较价格（元/平方米）</v>
      </c>
      <c r="Q44" s="3758"/>
      <c r="R44" s="3782" t="e">
        <f>ROUND(PRODUCT(R43,AA9:AA42),0)</f>
        <v>#DIV/0!</v>
      </c>
      <c r="S44" s="3782"/>
      <c r="T44" s="3782" t="e">
        <f>ROUND(PRODUCT(T43,AB9:AB42),0)</f>
        <v>#DIV/0!</v>
      </c>
      <c r="U44" s="3782"/>
      <c r="V44" s="3782" t="e">
        <f>ROUND(PRODUCT(V43,AC9:AC42),0)</f>
        <v>#DIV/0!</v>
      </c>
      <c r="W44" s="3782"/>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6"/>
      <c r="M45" s="2126"/>
      <c r="N45" s="2126"/>
      <c r="O45" s="2137"/>
      <c r="P45" s="3779" t="str">
        <f>A45</f>
        <v>估价对象XX用房的比较价格（楼面单价，元/平方米）</v>
      </c>
      <c r="Q45" s="3780"/>
      <c r="R45" s="3781" t="e">
        <f>ROUND(AVERAGE(R44:V44),0)</f>
        <v>#DIV/0!</v>
      </c>
      <c r="S45" s="3781"/>
      <c r="T45" s="3781"/>
      <c r="U45" s="3781"/>
      <c r="V45" s="3781"/>
      <c r="W45" s="3781"/>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8" customFormat="1" ht="13.5" customHeight="1">
      <c r="A50" s="2138"/>
      <c r="B50" s="2138"/>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8"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561</v>
      </c>
      <c r="B52" s="627" t="s">
        <v>562</v>
      </c>
      <c r="C52" s="1552" t="s">
        <v>1723</v>
      </c>
      <c r="D52" s="2219" t="s">
        <v>2294</v>
      </c>
      <c r="E52" s="628" t="s">
        <v>563</v>
      </c>
      <c r="F52" s="1943" t="s">
        <v>564</v>
      </c>
      <c r="G52" s="3784" t="s">
        <v>2285</v>
      </c>
      <c r="H52" s="3785"/>
      <c r="I52" s="1944" t="s">
        <v>1946</v>
      </c>
      <c r="J52" s="1547">
        <f>项目基本情况!F41</f>
        <v>0</v>
      </c>
      <c r="K52" s="2146" t="s">
        <v>1722</v>
      </c>
      <c r="L52" s="2142"/>
      <c r="M52" s="2137"/>
      <c r="N52" s="2137"/>
      <c r="O52" s="2137"/>
      <c r="P52" s="2137"/>
      <c r="Q52" s="2137"/>
      <c r="R52" s="2137"/>
      <c r="S52" s="2137"/>
      <c r="T52" s="2137"/>
      <c r="U52" s="2137"/>
      <c r="V52" s="2137"/>
      <c r="W52" s="2137"/>
      <c r="X52" s="2137"/>
      <c r="Y52" s="2137"/>
      <c r="Z52" s="2137"/>
      <c r="AA52" s="2137"/>
      <c r="AB52" s="2137"/>
      <c r="AC52" s="2137"/>
    </row>
    <row r="53" spans="1:29" s="1339" customFormat="1" ht="12.75">
      <c r="A53" s="630" t="s">
        <v>565</v>
      </c>
      <c r="B53" s="631" t="e">
        <f>C45</f>
        <v>#DIV/0!</v>
      </c>
      <c r="C53" s="632">
        <v>1</v>
      </c>
      <c r="D53" s="2220">
        <v>1</v>
      </c>
      <c r="E53" s="632">
        <f>'数据-汇总表'!E8+'数据-汇总表'!E9</f>
        <v>346718</v>
      </c>
      <c r="F53" s="1942" t="e">
        <f t="shared" ref="F53:F62" si="15">ROUND(B53*E53/10000,0)</f>
        <v>#DIV/0!</v>
      </c>
      <c r="G53" s="3786"/>
      <c r="H53" s="3787"/>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9" customFormat="1" ht="12.75">
      <c r="A54" s="634" t="s">
        <v>566</v>
      </c>
      <c r="B54" s="635" t="e">
        <f>ROUND($C$45*C54*D54,0)</f>
        <v>#DIV/0!</v>
      </c>
      <c r="C54" s="376">
        <f t="shared" ref="C54:C62" si="16">IF($C$52="北京市系数",I54,J54)</f>
        <v>0</v>
      </c>
      <c r="D54" s="2221">
        <v>0.25</v>
      </c>
      <c r="E54" s="636"/>
      <c r="F54" s="1942" t="e">
        <f t="shared" si="15"/>
        <v>#DIV/0!</v>
      </c>
      <c r="G54" s="3788" t="s">
        <v>2286</v>
      </c>
      <c r="H54" s="1946">
        <f>项目基本情况!B43</f>
        <v>0</v>
      </c>
      <c r="I54" s="1945">
        <f>SUMIF(修正!$A$45:$A$56,H54,修正!B45:B56)</f>
        <v>0</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9" customFormat="1" ht="12.75">
      <c r="A55" s="634" t="s">
        <v>567</v>
      </c>
      <c r="B55" s="635" t="e">
        <f t="shared" ref="B55:B62" si="17">ROUND($C$45*C55*D55,0)</f>
        <v>#DIV/0!</v>
      </c>
      <c r="C55" s="376">
        <f t="shared" si="16"/>
        <v>0</v>
      </c>
      <c r="D55" s="2221">
        <v>0.25</v>
      </c>
      <c r="E55" s="636"/>
      <c r="F55" s="1942" t="e">
        <f t="shared" si="15"/>
        <v>#DIV/0!</v>
      </c>
      <c r="G55" s="3788"/>
      <c r="H55" s="1947">
        <f>项目基本情况!B43</f>
        <v>0</v>
      </c>
      <c r="I55" s="1945">
        <f>SUMIF(修正!$A$45:$A$56,H55,修正!C45:C56)</f>
        <v>0</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9" customFormat="1" ht="12.75">
      <c r="A56" s="634" t="s">
        <v>568</v>
      </c>
      <c r="B56" s="635" t="e">
        <f t="shared" si="17"/>
        <v>#DIV/0!</v>
      </c>
      <c r="C56" s="376">
        <f t="shared" si="16"/>
        <v>0</v>
      </c>
      <c r="D56" s="2221">
        <v>0.25</v>
      </c>
      <c r="E56" s="636"/>
      <c r="F56" s="1942" t="e">
        <f t="shared" si="15"/>
        <v>#DIV/0!</v>
      </c>
      <c r="G56" s="3788"/>
      <c r="H56" s="1947">
        <f>项目基本情况!B43</f>
        <v>0</v>
      </c>
      <c r="I56" s="1945">
        <f>SUMIF(修正!$A$45:$A$56,H56,修正!D45:D56)</f>
        <v>0</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9" customFormat="1" ht="12.75">
      <c r="A57" s="634" t="s">
        <v>569</v>
      </c>
      <c r="B57" s="635" t="e">
        <f t="shared" si="17"/>
        <v>#DIV/0!</v>
      </c>
      <c r="C57" s="376">
        <f t="shared" si="16"/>
        <v>0</v>
      </c>
      <c r="D57" s="2221">
        <v>0.25</v>
      </c>
      <c r="E57" s="636"/>
      <c r="F57" s="1942" t="e">
        <f t="shared" si="15"/>
        <v>#DIV/0!</v>
      </c>
      <c r="G57" s="3788"/>
      <c r="H57" s="1947">
        <f>项目基本情况!B43</f>
        <v>0</v>
      </c>
      <c r="I57" s="1945">
        <f>SUMIF(修正!$A$45:$A$56,H57,修正!E45:E56)</f>
        <v>0</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9" customFormat="1" ht="12.75">
      <c r="A58" s="2323" t="s">
        <v>2329</v>
      </c>
      <c r="B58" s="635" t="e">
        <f t="shared" si="17"/>
        <v>#DIV/0!</v>
      </c>
      <c r="C58" s="376">
        <f t="shared" si="16"/>
        <v>0</v>
      </c>
      <c r="D58" s="2221">
        <v>0.25</v>
      </c>
      <c r="E58" s="638">
        <f>'数据-汇总表'!E11</f>
        <v>0</v>
      </c>
      <c r="F58" s="1942" t="e">
        <f t="shared" si="15"/>
        <v>#DIV/0!</v>
      </c>
      <c r="G58" s="1948" t="s">
        <v>2287</v>
      </c>
      <c r="H58" s="1947">
        <f>项目基本情况!C43</f>
        <v>0</v>
      </c>
      <c r="I58" s="1945">
        <f>SUMIF(修正!$A$45:$A$56,H58,修正!F45:F56)</f>
        <v>0</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570</v>
      </c>
      <c r="B59" s="635" t="e">
        <f t="shared" si="17"/>
        <v>#DIV/0!</v>
      </c>
      <c r="C59" s="376">
        <f t="shared" si="16"/>
        <v>0</v>
      </c>
      <c r="D59" s="2221">
        <v>0.25</v>
      </c>
      <c r="E59" s="638">
        <f>'数据-汇总表'!E12</f>
        <v>0</v>
      </c>
      <c r="F59" s="1942" t="e">
        <f t="shared" si="15"/>
        <v>#DIV/0!</v>
      </c>
      <c r="G59" s="1938" t="s">
        <v>1678</v>
      </c>
      <c r="H59" s="1946">
        <f>IF(G59="商业",项目基本情况!B43,IF(G59="办公",项目基本情况!C43,IF(G59="住宅",项目基本情况!D43,项目基本情况!E43)))</f>
        <v>0</v>
      </c>
      <c r="I59" s="1945">
        <f>SUMIF(修正!$A$45:$A$56,H59,修正!G45:G56)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571</v>
      </c>
      <c r="B60" s="635" t="e">
        <f t="shared" si="17"/>
        <v>#DIV/0!</v>
      </c>
      <c r="C60" s="376">
        <f t="shared" si="16"/>
        <v>0</v>
      </c>
      <c r="D60" s="2221">
        <v>0.25</v>
      </c>
      <c r="E60" s="638">
        <f>'数据-汇总表'!E13</f>
        <v>0</v>
      </c>
      <c r="F60" s="1942" t="e">
        <f t="shared" si="15"/>
        <v>#DIV/0!</v>
      </c>
      <c r="G60" s="1938" t="s">
        <v>923</v>
      </c>
      <c r="H60" s="1946">
        <f>IF(G60="商业",项目基本情况!B43,IF(G60="办公",项目基本情况!C43,IF(G60="住宅",项目基本情况!D43,项目基本情况!E43)))</f>
        <v>0</v>
      </c>
      <c r="I60" s="1945">
        <f>SUMIF(修正!$A$45:$A$56,H60,修正!H45:H56)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572</v>
      </c>
      <c r="B61" s="635" t="e">
        <f t="shared" si="17"/>
        <v>#DIV/0!</v>
      </c>
      <c r="C61" s="376">
        <f t="shared" si="16"/>
        <v>0</v>
      </c>
      <c r="D61" s="2221">
        <v>0.25</v>
      </c>
      <c r="E61" s="638">
        <f>'数据-汇总表'!E14</f>
        <v>97995</v>
      </c>
      <c r="F61" s="1942" t="e">
        <f t="shared" si="15"/>
        <v>#DIV/0!</v>
      </c>
      <c r="G61" s="1948" t="s">
        <v>2286</v>
      </c>
      <c r="H61" s="1947">
        <f>项目基本情况!B43</f>
        <v>0</v>
      </c>
      <c r="I61" s="1945">
        <f>SUMIF(修正!$A$45:$A$56,H61,修正!H45:H56)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3.5" thickBot="1">
      <c r="A62" s="634" t="s">
        <v>573</v>
      </c>
      <c r="B62" s="635" t="e">
        <f t="shared" si="17"/>
        <v>#DIV/0!</v>
      </c>
      <c r="C62" s="376">
        <f t="shared" si="16"/>
        <v>0</v>
      </c>
      <c r="D62" s="2221">
        <v>0.25</v>
      </c>
      <c r="E62" s="638">
        <f>'数据-汇总表'!E15</f>
        <v>0</v>
      </c>
      <c r="F62" s="1942" t="e">
        <f t="shared" si="15"/>
        <v>#DIV/0!</v>
      </c>
      <c r="G62" s="1949" t="s">
        <v>2287</v>
      </c>
      <c r="H62" s="1950">
        <f>项目基本情况!C43</f>
        <v>0</v>
      </c>
      <c r="I62" s="1945">
        <f>SUMIF(修正!$A$45:$A$56,H62,修正!H45:H56)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3.5" thickBot="1">
      <c r="A63" s="639" t="s">
        <v>574</v>
      </c>
      <c r="B63" s="640" t="s">
        <v>17</v>
      </c>
      <c r="C63" s="640" t="s">
        <v>18</v>
      </c>
      <c r="D63" s="640" t="s">
        <v>2295</v>
      </c>
      <c r="E63" s="640">
        <f>IF(B43="楼面地价",SUM(E53:E62),'数据-汇总表'!D3)</f>
        <v>74665.899999999994</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2018-6-1</v>
      </c>
      <c r="D65" s="2816">
        <f>EDATE(C65,-3)</f>
        <v>43160</v>
      </c>
      <c r="E65" s="2816">
        <f t="shared" ref="E65:N65" si="18">EDATE(D65,-3)</f>
        <v>43070</v>
      </c>
      <c r="F65" s="2816">
        <f t="shared" si="18"/>
        <v>42979</v>
      </c>
      <c r="G65" s="2816">
        <f t="shared" si="18"/>
        <v>42887</v>
      </c>
      <c r="H65" s="2816">
        <f t="shared" si="18"/>
        <v>42795</v>
      </c>
      <c r="I65" s="2816">
        <f t="shared" si="18"/>
        <v>42705</v>
      </c>
      <c r="J65" s="2816">
        <f t="shared" si="18"/>
        <v>42614</v>
      </c>
      <c r="K65" s="2816">
        <f t="shared" si="18"/>
        <v>42522</v>
      </c>
      <c r="L65" s="2816">
        <f t="shared" si="18"/>
        <v>42430</v>
      </c>
      <c r="M65" s="2816">
        <f t="shared" si="18"/>
        <v>42339</v>
      </c>
      <c r="N65" s="2816">
        <f t="shared" si="18"/>
        <v>42248</v>
      </c>
      <c r="O65" s="2137"/>
      <c r="P65" s="2137"/>
      <c r="Q65" s="2137"/>
      <c r="R65" s="2137"/>
      <c r="S65" s="2137"/>
      <c r="T65" s="2137"/>
      <c r="U65" s="2137"/>
      <c r="V65" s="2137"/>
      <c r="W65" s="2137"/>
      <c r="X65" s="2137"/>
      <c r="Y65" s="2137"/>
      <c r="Z65" s="2137"/>
      <c r="AA65" s="2137"/>
      <c r="AB65" s="2137"/>
      <c r="AC65" s="2137"/>
    </row>
    <row r="66" spans="1:29" ht="21.75" thickBot="1">
      <c r="A66" s="1576" t="s">
        <v>575</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40" customFormat="1" ht="15">
      <c r="A67" s="2584" t="s">
        <v>2537</v>
      </c>
      <c r="B67" s="643"/>
      <c r="C67" s="2811" t="str">
        <f>YEAR(C65)&amp;"-"&amp;ROUNDUP(MONTH(C65)/3,0)</f>
        <v>2018-2</v>
      </c>
      <c r="D67" s="2818" t="str">
        <f t="shared" ref="D67:N67" si="19">YEAR(D65)&amp;"-"&amp;ROUNDUP(MONTH(D65)/3,0)</f>
        <v>2018-1</v>
      </c>
      <c r="E67" s="2818" t="str">
        <f t="shared" si="19"/>
        <v>2017-4</v>
      </c>
      <c r="F67" s="2818" t="str">
        <f t="shared" si="19"/>
        <v>2017-3</v>
      </c>
      <c r="G67" s="2818" t="str">
        <f t="shared" si="19"/>
        <v>2017-2</v>
      </c>
      <c r="H67" s="2818" t="str">
        <f t="shared" si="19"/>
        <v>2017-1</v>
      </c>
      <c r="I67" s="2818" t="str">
        <f t="shared" si="19"/>
        <v>2016-4</v>
      </c>
      <c r="J67" s="2818" t="str">
        <f t="shared" si="19"/>
        <v>2016-3</v>
      </c>
      <c r="K67" s="2818" t="str">
        <f t="shared" si="19"/>
        <v>2016-2</v>
      </c>
      <c r="L67" s="2818" t="str">
        <f t="shared" si="19"/>
        <v>2016-1</v>
      </c>
      <c r="M67" s="2818" t="str">
        <f t="shared" si="19"/>
        <v>2015-4</v>
      </c>
      <c r="N67" s="2818" t="str">
        <f t="shared" si="19"/>
        <v>2015-3</v>
      </c>
      <c r="O67" s="2151"/>
      <c r="P67" s="2152"/>
      <c r="Q67" s="2153"/>
      <c r="R67" s="2153"/>
      <c r="S67" s="2153"/>
      <c r="T67" s="2153"/>
      <c r="U67" s="2153"/>
      <c r="V67" s="2153"/>
      <c r="W67" s="2153"/>
      <c r="X67" s="2153"/>
      <c r="Y67" s="2153"/>
      <c r="Z67" s="2153"/>
      <c r="AA67" s="2153"/>
      <c r="AB67" s="2153"/>
      <c r="AC67" s="2153"/>
    </row>
    <row r="68" spans="1:29" s="1213" customFormat="1" ht="27.75" customHeight="1">
      <c r="A68" s="2815" t="s">
        <v>2653</v>
      </c>
      <c r="B68" s="477" t="str">
        <f>"北京市平均增长率"&amp;TEXT(基准地价!P24,"0.00%")</f>
        <v>北京市平均增长率0.00%</v>
      </c>
      <c r="C68" s="887">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3" customFormat="1" ht="15.75" thickBot="1">
      <c r="A69" s="650" t="s">
        <v>576</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3" customFormat="1" ht="15">
      <c r="A70" s="656" t="s">
        <v>532</v>
      </c>
      <c r="B70" s="645"/>
      <c r="C70" s="657" t="s">
        <v>577</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3"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578</v>
      </c>
      <c r="B72" s="662" t="s">
        <v>535</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538</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9"/>
      <c r="D77" s="539"/>
      <c r="E77" s="539"/>
      <c r="F77" s="539"/>
      <c r="G77" s="539"/>
      <c r="H77" s="539"/>
      <c r="I77" s="539"/>
      <c r="J77" s="539"/>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2"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2"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2"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2"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2"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2"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540</v>
      </c>
      <c r="B85" s="662" t="s">
        <v>603</v>
      </c>
      <c r="C85" s="700" t="s">
        <v>580</v>
      </c>
      <c r="D85" s="700" t="s">
        <v>581</v>
      </c>
      <c r="E85" s="700" t="s">
        <v>582</v>
      </c>
      <c r="F85" s="700" t="s">
        <v>583</v>
      </c>
      <c r="G85" s="700" t="s">
        <v>584</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587</v>
      </c>
      <c r="C87" s="705" t="s">
        <v>580</v>
      </c>
      <c r="D87" s="705" t="s">
        <v>581</v>
      </c>
      <c r="E87" s="705" t="s">
        <v>582</v>
      </c>
      <c r="F87" s="705" t="s">
        <v>583</v>
      </c>
      <c r="G87" s="705" t="s">
        <v>584</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2" customFormat="1" ht="15.75" thickTop="1">
      <c r="A93" s="684"/>
      <c r="B93" s="1888" t="s">
        <v>2552</v>
      </c>
      <c r="C93" s="700" t="s">
        <v>580</v>
      </c>
      <c r="D93" s="700" t="s">
        <v>581</v>
      </c>
      <c r="E93" s="700" t="s">
        <v>582</v>
      </c>
      <c r="F93" s="700" t="s">
        <v>583</v>
      </c>
      <c r="G93" s="700" t="s">
        <v>584</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2" customFormat="1" ht="15.75" thickTop="1">
      <c r="A95" s="684"/>
      <c r="B95" s="2613" t="s">
        <v>2554</v>
      </c>
      <c r="C95" s="2614" t="s">
        <v>2555</v>
      </c>
      <c r="D95" s="2614" t="s">
        <v>2556</v>
      </c>
      <c r="E95" s="2614" t="s">
        <v>2557</v>
      </c>
      <c r="F95" s="2614" t="s">
        <v>2558</v>
      </c>
      <c r="G95" s="2614" t="s">
        <v>2559</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590</v>
      </c>
      <c r="D97" s="671" t="s">
        <v>591</v>
      </c>
      <c r="E97" s="671" t="s">
        <v>592</v>
      </c>
      <c r="F97" s="671" t="s">
        <v>593</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549</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550</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2"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2"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595</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2" customFormat="1" ht="15" thickTop="1">
      <c r="A114" s="725"/>
      <c r="B114" s="1888" t="s">
        <v>2427</v>
      </c>
      <c r="C114" s="1368"/>
      <c r="D114" s="1368"/>
      <c r="E114" s="1368"/>
      <c r="F114" s="1368"/>
      <c r="G114" s="1368"/>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597</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2"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2"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8"/>
      <c r="G1" s="1393"/>
      <c r="H1" s="1393"/>
      <c r="I1" s="1393"/>
      <c r="J1" s="1393"/>
      <c r="K1" s="1393"/>
      <c r="L1" s="1874" t="s">
        <v>2239</v>
      </c>
      <c r="M1" s="1875">
        <f>SUMPRODUCT((区片价!B5:B9=I2)*(区片价!C3:F3=E2)*(区片价!C5:F9))</f>
        <v>0</v>
      </c>
      <c r="N1" s="1876">
        <f>SUMPRODUCT((因素修正幅度!B5:B9=I2)*(因素修正幅度!C3:F3=E2)*(因素修正幅度!C5:F9))</f>
        <v>0</v>
      </c>
      <c r="O1" s="2181"/>
      <c r="P1" s="2181"/>
      <c r="Q1" s="2181"/>
      <c r="R1" s="2952" t="s">
        <v>2766</v>
      </c>
      <c r="S1" s="2952" t="s">
        <v>2767</v>
      </c>
      <c r="T1" s="2952" t="s">
        <v>2788</v>
      </c>
      <c r="U1" s="2952" t="s">
        <v>2789</v>
      </c>
      <c r="V1" s="2952" t="s">
        <v>2790</v>
      </c>
      <c r="W1" s="2181"/>
      <c r="X1" s="2181"/>
      <c r="Y1" s="2181"/>
      <c r="Z1" s="2181"/>
      <c r="AA1" s="2181"/>
      <c r="AB1" s="2181"/>
      <c r="AC1" s="2182"/>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2240</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 ca="1">ROUND($C$5*$C$18*$C$19*$C$20*S2*$C$24,0)</f>
        <v>#DIV/0!</v>
      </c>
      <c r="U2" s="2942"/>
      <c r="V2" s="2953" t="e">
        <f ca="1">ROUND(T2*U2/10000,0)</f>
        <v>#DIV/0!</v>
      </c>
      <c r="W2" s="2181"/>
      <c r="X2" s="2181"/>
      <c r="Y2" s="2181"/>
      <c r="Z2" s="2181"/>
      <c r="AA2" s="2181"/>
      <c r="AB2" s="2181"/>
      <c r="AC2" s="2182"/>
    </row>
    <row r="3" spans="1:39" ht="15.75">
      <c r="A3" s="1403" t="s">
        <v>1686</v>
      </c>
      <c r="B3" s="1031" t="e">
        <f ca="1">ROUND(B2*10000/D1,0)</f>
        <v>#DIV/0!</v>
      </c>
      <c r="C3" s="1399" t="s">
        <v>927</v>
      </c>
      <c r="D3" s="1400" t="s">
        <v>928</v>
      </c>
      <c r="E3" s="1404" t="s">
        <v>3463</v>
      </c>
      <c r="F3" s="1405" t="s">
        <v>2936</v>
      </c>
      <c r="G3" s="1032">
        <f>IF(F3="宗地容积率",'数据-汇总表'!I4,IF(F3="估价对象容积率",'数据-汇总表'!I6,'数据-汇总表'!I7))</f>
        <v>4.75</v>
      </c>
      <c r="H3" s="1406" t="s">
        <v>929</v>
      </c>
      <c r="I3" s="1033"/>
      <c r="J3" s="1402" t="s">
        <v>930</v>
      </c>
      <c r="K3" s="1393"/>
      <c r="L3" s="1877" t="s">
        <v>2241</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ca="1" si="0">ROUND($C$5*$C$18*$C$19*$C$20*S3*$C$24,0)</f>
        <v>#DIV/0!</v>
      </c>
      <c r="U3" s="2942"/>
      <c r="V3" s="2953" t="e">
        <f t="shared" ref="V3:V16" ca="1" si="1">ROUND(T3*U3/10000,0)</f>
        <v>#DIV/0!</v>
      </c>
      <c r="W3" s="2181"/>
      <c r="X3" s="2181"/>
      <c r="Y3" s="2181"/>
      <c r="Z3" s="2181"/>
      <c r="AA3" s="2181"/>
      <c r="AB3" s="2181"/>
      <c r="AC3" s="2182"/>
    </row>
    <row r="4" spans="1:39" ht="28.5">
      <c r="A4" s="1883" t="s">
        <v>2281</v>
      </c>
      <c r="B4" s="2469" t="e">
        <f ca="1">ROUND(B2*10000/F1,0)</f>
        <v>#DIV/0!</v>
      </c>
      <c r="C4" s="1886" t="s">
        <v>2255</v>
      </c>
      <c r="D4" s="1886" t="e">
        <f ca="1">ROUND(B2/(F1/666.67),0)</f>
        <v>#DIV/0!</v>
      </c>
      <c r="E4" s="1886" t="s">
        <v>2256</v>
      </c>
      <c r="F4" s="1884"/>
      <c r="G4" s="1884"/>
      <c r="H4" s="1884"/>
      <c r="I4" s="1884"/>
      <c r="J4" s="1885"/>
      <c r="K4" s="1393"/>
      <c r="L4" s="1877" t="s">
        <v>2242</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ca="1" si="0"/>
        <v>#DIV/0!</v>
      </c>
      <c r="U4" s="2942"/>
      <c r="V4" s="2953" t="e">
        <f t="shared" ca="1" si="1"/>
        <v>#DIV/0!</v>
      </c>
      <c r="W4" s="2181"/>
      <c r="X4" s="2181"/>
      <c r="Y4" s="2181"/>
      <c r="Z4" s="2181"/>
      <c r="AA4" s="2181"/>
      <c r="AB4" s="2181"/>
      <c r="AC4" s="2182"/>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7" t="s">
        <v>2243</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ca="1" si="0"/>
        <v>#DIV/0!</v>
      </c>
      <c r="U5" s="2942"/>
      <c r="V5" s="2953" t="e">
        <f t="shared" ca="1"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7" t="s">
        <v>2244</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ca="1" si="0"/>
        <v>#DIV/0!</v>
      </c>
      <c r="U6" s="2942"/>
      <c r="V6" s="2953" t="e">
        <f t="shared" ca="1" si="1"/>
        <v>#DIV/0!</v>
      </c>
      <c r="W6" s="2181"/>
      <c r="X6" s="2181"/>
      <c r="Y6" s="2181"/>
      <c r="Z6" s="2181"/>
      <c r="AA6" s="2181"/>
      <c r="AB6" s="2181"/>
      <c r="AC6" s="2183"/>
      <c r="AD6" s="1411"/>
      <c r="AE6" s="1411"/>
      <c r="AF6" s="1411"/>
      <c r="AG6" s="1411"/>
      <c r="AH6" s="1411"/>
      <c r="AI6" s="1411"/>
      <c r="AJ6" s="1412"/>
    </row>
    <row r="7" spans="1:39" ht="24">
      <c r="A7" s="3796" t="str">
        <f>IF(E2="商业",IF(C8="不临58条商业街","",2),"")</f>
        <v/>
      </c>
      <c r="B7" s="1419" t="s">
        <v>932</v>
      </c>
      <c r="C7" s="1036">
        <f>IF(C8="不临58条商业街",1,ROUND(1+(1.6*E8+1.2*E9+0.8*E10+0.4*E11)*C9,4))</f>
        <v>1</v>
      </c>
      <c r="D7" s="1420" t="s">
        <v>933</v>
      </c>
      <c r="E7" s="1037"/>
      <c r="F7" s="1421"/>
      <c r="G7" s="1422"/>
      <c r="H7" s="1422"/>
      <c r="I7" s="1422"/>
      <c r="J7" s="1423"/>
      <c r="K7" s="1587"/>
      <c r="L7" s="1877" t="s">
        <v>2245</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ca="1" si="0"/>
        <v>#DIV/0!</v>
      </c>
      <c r="U7" s="2942"/>
      <c r="V7" s="2953" t="e">
        <f t="shared" ca="1" si="1"/>
        <v>#DIV/0!</v>
      </c>
      <c r="W7" s="2951" t="s">
        <v>2769</v>
      </c>
      <c r="X7" s="2943">
        <f>G2</f>
        <v>0</v>
      </c>
      <c r="Y7" s="2943" t="s">
        <v>2770</v>
      </c>
      <c r="Z7" s="2944">
        <f>G3</f>
        <v>4.75</v>
      </c>
      <c r="AA7" s="2184"/>
      <c r="AB7" s="2184"/>
      <c r="AC7" s="2185"/>
      <c r="AD7" s="2945"/>
      <c r="AE7" s="2945"/>
      <c r="AF7" s="2945"/>
      <c r="AG7" s="2945"/>
      <c r="AH7" s="2945"/>
      <c r="AI7" s="2945"/>
      <c r="AJ7" s="2946"/>
    </row>
    <row r="8" spans="1:39" ht="25.5">
      <c r="A8" s="3797"/>
      <c r="B8" s="1406" t="s">
        <v>934</v>
      </c>
      <c r="C8" s="1521" t="s">
        <v>3464</v>
      </c>
      <c r="D8" s="1038" t="s">
        <v>935</v>
      </c>
      <c r="E8" s="1039" t="e">
        <f>ROUND(C11/E7,4)</f>
        <v>#DIV/0!</v>
      </c>
      <c r="F8" s="1424" t="s">
        <v>936</v>
      </c>
      <c r="G8" s="1425"/>
      <c r="H8" s="1425"/>
      <c r="I8" s="1425"/>
      <c r="J8" s="1426"/>
      <c r="K8" s="1393"/>
      <c r="L8" s="1877" t="s">
        <v>2246</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ca="1" si="0"/>
        <v>#DIV/0!</v>
      </c>
      <c r="U8" s="2942"/>
      <c r="V8" s="2953" t="e">
        <f t="shared" ca="1" si="1"/>
        <v>#DIV/0!</v>
      </c>
      <c r="W8" s="3806" t="s">
        <v>2787</v>
      </c>
      <c r="X8" s="3807"/>
      <c r="Y8" s="1841" t="s">
        <v>2771</v>
      </c>
      <c r="Z8" s="1841" t="s">
        <v>2772</v>
      </c>
      <c r="AA8" s="1841" t="s">
        <v>2773</v>
      </c>
      <c r="AB8" s="1841" t="s">
        <v>2774</v>
      </c>
      <c r="AC8" s="1841" t="s">
        <v>2775</v>
      </c>
      <c r="AD8" s="1841" t="s">
        <v>2776</v>
      </c>
      <c r="AE8" s="1841" t="s">
        <v>2777</v>
      </c>
      <c r="AF8" s="1841" t="s">
        <v>2778</v>
      </c>
      <c r="AG8" s="1841" t="s">
        <v>2779</v>
      </c>
      <c r="AH8" s="1841" t="s">
        <v>2780</v>
      </c>
      <c r="AI8" s="1841" t="s">
        <v>2781</v>
      </c>
      <c r="AJ8" s="1841" t="s">
        <v>2782</v>
      </c>
    </row>
    <row r="9" spans="1:39" ht="15">
      <c r="A9" s="3797"/>
      <c r="B9" s="1406" t="s">
        <v>937</v>
      </c>
      <c r="C9" s="1040">
        <f>SUMIF(修正!C59:C119,C8,修正!E59:E119)</f>
        <v>0</v>
      </c>
      <c r="D9" s="1041" t="s">
        <v>938</v>
      </c>
      <c r="E9" s="1041" t="e">
        <f>ROUND(C11/E7,4)</f>
        <v>#DIV/0!</v>
      </c>
      <c r="F9" s="1424" t="s">
        <v>939</v>
      </c>
      <c r="G9" s="1425"/>
      <c r="H9" s="1425"/>
      <c r="I9" s="1425"/>
      <c r="J9" s="1426"/>
      <c r="K9" s="1393"/>
      <c r="L9" s="1877" t="s">
        <v>2247</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ca="1" si="0"/>
        <v>#DIV/0!</v>
      </c>
      <c r="U9" s="2942"/>
      <c r="V9" s="2953" t="e">
        <f t="shared" ca="1" si="1"/>
        <v>#DIV/0!</v>
      </c>
      <c r="W9" s="3805" t="s">
        <v>2783</v>
      </c>
      <c r="X9" s="2947" t="s">
        <v>2784</v>
      </c>
      <c r="Y9" s="3111"/>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797"/>
      <c r="B10" s="1406" t="s">
        <v>940</v>
      </c>
      <c r="C10" s="1041">
        <f>SUMIF(修正!C59:C119,C8,修正!F59:F119)</f>
        <v>0</v>
      </c>
      <c r="D10" s="1041" t="s">
        <v>941</v>
      </c>
      <c r="E10" s="1041" t="e">
        <f>ROUND(C11/E7,4)</f>
        <v>#DIV/0!</v>
      </c>
      <c r="F10" s="1424" t="s">
        <v>942</v>
      </c>
      <c r="G10" s="1425"/>
      <c r="H10" s="1425"/>
      <c r="I10" s="1425"/>
      <c r="J10" s="1426"/>
      <c r="K10" s="1393"/>
      <c r="L10" s="1877" t="s">
        <v>2248</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ca="1" si="0"/>
        <v>#DIV/0!</v>
      </c>
      <c r="U10" s="2942"/>
      <c r="V10" s="2953" t="e">
        <f t="shared" ca="1" si="1"/>
        <v>#DIV/0!</v>
      </c>
      <c r="W10" s="3805"/>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797"/>
      <c r="B11" s="1427" t="s">
        <v>943</v>
      </c>
      <c r="C11" s="1042">
        <f>C10/4</f>
        <v>0</v>
      </c>
      <c r="D11" s="1042" t="s">
        <v>944</v>
      </c>
      <c r="E11" s="1042" t="e">
        <f>ROUND(C11/E7,4)</f>
        <v>#DIV/0!</v>
      </c>
      <c r="F11" s="1428" t="s">
        <v>945</v>
      </c>
      <c r="G11" s="1429"/>
      <c r="H11" s="1429"/>
      <c r="I11" s="1429"/>
      <c r="J11" s="1430"/>
      <c r="K11" s="1393"/>
      <c r="L11" s="1877" t="s">
        <v>2249</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ca="1" si="0"/>
        <v>#DIV/0!</v>
      </c>
      <c r="U11" s="2942"/>
      <c r="V11" s="2953" t="e">
        <f t="shared" ca="1" si="1"/>
        <v>#DIV/0!</v>
      </c>
      <c r="W11" s="3805" t="s">
        <v>2785</v>
      </c>
      <c r="X11" s="1041" t="s">
        <v>2770</v>
      </c>
      <c r="Y11" s="1645">
        <f>$G$3</f>
        <v>4.75</v>
      </c>
      <c r="Z11" s="1645">
        <f t="shared" ref="Z11:AJ11" si="3">$G$3</f>
        <v>4.75</v>
      </c>
      <c r="AA11" s="1645">
        <f t="shared" si="3"/>
        <v>4.75</v>
      </c>
      <c r="AB11" s="1645">
        <f t="shared" si="3"/>
        <v>4.75</v>
      </c>
      <c r="AC11" s="1645">
        <f t="shared" si="3"/>
        <v>4.75</v>
      </c>
      <c r="AD11" s="1645">
        <f t="shared" si="3"/>
        <v>4.75</v>
      </c>
      <c r="AE11" s="1645">
        <f t="shared" si="3"/>
        <v>4.75</v>
      </c>
      <c r="AF11" s="1645">
        <f t="shared" si="3"/>
        <v>4.75</v>
      </c>
      <c r="AG11" s="1645">
        <f t="shared" si="3"/>
        <v>4.75</v>
      </c>
      <c r="AH11" s="1645">
        <f t="shared" si="3"/>
        <v>4.75</v>
      </c>
      <c r="AI11" s="1645">
        <f t="shared" si="3"/>
        <v>4.75</v>
      </c>
      <c r="AJ11" s="1645">
        <f t="shared" si="3"/>
        <v>4.75</v>
      </c>
    </row>
    <row r="12" spans="1:39" ht="25.5" thickBot="1">
      <c r="A12" s="3796" t="s">
        <v>1870</v>
      </c>
      <c r="B12" s="1431" t="s">
        <v>946</v>
      </c>
      <c r="C12" s="1036">
        <f>ROUND(C15*D15*E15*F15*G15*H15*I15*J15,4)</f>
        <v>1</v>
      </c>
      <c r="D12" s="1432" t="s">
        <v>947</v>
      </c>
      <c r="E12" s="1433"/>
      <c r="F12" s="1433"/>
      <c r="G12" s="1434"/>
      <c r="H12" s="1434"/>
      <c r="I12" s="1434"/>
      <c r="J12" s="1435"/>
      <c r="K12" s="1393"/>
      <c r="L12" s="1880" t="s">
        <v>2250</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ca="1" si="0"/>
        <v>#DIV/0!</v>
      </c>
      <c r="U12" s="2942"/>
      <c r="V12" s="2953" t="e">
        <f t="shared" ca="1" si="1"/>
        <v>#DIV/0!</v>
      </c>
      <c r="W12" s="3805"/>
      <c r="X12" s="2950" t="s">
        <v>2786</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798"/>
      <c r="B13" s="1436" t="s">
        <v>1695</v>
      </c>
      <c r="C13" s="1437" t="s">
        <v>1696</v>
      </c>
      <c r="D13" s="1082" t="s">
        <v>1697</v>
      </c>
      <c r="E13" s="1082" t="s">
        <v>1698</v>
      </c>
      <c r="F13" s="1438" t="s">
        <v>948</v>
      </c>
      <c r="G13" s="1439" t="s">
        <v>1643</v>
      </c>
      <c r="H13" s="1440" t="s">
        <v>1643</v>
      </c>
      <c r="I13" s="1441" t="s">
        <v>1643</v>
      </c>
      <c r="J13" s="1442" t="s">
        <v>1643</v>
      </c>
      <c r="K13" s="1393"/>
      <c r="L13" s="2181"/>
      <c r="M13" s="2181"/>
      <c r="N13" s="2181"/>
      <c r="O13" s="2181"/>
      <c r="P13" s="2181"/>
      <c r="Q13" s="2181"/>
      <c r="R13" s="2953">
        <v>12</v>
      </c>
      <c r="S13" s="2942"/>
      <c r="T13" s="2953" t="e">
        <f t="shared" ca="1" si="0"/>
        <v>#DIV/0!</v>
      </c>
      <c r="U13" s="2942"/>
      <c r="V13" s="2953" t="e">
        <f t="shared" ca="1" si="1"/>
        <v>#DIV/0!</v>
      </c>
      <c r="W13" s="3805"/>
      <c r="X13" s="2950"/>
      <c r="Y13" s="2949">
        <f>(-0.163*(Y12^2)-0.59*Y12+7617)*(10^(-4))/Y11</f>
        <v>0.16035789473684212</v>
      </c>
      <c r="Z13" s="2949">
        <f t="shared" ref="Z13:AJ13" si="5">(-0.163*(Z12^2)-0.59*Z12+7617)*(10^(-4))/Z11</f>
        <v>0.16035789473684212</v>
      </c>
      <c r="AA13" s="2949">
        <f t="shared" si="5"/>
        <v>0.16035789473684212</v>
      </c>
      <c r="AB13" s="2949">
        <f t="shared" si="5"/>
        <v>0.16035789473684212</v>
      </c>
      <c r="AC13" s="2949">
        <f t="shared" si="5"/>
        <v>0.16035789473684212</v>
      </c>
      <c r="AD13" s="2949">
        <f t="shared" si="5"/>
        <v>0.16035789473684212</v>
      </c>
      <c r="AE13" s="2949">
        <f t="shared" si="5"/>
        <v>0.16035789473684212</v>
      </c>
      <c r="AF13" s="2949">
        <f t="shared" si="5"/>
        <v>0.16035789473684212</v>
      </c>
      <c r="AG13" s="2949">
        <f t="shared" si="5"/>
        <v>0.16035789473684212</v>
      </c>
      <c r="AH13" s="2949">
        <f t="shared" si="5"/>
        <v>0.16035789473684212</v>
      </c>
      <c r="AI13" s="2949">
        <f t="shared" si="5"/>
        <v>0.16035789473684212</v>
      </c>
      <c r="AJ13" s="2949">
        <f t="shared" si="5"/>
        <v>0.16035789473684212</v>
      </c>
    </row>
    <row r="14" spans="1:39" ht="12.75" customHeight="1" thickBot="1">
      <c r="A14" s="3798"/>
      <c r="B14" s="1443"/>
      <c r="C14" s="1444" t="s">
        <v>3465</v>
      </c>
      <c r="D14" s="1445" t="s">
        <v>3465</v>
      </c>
      <c r="E14" s="1445" t="s">
        <v>3465</v>
      </c>
      <c r="F14" s="1446" t="s">
        <v>3466</v>
      </c>
      <c r="G14" s="1447" t="s">
        <v>949</v>
      </c>
      <c r="H14" s="1448"/>
      <c r="I14" s="1449"/>
      <c r="J14" s="1450"/>
      <c r="K14" s="1393"/>
      <c r="L14" s="2181"/>
      <c r="M14" s="2181"/>
      <c r="N14" s="2181"/>
      <c r="O14" s="2181"/>
      <c r="P14" s="2181"/>
      <c r="Q14" s="2181"/>
      <c r="R14" s="2953">
        <v>13</v>
      </c>
      <c r="S14" s="2942"/>
      <c r="T14" s="2953" t="e">
        <f t="shared" ca="1" si="0"/>
        <v>#DIV/0!</v>
      </c>
      <c r="U14" s="2942"/>
      <c r="V14" s="2953" t="e">
        <f t="shared" ca="1" si="1"/>
        <v>#DIV/0!</v>
      </c>
      <c r="W14" s="2181"/>
      <c r="X14" s="2181"/>
      <c r="Y14" s="2181"/>
      <c r="Z14" s="2181"/>
      <c r="AA14" s="2181"/>
      <c r="AB14" s="2181"/>
      <c r="AC14" s="2182"/>
    </row>
    <row r="15" spans="1:39" ht="13.5" customHeight="1" thickBot="1">
      <c r="A15" s="3799"/>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1"/>
      <c r="R15" s="2953">
        <v>14</v>
      </c>
      <c r="S15" s="2942"/>
      <c r="T15" s="2953" t="e">
        <f t="shared" ca="1" si="0"/>
        <v>#DIV/0!</v>
      </c>
      <c r="U15" s="2942"/>
      <c r="V15" s="2953" t="e">
        <f t="shared" ca="1" si="1"/>
        <v>#DIV/0!</v>
      </c>
      <c r="W15" s="2181"/>
      <c r="X15" s="2181"/>
      <c r="Y15" s="2181"/>
      <c r="Z15" s="2181"/>
      <c r="AA15" s="2181"/>
      <c r="AB15" s="2181"/>
      <c r="AC15" s="2182"/>
    </row>
    <row r="16" spans="1:39" ht="24">
      <c r="A16" s="3796" t="s">
        <v>1837</v>
      </c>
      <c r="B16" s="1419" t="s">
        <v>950</v>
      </c>
      <c r="C16" s="1047" t="e">
        <f>ROUND(SUM(G17:J17)/C17,0)</f>
        <v>#DIV/0!</v>
      </c>
      <c r="D16" s="1452" t="s">
        <v>951</v>
      </c>
      <c r="E16" s="1453" t="s">
        <v>3467</v>
      </c>
      <c r="F16" s="1454" t="s">
        <v>3213</v>
      </c>
      <c r="G16" s="1455"/>
      <c r="H16" s="1455"/>
      <c r="I16" s="1455"/>
      <c r="J16" s="1455"/>
      <c r="K16" s="1393"/>
      <c r="L16" s="1456" t="s">
        <v>988</v>
      </c>
      <c r="M16" s="1040">
        <v>0.25</v>
      </c>
      <c r="N16" s="1040">
        <v>0.2</v>
      </c>
      <c r="O16" s="1040">
        <v>0.15</v>
      </c>
      <c r="P16" s="1531">
        <v>0.1</v>
      </c>
      <c r="Q16" s="2184"/>
      <c r="R16" s="2953">
        <v>15</v>
      </c>
      <c r="S16" s="2942"/>
      <c r="T16" s="2953" t="e">
        <f t="shared" ca="1" si="0"/>
        <v>#DIV/0!</v>
      </c>
      <c r="U16" s="2942"/>
      <c r="V16" s="2953" t="e">
        <f t="shared" ca="1" si="1"/>
        <v>#DIV/0!</v>
      </c>
      <c r="W16" s="2184"/>
      <c r="X16" s="2184"/>
      <c r="Y16" s="2184"/>
      <c r="Z16" s="2184"/>
      <c r="AA16" s="2184"/>
      <c r="AB16" s="2184"/>
      <c r="AC16" s="2185"/>
    </row>
    <row r="17" spans="1:40" ht="13.5" thickBot="1">
      <c r="A17" s="3797"/>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1828</v>
      </c>
      <c r="B18" s="2789" t="s">
        <v>956</v>
      </c>
      <c r="C18" s="2790">
        <f>SUMIF(修正!C18:C39,E3,修正!E18:E39)</f>
        <v>0.8</v>
      </c>
      <c r="D18" s="2791"/>
      <c r="E18" s="2792"/>
      <c r="F18" s="2793"/>
      <c r="G18" s="2787"/>
      <c r="H18" s="2787"/>
      <c r="I18" s="2787"/>
      <c r="J18" s="2794"/>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43271</v>
      </c>
      <c r="H19" s="1467" t="s">
        <v>2937</v>
      </c>
      <c r="I19" s="2801" t="str">
        <f>IF(H19="季度增幅（自定义）",SUMIF(N21:N24,E2,O21:O24),"")</f>
        <v/>
      </c>
      <c r="J19" s="1463"/>
      <c r="K19" s="1473"/>
      <c r="L19" s="3055" t="s">
        <v>2845</v>
      </c>
      <c r="M19" s="3056">
        <f>ROUND(SUMIF(地价!B2:F2,E2,地价!B21:F21),0)</f>
        <v>230</v>
      </c>
      <c r="N19" s="2803" t="s">
        <v>1677</v>
      </c>
      <c r="O19" s="2802">
        <f>ROUNDDOWN(DATEDIF(E19,G19,"M")/3,0)</f>
        <v>17</v>
      </c>
      <c r="P19" s="1588"/>
      <c r="R19" s="2941"/>
      <c r="S19" s="2941"/>
      <c r="T19" s="2941"/>
      <c r="U19" s="2941"/>
      <c r="V19" s="2941"/>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5" t="s">
        <v>1835</v>
      </c>
      <c r="B20" s="2796" t="s">
        <v>972</v>
      </c>
      <c r="C20" s="2797" t="e">
        <f ca="1">ROUND(POWER(1+G20,J20-I20)*(POWER(1+G20,I20)-1)/(POWER(1+G20,J20)-1),4)</f>
        <v>#DIV/0!</v>
      </c>
      <c r="D20" s="2798" t="s">
        <v>973</v>
      </c>
      <c r="E20" s="3108">
        <f ca="1">存贷款利率!I4/100</f>
        <v>4.3499999999999997E-2</v>
      </c>
      <c r="F20" s="2798" t="s">
        <v>974</v>
      </c>
      <c r="G20" s="2799">
        <f ca="1">SUMIF(M15:P15,E2,M17:P17)</f>
        <v>4.8000000000000001E-2</v>
      </c>
      <c r="H20" s="2798" t="s">
        <v>975</v>
      </c>
      <c r="I20" s="2788" t="e">
        <f>SUMIF('数据-取费表'!C6:C15,E2,'数据-取费表'!F6:F15)/COUNTIF('数据-取费表'!C6:C15,E2)</f>
        <v>#DIV/0!</v>
      </c>
      <c r="J20" s="2800">
        <f>IF(E2="住宅",70,IF(E2="商业",40,50))</f>
        <v>50</v>
      </c>
      <c r="K20" s="1473"/>
      <c r="L20" s="3057" t="s">
        <v>2846</v>
      </c>
      <c r="M20" s="3058">
        <f>ROUND(SUMPRODUCT((地价!A4:A21=YEAR(G19)&amp;"-"&amp;ROUNDUP(MONTH(G19)/3,0))*(地价!B2:F2=E2)*(地价!B4:F21)),0)</f>
        <v>0</v>
      </c>
      <c r="N20" s="2806" t="s">
        <v>2649</v>
      </c>
      <c r="O20" s="2804" t="s">
        <v>2648</v>
      </c>
      <c r="P20" s="2805" t="s">
        <v>2654</v>
      </c>
      <c r="R20" s="2941"/>
      <c r="S20" s="2941"/>
      <c r="T20" s="2941"/>
      <c r="U20" s="2941"/>
      <c r="V20" s="2941"/>
      <c r="W20" s="2187"/>
      <c r="X20" s="2187"/>
      <c r="Y20" s="2187"/>
      <c r="Z20" s="2187"/>
      <c r="AA20" s="2187"/>
      <c r="AB20" s="2187"/>
      <c r="AC20" s="2187"/>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6">
        <f>SUMPRODUCT((地价!A3:A21=YEAR(G19)&amp;"-"&amp;ROUNDUP(MONTH(G19)/3,0))*(地价!AD2:AH2=N21)*(地价!AD3:AH21))</f>
        <v>0</v>
      </c>
      <c r="R21" s="2941"/>
      <c r="S21" s="2941"/>
      <c r="T21" s="2941"/>
      <c r="U21" s="2941"/>
      <c r="V21" s="2941"/>
      <c r="W21" s="2187"/>
      <c r="X21" s="2187"/>
      <c r="Y21" s="2187"/>
      <c r="Z21" s="2187"/>
      <c r="AA21" s="2187"/>
      <c r="AB21" s="2187"/>
      <c r="AC21" s="2187"/>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4.7</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4.8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6">
        <f>SUMPRODUCT((地价!A3:A21=YEAR(G19)&amp;"-"&amp;ROUNDUP(MONTH(G19)/3,0))*(地价!AD2:AH2=N22)*(地价!AD3:AH21))</f>
        <v>0</v>
      </c>
      <c r="R22" s="2941"/>
      <c r="S22" s="2941"/>
      <c r="T22" s="2941"/>
      <c r="U22" s="2941"/>
      <c r="V22" s="2941"/>
      <c r="W22" s="2187"/>
      <c r="X22" s="2187"/>
      <c r="Y22" s="2187"/>
      <c r="Z22" s="2187"/>
      <c r="AA22" s="2187"/>
      <c r="AB22" s="2187"/>
      <c r="AC22" s="2187"/>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6">
        <f>SUMPRODUCT((地价!A3:A21=YEAR(G19)&amp;"-"&amp;ROUNDUP(MONTH(G19)/3,0))*(地价!AD2:AH2=N23)*(地价!AD3:AH21))</f>
        <v>0</v>
      </c>
      <c r="R23" s="2941"/>
      <c r="S23" s="2941"/>
      <c r="T23" s="2941"/>
      <c r="U23" s="2941"/>
      <c r="V23" s="2941"/>
      <c r="W23" s="2187"/>
      <c r="X23" s="2187"/>
      <c r="Y23" s="2187"/>
      <c r="Z23" s="2187"/>
      <c r="AA23" s="2187"/>
      <c r="AB23" s="2187"/>
      <c r="AC23" s="2187"/>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1"/>
      <c r="S24" s="2941"/>
      <c r="T24" s="2941"/>
      <c r="U24" s="2941"/>
      <c r="V24" s="2941"/>
      <c r="W24" s="2187"/>
      <c r="X24" s="2187"/>
      <c r="Y24" s="2187"/>
      <c r="Z24" s="2187"/>
      <c r="AA24" s="2187"/>
      <c r="AB24" s="2187"/>
      <c r="AC24" s="2187"/>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7"/>
      <c r="M25" s="2187"/>
      <c r="N25" s="2814" t="s">
        <v>2652</v>
      </c>
      <c r="O25" s="2187"/>
      <c r="P25" s="1533">
        <f>SUMPRODUCT((地价!A3:A21=YEAR(G19)&amp;"-"&amp;ROUNDUP(MONTH(G19)/3,0))*(地价!AD2:AH2=N25)*(地价!AD3:AH21))</f>
        <v>0</v>
      </c>
      <c r="R25" s="2941"/>
      <c r="S25" s="2941"/>
      <c r="T25" s="2941"/>
      <c r="U25" s="2941"/>
      <c r="V25" s="2941"/>
      <c r="W25" s="2187"/>
      <c r="X25" s="2187"/>
      <c r="Y25" s="2187"/>
      <c r="Z25" s="2187"/>
      <c r="AA25" s="2187"/>
      <c r="AB25" s="2187"/>
      <c r="AC25" s="2187"/>
    </row>
    <row r="26" spans="1:40" ht="14.25">
      <c r="A26" s="1481"/>
      <c r="B26" s="1475" t="s">
        <v>987</v>
      </c>
      <c r="C26" s="1056" t="e">
        <f ca="1">E29+SUM(E33:E39)</f>
        <v>#DIV/0!</v>
      </c>
      <c r="D26" s="1482"/>
      <c r="E26" s="1448"/>
      <c r="F26" s="1483"/>
      <c r="G26" s="1448"/>
      <c r="H26" s="1448"/>
      <c r="I26" s="1448"/>
      <c r="J26" s="1484"/>
      <c r="K26" s="1393"/>
      <c r="L26" s="2187"/>
      <c r="M26" s="2187"/>
      <c r="N26" s="2187"/>
      <c r="O26" s="2187"/>
      <c r="P26" s="2187"/>
      <c r="Q26" s="2187"/>
      <c r="R26" s="2941"/>
      <c r="S26" s="2941"/>
      <c r="T26" s="2941"/>
      <c r="U26" s="2941"/>
      <c r="V26" s="2941"/>
      <c r="W26" s="2187"/>
      <c r="X26" s="2187"/>
      <c r="Y26" s="2187"/>
      <c r="Z26" s="2187"/>
      <c r="AA26" s="2187"/>
      <c r="AB26" s="2187"/>
      <c r="AC26" s="2187"/>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7"/>
      <c r="M27" s="2187"/>
      <c r="N27" s="2187"/>
      <c r="O27" s="2187"/>
      <c r="P27" s="2187"/>
      <c r="Q27" s="2187"/>
      <c r="R27" s="2941"/>
      <c r="S27" s="2941"/>
      <c r="T27" s="2941"/>
      <c r="U27" s="2941"/>
      <c r="V27" s="2941"/>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1"/>
      <c r="S28" s="2941"/>
      <c r="T28" s="2941"/>
      <c r="U28" s="2941"/>
      <c r="V28" s="2941"/>
      <c r="W28" s="2187"/>
      <c r="X28" s="2187"/>
      <c r="Y28" s="2187"/>
      <c r="Z28" s="2187"/>
      <c r="AA28" s="2187"/>
      <c r="AB28" s="2187"/>
      <c r="AC28" s="2187"/>
      <c r="AD28" s="1464"/>
      <c r="AE28" s="1464"/>
      <c r="AF28" s="1464"/>
      <c r="AG28" s="1464"/>
    </row>
    <row r="29" spans="1:40" ht="24">
      <c r="A29" s="1494"/>
      <c r="B29" s="1495" t="s">
        <v>994</v>
      </c>
      <c r="C29" s="1056" t="e">
        <f ca="1">ROUND(C5*C18*C19*C20*C21*C24,0)</f>
        <v>#DIV/0!</v>
      </c>
      <c r="D29" s="1496"/>
      <c r="E29" s="1841" t="e">
        <f ca="1">ROUND(C29*D29/10000,0)</f>
        <v>#DIV/0!</v>
      </c>
      <c r="F29" s="1497" t="s">
        <v>1700</v>
      </c>
      <c r="G29" s="1498"/>
      <c r="H29" s="1498"/>
      <c r="I29" s="1498"/>
      <c r="J29" s="1499"/>
      <c r="K29" s="1393"/>
      <c r="L29" s="2187"/>
      <c r="M29" s="2187"/>
      <c r="N29" s="2187"/>
      <c r="O29" s="2187"/>
      <c r="P29" s="2187"/>
      <c r="Q29" s="2187"/>
      <c r="R29" s="2941"/>
      <c r="S29" s="2941"/>
      <c r="T29" s="2941"/>
      <c r="U29" s="2941"/>
      <c r="V29" s="2941"/>
      <c r="W29" s="2187"/>
      <c r="X29" s="2187"/>
      <c r="Y29" s="2187"/>
      <c r="Z29" s="2187"/>
      <c r="AA29" s="2187"/>
      <c r="AB29" s="2187"/>
      <c r="AC29" s="2187"/>
      <c r="AH29" s="1394"/>
      <c r="AI29" s="1394"/>
      <c r="AJ29" s="1397"/>
      <c r="AK29" s="1397"/>
      <c r="AL29" s="1397"/>
      <c r="AM29" s="1397"/>
    </row>
    <row r="30" spans="1:40" ht="24.75" thickBot="1">
      <c r="A30" s="1500"/>
      <c r="B30" s="1501" t="s">
        <v>995</v>
      </c>
      <c r="C30" s="1044" t="e">
        <f ca="1">ROUND(IF(E2="工业",C29*M39,C29*M38),0)</f>
        <v>#DIV/0!</v>
      </c>
      <c r="D30" s="1502"/>
      <c r="E30" s="1841" t="e">
        <f ca="1">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802"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803"/>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803"/>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804"/>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9"/>
      <c r="H44" s="2439"/>
      <c r="I44" s="1059"/>
      <c r="J44" s="1059"/>
      <c r="K44" s="1059"/>
      <c r="L44" s="1059"/>
      <c r="M44" s="1059"/>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9"/>
      <c r="J45" s="1059"/>
      <c r="K45" s="1059"/>
      <c r="L45" s="1059"/>
      <c r="M45" s="1059"/>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60" t="s">
        <v>1009</v>
      </c>
      <c r="B46" s="2424" t="s">
        <v>1010</v>
      </c>
      <c r="C46" s="2446" t="s">
        <v>1011</v>
      </c>
      <c r="D46" s="2447" t="s">
        <v>1012</v>
      </c>
      <c r="E46" s="2448" t="s">
        <v>1014</v>
      </c>
      <c r="F46" s="2449" t="s">
        <v>2251</v>
      </c>
      <c r="G46" s="2447" t="s">
        <v>1015</v>
      </c>
      <c r="H46" s="2430" t="s">
        <v>2420</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60" t="s">
        <v>1021</v>
      </c>
      <c r="B47" s="2427" t="str">
        <f>估价对象房地状况!C16</f>
        <v>估价对象位于太湖商圈，周边商业氛围成熟（海岸城1八方汇等），人流量较大大，商业繁华度较好</v>
      </c>
      <c r="C47" s="1043"/>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60" t="s">
        <v>1022</v>
      </c>
      <c r="B48" s="2424" t="str">
        <f>估价对象房地状况!C18</f>
        <v>估价对象临立信大道、公共交通线路较多（135路、156路等）及地铁1号线、停车便捷度较高，综合评价交通便捷度较好</v>
      </c>
      <c r="C48" s="1043"/>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60" t="s">
        <v>1023</v>
      </c>
      <c r="B49" s="2424">
        <f>估价对象房地状况!C19</f>
        <v>0</v>
      </c>
      <c r="C49" s="1043"/>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60" t="s">
        <v>1024</v>
      </c>
      <c r="B50" s="3110" t="s">
        <v>2939</v>
      </c>
      <c r="C50" s="1043"/>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60" t="s">
        <v>1025</v>
      </c>
      <c r="B51" s="2424" t="str">
        <f>估价对象房地状况!C24</f>
        <v>次干道——立信大道</v>
      </c>
      <c r="C51" s="1043"/>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60" t="s">
        <v>1026</v>
      </c>
      <c r="B52" s="3109" t="s">
        <v>2938</v>
      </c>
      <c r="C52" s="1043"/>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60">
      <c r="A53" s="2456" t="s">
        <v>1027</v>
      </c>
      <c r="B53" s="2425" t="str">
        <f>估价对象房地状况!C21</f>
        <v>估价对象所在区域内有农业银行、无锡市第二中医医院、无锡金桥双语实验学校，公共配套设施水平较好</v>
      </c>
      <c r="C53" s="1043"/>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估价对象所在区域基础设施水平“六通”</v>
      </c>
      <c r="C54" s="1043"/>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60.75" thickBot="1">
      <c r="A55" s="2457" t="s">
        <v>1029</v>
      </c>
      <c r="B55" s="2428" t="str">
        <f>估价对象房地状况!C20</f>
        <v>区域内有尚贤河湿地公园，自然环境较好；无大学等人文设施，人文环境较差；综合评价环境状况一般</v>
      </c>
      <c r="C55" s="1043"/>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9"/>
      <c r="K56" s="1059"/>
      <c r="L56" s="1059"/>
      <c r="M56" s="1059"/>
      <c r="N56" s="1059"/>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60" t="s">
        <v>1009</v>
      </c>
      <c r="B57" s="2424"/>
      <c r="C57" s="2446" t="s">
        <v>1011</v>
      </c>
      <c r="D57" s="2447" t="s">
        <v>1012</v>
      </c>
      <c r="E57" s="2448" t="s">
        <v>1014</v>
      </c>
      <c r="F57" s="2449" t="s">
        <v>2252</v>
      </c>
      <c r="G57" s="2447" t="s">
        <v>1015</v>
      </c>
      <c r="H57" s="2430" t="s">
        <v>2420</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60" t="s">
        <v>1031</v>
      </c>
      <c r="B58" s="2427" t="str">
        <f>估价对象房地状况!C17</f>
        <v>估价对象位于太湖商圈，周边办公楼项目较多（无锡金融中心等），入驻率较高，办公集聚程度较好</v>
      </c>
      <c r="C58" s="1043"/>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60" t="s">
        <v>1022</v>
      </c>
      <c r="B59" s="2424" t="str">
        <f>估价对象房地状况!C18</f>
        <v>估价对象临立信大道、公共交通线路较多（135路、156路等）及地铁1号线、停车便捷度较高，综合评价交通便捷度较好</v>
      </c>
      <c r="C59" s="1043"/>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60" t="s">
        <v>1023</v>
      </c>
      <c r="B60" s="2424">
        <f>估价对象房地状况!C19</f>
        <v>0</v>
      </c>
      <c r="C60" s="1043"/>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60" t="s">
        <v>1024</v>
      </c>
      <c r="B61" s="3110" t="s">
        <v>2940</v>
      </c>
      <c r="C61" s="1043"/>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60" t="s">
        <v>1025</v>
      </c>
      <c r="B62" s="2424" t="str">
        <f>估价对象房地状况!C24</f>
        <v>次干道——立信大道</v>
      </c>
      <c r="C62" s="1043"/>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60" t="s">
        <v>1026</v>
      </c>
      <c r="B63" s="3109" t="s">
        <v>2938</v>
      </c>
      <c r="C63" s="1043"/>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60">
      <c r="A64" s="1060" t="s">
        <v>1027</v>
      </c>
      <c r="B64" s="2425" t="str">
        <f>估价对象房地状况!C21</f>
        <v>估价对象所在区域内有农业银行、无锡市第二中医医院、无锡金桥双语实验学校，公共配套设施水平较好</v>
      </c>
      <c r="C64" s="1043"/>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60" t="s">
        <v>1028</v>
      </c>
      <c r="B65" s="2425" t="str">
        <f>估价对象房地状况!C22</f>
        <v>估价对象所在区域基础设施水平“六通”</v>
      </c>
      <c r="C65" s="1043"/>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60.75" thickBot="1">
      <c r="A66" s="2457" t="s">
        <v>1029</v>
      </c>
      <c r="B66" s="2429" t="str">
        <f>估价对象房地状况!C20</f>
        <v>区域内有尚贤河湿地公园，自然环境较好；无大学等人文设施，人文环境较差；综合评价环境状况一般</v>
      </c>
      <c r="C66" s="1043"/>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9"/>
      <c r="K67" s="1059"/>
      <c r="L67" s="1059"/>
      <c r="M67" s="1059"/>
      <c r="N67" s="1059"/>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60" t="s">
        <v>1009</v>
      </c>
      <c r="B68" s="2424"/>
      <c r="C68" s="2446" t="s">
        <v>1011</v>
      </c>
      <c r="D68" s="2447" t="s">
        <v>1012</v>
      </c>
      <c r="E68" s="2448" t="s">
        <v>1014</v>
      </c>
      <c r="F68" s="2449" t="s">
        <v>2253</v>
      </c>
      <c r="G68" s="2447" t="s">
        <v>1015</v>
      </c>
      <c r="H68" s="2430" t="s">
        <v>2420</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48">
      <c r="A69" s="1060" t="s">
        <v>1033</v>
      </c>
      <c r="B69" s="2427" t="str">
        <f>估价对象房地状况!C15</f>
        <v>估价对象位于太湖商圈，周边办公楼项目较多（无锡金融中心等），入驻率较高，办公集聚程度较好</v>
      </c>
      <c r="C69" s="1152"/>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60" t="s">
        <v>1034</v>
      </c>
      <c r="B70" s="2424" t="str">
        <f>估价对象房地状况!C18</f>
        <v>估价对象临立信大道、公共交通线路较多（135路、156路等）及地铁1号线、停车便捷度较高，综合评价交通便捷度较好</v>
      </c>
      <c r="C70" s="1152"/>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60" t="s">
        <v>1023</v>
      </c>
      <c r="B71" s="2424">
        <f>估价对象房地状况!C19</f>
        <v>0</v>
      </c>
      <c r="C71" s="1152"/>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60" t="s">
        <v>1035</v>
      </c>
      <c r="B72" s="2424" t="str">
        <f>估价对象房地状况!C24</f>
        <v>次干道——立信大道</v>
      </c>
      <c r="C72" s="1152"/>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60">
      <c r="A73" s="1060" t="s">
        <v>1027</v>
      </c>
      <c r="B73" s="2425" t="str">
        <f>估价对象房地状况!C21</f>
        <v>估价对象所在区域内有农业银行、无锡市第二中医医院、无锡金桥双语实验学校，公共配套设施水平较好</v>
      </c>
      <c r="C73" s="1152"/>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60" t="s">
        <v>1028</v>
      </c>
      <c r="B74" s="2425" t="str">
        <f>估价对象房地状况!C22</f>
        <v>估价对象所在区域基础设施水平“六通”</v>
      </c>
      <c r="C74" s="1152"/>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60" t="s">
        <v>1026</v>
      </c>
      <c r="B75" s="3109" t="s">
        <v>2938</v>
      </c>
      <c r="C75" s="1152"/>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60">
      <c r="A76" s="1060" t="s">
        <v>1029</v>
      </c>
      <c r="B76" s="2427" t="str">
        <f>估价对象房地状况!C20</f>
        <v>区域内有尚贤河湿地公园，自然环境较好；无大学等人文设施，人文环境较差；综合评价环境状况一般</v>
      </c>
      <c r="C76" s="1152"/>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2"/>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9"/>
      <c r="K78" s="1059"/>
      <c r="L78" s="1059"/>
      <c r="M78" s="1059"/>
      <c r="N78" s="1059"/>
      <c r="AC78" s="1397"/>
      <c r="AD78" s="1396"/>
      <c r="AJ78" s="1395"/>
      <c r="AN78" s="1396"/>
    </row>
    <row r="79" spans="1:40" ht="24">
      <c r="A79" s="1060" t="s">
        <v>1009</v>
      </c>
      <c r="B79" s="2424"/>
      <c r="C79" s="2446" t="s">
        <v>1011</v>
      </c>
      <c r="D79" s="2447" t="s">
        <v>1012</v>
      </c>
      <c r="E79" s="2448" t="s">
        <v>1014</v>
      </c>
      <c r="F79" s="2449" t="s">
        <v>2254</v>
      </c>
      <c r="G79" s="2447" t="s">
        <v>1015</v>
      </c>
      <c r="H79" s="2430" t="s">
        <v>2420</v>
      </c>
      <c r="I79" s="2447" t="s">
        <v>1013</v>
      </c>
      <c r="J79" s="2450" t="s">
        <v>1016</v>
      </c>
      <c r="K79" s="2450" t="s">
        <v>1017</v>
      </c>
      <c r="L79" s="2450" t="s">
        <v>1018</v>
      </c>
      <c r="M79" s="2450" t="s">
        <v>1019</v>
      </c>
      <c r="N79" s="2450" t="s">
        <v>1020</v>
      </c>
      <c r="AC79" s="1397"/>
      <c r="AD79" s="1396"/>
      <c r="AJ79" s="1395"/>
      <c r="AN79" s="1396"/>
    </row>
    <row r="80" spans="1:40" ht="36">
      <c r="A80" s="1060" t="s">
        <v>1038</v>
      </c>
      <c r="B80" s="2424" t="str">
        <f>估价对象房地状况!G15</f>
        <v>估价对象位于XX开发区，园区建设成熟度XX，产业集聚程度XX</v>
      </c>
      <c r="C80" s="1043"/>
      <c r="D80" s="2433">
        <f t="shared" ref="D80:D87" si="25">SUMIF($J$79:$N$79,C80,J80:N80)</f>
        <v>0</v>
      </c>
      <c r="E80" s="2452">
        <f>ROUND(SUM(D80:D87),4)</f>
        <v>0</v>
      </c>
      <c r="F80" s="2453">
        <f>IF(E2="工业",SUMIF(L1:L12,G2,N1:N12),"——")</f>
        <v>0</v>
      </c>
      <c r="G80" s="2431"/>
      <c r="H80" s="2477">
        <f t="shared" ref="H80:H87" si="26">IFERROR(ROUNDDOWN($F$80*I80/2,4),"——")</f>
        <v>0</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60" t="s">
        <v>1034</v>
      </c>
      <c r="B81" s="2424" t="str">
        <f>估价对象房地状况!G16</f>
        <v>估价对象周边道路状况、公共交通通达情况、停车便捷程度，综合评价交通便捷度较好</v>
      </c>
      <c r="C81" s="1043"/>
      <c r="D81" s="2433">
        <f t="shared" si="25"/>
        <v>0</v>
      </c>
      <c r="E81" s="2461"/>
      <c r="F81" s="2462"/>
      <c r="G81" s="2431"/>
      <c r="H81" s="2477">
        <f t="shared" si="26"/>
        <v>0</v>
      </c>
      <c r="I81" s="2451">
        <v>0.33</v>
      </c>
      <c r="J81" s="2454">
        <f t="shared" si="27"/>
        <v>0</v>
      </c>
      <c r="K81" s="2454">
        <f t="shared" si="28"/>
        <v>0</v>
      </c>
      <c r="L81" s="2454">
        <v>0</v>
      </c>
      <c r="M81" s="2454">
        <f t="shared" si="29"/>
        <v>0</v>
      </c>
      <c r="N81" s="2454">
        <f t="shared" si="29"/>
        <v>0</v>
      </c>
      <c r="AC81" s="1397"/>
      <c r="AD81" s="1396"/>
      <c r="AJ81" s="1395"/>
      <c r="AN81" s="1396"/>
    </row>
    <row r="82" spans="1:40" ht="24">
      <c r="A82" s="1060" t="s">
        <v>1023</v>
      </c>
      <c r="B82" s="2424">
        <f>估价对象房地状况!G17</f>
        <v>0</v>
      </c>
      <c r="C82" s="1043"/>
      <c r="D82" s="2433">
        <f t="shared" si="25"/>
        <v>0</v>
      </c>
      <c r="E82" s="2461"/>
      <c r="F82" s="2462"/>
      <c r="G82" s="2431"/>
      <c r="H82" s="2477">
        <f t="shared" si="26"/>
        <v>0</v>
      </c>
      <c r="I82" s="2451">
        <v>0.05</v>
      </c>
      <c r="J82" s="2454">
        <f t="shared" si="27"/>
        <v>0</v>
      </c>
      <c r="K82" s="2454">
        <f t="shared" si="28"/>
        <v>0</v>
      </c>
      <c r="L82" s="2454">
        <v>0</v>
      </c>
      <c r="M82" s="2454">
        <f t="shared" si="29"/>
        <v>0</v>
      </c>
      <c r="N82" s="2454">
        <f t="shared" si="29"/>
        <v>0</v>
      </c>
      <c r="AC82" s="1397"/>
      <c r="AD82" s="1396"/>
      <c r="AJ82" s="1395"/>
      <c r="AN82" s="1396"/>
    </row>
    <row r="83" spans="1:40" ht="14.25">
      <c r="A83" s="1060" t="s">
        <v>1035</v>
      </c>
      <c r="B83" s="2424">
        <f>估价对象房地状况!G22</f>
        <v>0</v>
      </c>
      <c r="C83" s="1043"/>
      <c r="D83" s="2433">
        <f t="shared" si="25"/>
        <v>0</v>
      </c>
      <c r="E83" s="2461"/>
      <c r="F83" s="2462"/>
      <c r="G83" s="2431"/>
      <c r="H83" s="2477">
        <f t="shared" si="26"/>
        <v>0</v>
      </c>
      <c r="I83" s="2451">
        <v>0.04</v>
      </c>
      <c r="J83" s="2454">
        <f t="shared" si="27"/>
        <v>0</v>
      </c>
      <c r="K83" s="2454">
        <f t="shared" si="28"/>
        <v>0</v>
      </c>
      <c r="L83" s="2454">
        <v>0</v>
      </c>
      <c r="M83" s="2454">
        <f t="shared" si="29"/>
        <v>0</v>
      </c>
      <c r="N83" s="2454">
        <f t="shared" si="29"/>
        <v>0</v>
      </c>
      <c r="AC83" s="1397"/>
      <c r="AD83" s="1396"/>
      <c r="AJ83" s="1395"/>
      <c r="AN83" s="1396"/>
    </row>
    <row r="84" spans="1:40" ht="24">
      <c r="A84" s="1060" t="s">
        <v>1027</v>
      </c>
      <c r="B84" s="2425" t="str">
        <f>估价对象房地状况!G19</f>
        <v>估价对象所在区域公共配套设施齐备情况</v>
      </c>
      <c r="C84" s="1043"/>
      <c r="D84" s="2433">
        <f t="shared" si="25"/>
        <v>0</v>
      </c>
      <c r="E84" s="2461"/>
      <c r="F84" s="2462"/>
      <c r="G84" s="2431"/>
      <c r="H84" s="2477">
        <f t="shared" si="26"/>
        <v>0</v>
      </c>
      <c r="I84" s="2451">
        <v>0.06</v>
      </c>
      <c r="J84" s="2454">
        <f t="shared" si="27"/>
        <v>0</v>
      </c>
      <c r="K84" s="2454">
        <f t="shared" si="28"/>
        <v>0</v>
      </c>
      <c r="L84" s="2454">
        <v>0</v>
      </c>
      <c r="M84" s="2454">
        <f t="shared" si="29"/>
        <v>0</v>
      </c>
      <c r="N84" s="2454">
        <f t="shared" si="29"/>
        <v>0</v>
      </c>
      <c r="AC84" s="1397"/>
      <c r="AD84" s="1396"/>
      <c r="AJ84" s="1395"/>
      <c r="AN84" s="1396"/>
    </row>
    <row r="85" spans="1:40" ht="24">
      <c r="A85" s="1060" t="s">
        <v>1028</v>
      </c>
      <c r="B85" s="2425" t="str">
        <f>估价对象房地状况!G20</f>
        <v>估价对象所在区域基础设施水平</v>
      </c>
      <c r="C85" s="1043"/>
      <c r="D85" s="2433">
        <f t="shared" si="25"/>
        <v>0</v>
      </c>
      <c r="E85" s="2461"/>
      <c r="F85" s="2462"/>
      <c r="G85" s="2431"/>
      <c r="H85" s="2477">
        <f t="shared" si="26"/>
        <v>0</v>
      </c>
      <c r="I85" s="2451">
        <v>0.15</v>
      </c>
      <c r="J85" s="2454">
        <f t="shared" si="27"/>
        <v>0</v>
      </c>
      <c r="K85" s="2454">
        <f t="shared" si="28"/>
        <v>0</v>
      </c>
      <c r="L85" s="2454">
        <v>0</v>
      </c>
      <c r="M85" s="2454">
        <f t="shared" si="29"/>
        <v>0</v>
      </c>
      <c r="N85" s="2454">
        <f t="shared" si="29"/>
        <v>0</v>
      </c>
      <c r="AC85" s="1397"/>
      <c r="AD85" s="1396"/>
      <c r="AJ85" s="1395"/>
      <c r="AN85" s="1396"/>
    </row>
    <row r="86" spans="1:40" ht="24">
      <c r="A86" s="1060" t="s">
        <v>1026</v>
      </c>
      <c r="B86" s="3109" t="s">
        <v>2938</v>
      </c>
      <c r="C86" s="1043"/>
      <c r="D86" s="2433">
        <f t="shared" si="25"/>
        <v>0</v>
      </c>
      <c r="E86" s="2461"/>
      <c r="F86" s="2462"/>
      <c r="G86" s="2431"/>
      <c r="H86" s="2477">
        <f t="shared" si="26"/>
        <v>0</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3"/>
      <c r="D87" s="2433">
        <f t="shared" si="25"/>
        <v>0</v>
      </c>
      <c r="E87" s="2463"/>
      <c r="F87" s="2462"/>
      <c r="G87" s="2431"/>
      <c r="H87" s="2477">
        <f t="shared" si="26"/>
        <v>0</v>
      </c>
      <c r="I87" s="2458">
        <v>0.06</v>
      </c>
      <c r="J87" s="2454">
        <f t="shared" si="27"/>
        <v>0</v>
      </c>
      <c r="K87" s="2454">
        <f t="shared" si="28"/>
        <v>0</v>
      </c>
      <c r="L87" s="2454">
        <v>0</v>
      </c>
      <c r="M87" s="2454">
        <f t="shared" si="29"/>
        <v>0</v>
      </c>
      <c r="N87" s="2454">
        <f t="shared" si="29"/>
        <v>0</v>
      </c>
      <c r="AC87" s="1397"/>
      <c r="AD87" s="1396"/>
      <c r="AJ87" s="1395"/>
      <c r="AN87" s="1396"/>
    </row>
    <row r="90" spans="1:40">
      <c r="A90" s="3800" t="s">
        <v>1634</v>
      </c>
      <c r="B90" s="3800"/>
      <c r="C90" s="3800"/>
      <c r="D90" s="3800"/>
      <c r="E90" s="3800"/>
      <c r="F90" s="3800"/>
      <c r="G90" s="3800"/>
      <c r="H90" s="3800"/>
      <c r="I90" s="3800"/>
      <c r="J90" s="3800"/>
      <c r="K90" s="2466"/>
      <c r="L90" s="2466"/>
      <c r="M90" s="2466"/>
      <c r="N90" s="2466"/>
    </row>
    <row r="91" spans="1:40">
      <c r="A91" s="3801" t="s">
        <v>1444</v>
      </c>
      <c r="B91" s="3801" t="s">
        <v>1635</v>
      </c>
      <c r="C91" s="1133" t="s">
        <v>1636</v>
      </c>
      <c r="D91" s="1134"/>
      <c r="E91" s="1134"/>
      <c r="F91" s="1134"/>
      <c r="G91" s="1134"/>
      <c r="H91" s="1134"/>
      <c r="I91" s="1134"/>
      <c r="J91" s="1135"/>
      <c r="K91" s="1127"/>
      <c r="L91" s="1127"/>
      <c r="M91" s="1127"/>
      <c r="N91" s="1127"/>
    </row>
    <row r="92" spans="1:40">
      <c r="A92" s="3801"/>
      <c r="B92" s="3801"/>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808"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0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0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0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0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0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09"/>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810"/>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808" t="s">
        <v>1638</v>
      </c>
      <c r="B101" s="1140" t="s">
        <v>906</v>
      </c>
      <c r="C101" s="1141">
        <f>$G$3</f>
        <v>4.75</v>
      </c>
      <c r="D101" s="1141">
        <f t="shared" ref="D101:N101" si="31">$G$3</f>
        <v>4.75</v>
      </c>
      <c r="E101" s="1141">
        <f t="shared" si="31"/>
        <v>4.75</v>
      </c>
      <c r="F101" s="1141">
        <f t="shared" si="31"/>
        <v>4.75</v>
      </c>
      <c r="G101" s="1141">
        <f t="shared" si="31"/>
        <v>4.75</v>
      </c>
      <c r="H101" s="1141">
        <f t="shared" si="31"/>
        <v>4.75</v>
      </c>
      <c r="I101" s="1141">
        <f t="shared" si="31"/>
        <v>4.75</v>
      </c>
      <c r="J101" s="1141">
        <f t="shared" si="31"/>
        <v>4.75</v>
      </c>
      <c r="K101" s="1141">
        <f t="shared" si="31"/>
        <v>4.75</v>
      </c>
      <c r="L101" s="1141">
        <f t="shared" si="31"/>
        <v>4.75</v>
      </c>
      <c r="M101" s="1141">
        <f t="shared" si="31"/>
        <v>4.75</v>
      </c>
      <c r="N101" s="1141">
        <f t="shared" si="31"/>
        <v>4.75</v>
      </c>
    </row>
    <row r="102" spans="1:14">
      <c r="A102" s="3809"/>
      <c r="B102" s="1136">
        <v>1</v>
      </c>
      <c r="C102" s="1137">
        <f>1.9362/C101</f>
        <v>0.40762105263157894</v>
      </c>
      <c r="D102" s="1137">
        <f>1.9362/D101</f>
        <v>0.40762105263157894</v>
      </c>
      <c r="E102" s="1137">
        <f>1.8629/E101</f>
        <v>0.39218947368421053</v>
      </c>
      <c r="F102" s="1137">
        <f>1.8629/F101</f>
        <v>0.39218947368421053</v>
      </c>
      <c r="G102" s="1137">
        <f>1.8629/G101</f>
        <v>0.39218947368421053</v>
      </c>
      <c r="H102" s="1137">
        <f>1.8629/H101</f>
        <v>0.39218947368421053</v>
      </c>
      <c r="I102" s="1137">
        <f>1.8629/I101</f>
        <v>0.39218947368421053</v>
      </c>
      <c r="J102" s="1137">
        <f>1.942/J101</f>
        <v>0.4088421052631579</v>
      </c>
      <c r="K102" s="1137">
        <f>1.942/K101</f>
        <v>0.4088421052631579</v>
      </c>
      <c r="L102" s="1137">
        <f>1.942/L101</f>
        <v>0.4088421052631579</v>
      </c>
      <c r="M102" s="1137">
        <f>1.942/M101</f>
        <v>0.4088421052631579</v>
      </c>
      <c r="N102" s="1137">
        <f>1.942/N101</f>
        <v>0.4088421052631579</v>
      </c>
    </row>
    <row r="103" spans="1:14">
      <c r="A103" s="3809"/>
      <c r="B103" s="1136">
        <v>2</v>
      </c>
      <c r="C103" s="1137">
        <f>1.4198/C101</f>
        <v>0.29890526315789473</v>
      </c>
      <c r="D103" s="1137">
        <f>1.4198/D101</f>
        <v>0.29890526315789473</v>
      </c>
      <c r="E103" s="1137">
        <f>1.3372/E101</f>
        <v>0.28151578947368422</v>
      </c>
      <c r="F103" s="1137">
        <f>1.3372/F101</f>
        <v>0.28151578947368422</v>
      </c>
      <c r="G103" s="1137">
        <f>1.3372/G101</f>
        <v>0.28151578947368422</v>
      </c>
      <c r="H103" s="1137">
        <f>1.3372/H101</f>
        <v>0.28151578947368422</v>
      </c>
      <c r="I103" s="1137">
        <f>1.3372/I101</f>
        <v>0.28151578947368422</v>
      </c>
      <c r="J103" s="1137">
        <f>1.2799/J101</f>
        <v>0.26945263157894739</v>
      </c>
      <c r="K103" s="1137">
        <f>1.2799/K101</f>
        <v>0.26945263157894739</v>
      </c>
      <c r="L103" s="1137">
        <f>1.2799/L101</f>
        <v>0.26945263157894739</v>
      </c>
      <c r="M103" s="1137">
        <f>1.2799/M101</f>
        <v>0.26945263157894739</v>
      </c>
      <c r="N103" s="1137">
        <f>1.2799/N101</f>
        <v>0.26945263157894739</v>
      </c>
    </row>
    <row r="104" spans="1:14">
      <c r="A104" s="3809"/>
      <c r="B104" s="1136">
        <v>3</v>
      </c>
      <c r="C104" s="1137">
        <f>1.1594/C101</f>
        <v>0.24408421052631579</v>
      </c>
      <c r="D104" s="1137">
        <f>1.1594/D101</f>
        <v>0.24408421052631579</v>
      </c>
      <c r="E104" s="1137">
        <f>1.0788/E101</f>
        <v>0.22711578947368422</v>
      </c>
      <c r="F104" s="1137">
        <f>1.0788/F101</f>
        <v>0.22711578947368422</v>
      </c>
      <c r="G104" s="1137">
        <f>1.0788/G101</f>
        <v>0.22711578947368422</v>
      </c>
      <c r="H104" s="1137">
        <f>1.0788/H101</f>
        <v>0.22711578947368422</v>
      </c>
      <c r="I104" s="1137">
        <f>1.0788/I101</f>
        <v>0.22711578947368422</v>
      </c>
      <c r="J104" s="1137">
        <f>1.0072/J101</f>
        <v>0.21204210526315792</v>
      </c>
      <c r="K104" s="1137">
        <f>1.0072/K101</f>
        <v>0.21204210526315792</v>
      </c>
      <c r="L104" s="1137">
        <f>1.0072/L101</f>
        <v>0.21204210526315792</v>
      </c>
      <c r="M104" s="1137">
        <f>1.0072/M101</f>
        <v>0.21204210526315792</v>
      </c>
      <c r="N104" s="1137">
        <f>1.0072/N101</f>
        <v>0.21204210526315792</v>
      </c>
    </row>
    <row r="105" spans="1:14">
      <c r="A105" s="3809"/>
      <c r="B105" s="1136">
        <v>4</v>
      </c>
      <c r="C105" s="1137">
        <f>0.9622/C101</f>
        <v>0.20256842105263159</v>
      </c>
      <c r="D105" s="1137">
        <f>0.9622/D101</f>
        <v>0.20256842105263159</v>
      </c>
      <c r="E105" s="1137">
        <f>0.8656/E101</f>
        <v>0.18223157894736844</v>
      </c>
      <c r="F105" s="1137">
        <f>0.8656/F101</f>
        <v>0.18223157894736844</v>
      </c>
      <c r="G105" s="1137">
        <f>0.8656/G101</f>
        <v>0.18223157894736844</v>
      </c>
      <c r="H105" s="1137">
        <f>0.8656/H101</f>
        <v>0.18223157894736844</v>
      </c>
      <c r="I105" s="1137">
        <f>0.8656/I101</f>
        <v>0.18223157894736844</v>
      </c>
      <c r="J105" s="1137">
        <f>0.7525/J101</f>
        <v>0.15842105263157893</v>
      </c>
      <c r="K105" s="1137">
        <f>0.7525/K101</f>
        <v>0.15842105263157893</v>
      </c>
      <c r="L105" s="1137">
        <f>0.7525/L101</f>
        <v>0.15842105263157893</v>
      </c>
      <c r="M105" s="1137">
        <f>0.7525/M101</f>
        <v>0.15842105263157893</v>
      </c>
      <c r="N105" s="1137">
        <f>0.7525/N101</f>
        <v>0.15842105263157893</v>
      </c>
    </row>
    <row r="106" spans="1:14">
      <c r="A106" s="3809"/>
      <c r="B106" s="1136">
        <v>5</v>
      </c>
      <c r="C106" s="1137">
        <f>0.8417/C101</f>
        <v>0.1772</v>
      </c>
      <c r="D106" s="1137">
        <f>0.8417/D101</f>
        <v>0.1772</v>
      </c>
      <c r="E106" s="1137">
        <f>0.7371/E101</f>
        <v>0.15517894736842106</v>
      </c>
      <c r="F106" s="1137">
        <f>0.7371/F101</f>
        <v>0.15517894736842106</v>
      </c>
      <c r="G106" s="1137">
        <f>0.7371/G101</f>
        <v>0.15517894736842106</v>
      </c>
      <c r="H106" s="1137">
        <f>0.7371/H101</f>
        <v>0.15517894736842106</v>
      </c>
      <c r="I106" s="1137">
        <f>0.7371/I101</f>
        <v>0.15517894736842106</v>
      </c>
      <c r="J106" s="1137">
        <f>0.5659/J101</f>
        <v>0.11913684210526315</v>
      </c>
      <c r="K106" s="1137">
        <f>0.5659/K101</f>
        <v>0.11913684210526315</v>
      </c>
      <c r="L106" s="1137">
        <f>0.5659/L101</f>
        <v>0.11913684210526315</v>
      </c>
      <c r="M106" s="1137">
        <f>0.5659/M101</f>
        <v>0.11913684210526315</v>
      </c>
      <c r="N106" s="1137">
        <f>0.5659/N101</f>
        <v>0.11913684210526315</v>
      </c>
    </row>
    <row r="107" spans="1:14">
      <c r="A107" s="3809"/>
      <c r="B107" s="1136">
        <v>6</v>
      </c>
      <c r="C107" s="1137">
        <f>0.7608/C101</f>
        <v>0.1601684210526316</v>
      </c>
      <c r="D107" s="1137">
        <f>0.7608/D101</f>
        <v>0.1601684210526316</v>
      </c>
      <c r="E107" s="1137">
        <f>0.6482/E101</f>
        <v>0.13646315789473684</v>
      </c>
      <c r="F107" s="1137">
        <f>0.6482/F101</f>
        <v>0.13646315789473684</v>
      </c>
      <c r="G107" s="1137">
        <f>0.6482/G101</f>
        <v>0.13646315789473684</v>
      </c>
      <c r="H107" s="1137">
        <f>0.6482/H101</f>
        <v>0.13646315789473684</v>
      </c>
      <c r="I107" s="1137">
        <f>0.6482/I101</f>
        <v>0.13646315789473684</v>
      </c>
      <c r="J107" s="1137">
        <f>0.4525/J101</f>
        <v>9.5263157894736841E-2</v>
      </c>
      <c r="K107" s="1137">
        <f>0.4525/K101</f>
        <v>9.5263157894736841E-2</v>
      </c>
      <c r="L107" s="1137">
        <f>0.4525/L101</f>
        <v>9.5263157894736841E-2</v>
      </c>
      <c r="M107" s="1137">
        <f>0.4525/M101</f>
        <v>9.5263157894736841E-2</v>
      </c>
      <c r="N107" s="1137">
        <f>0.4525/N101</f>
        <v>9.5263157894736841E-2</v>
      </c>
    </row>
    <row r="108" spans="1:14">
      <c r="A108" s="3809"/>
      <c r="B108" s="3811"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810"/>
      <c r="B109" s="3812"/>
      <c r="C109" s="1139">
        <f>(-0.163*(C108^2)-0.59*C108+7617)*(10^(-4))/C101</f>
        <v>0.16035789473684212</v>
      </c>
      <c r="D109" s="1139">
        <f>(-0.163*(D108^2)-0.59*D108+7617)*(10^(-4))/D101</f>
        <v>0.16035789473684212</v>
      </c>
      <c r="E109" s="1139">
        <f>(-0.161*(E108^2)-7.509*E108+6533)*(10^(-4))/E101</f>
        <v>0.13753684210526315</v>
      </c>
      <c r="F109" s="1139">
        <f>(-0.161*(F108^2)-7.509*F108+6533)*(10^(-4))/F101</f>
        <v>0.13753684210526315</v>
      </c>
      <c r="G109" s="1139">
        <f>(-0.161*(G108^2)-7.509*G108+6533)*(10^(-4))/G101</f>
        <v>0.13753684210526315</v>
      </c>
      <c r="H109" s="1139">
        <f>(-0.161*(H108^2)-7.509*H108+6533)*(10^(-4))/H101</f>
        <v>0.13753684210526315</v>
      </c>
      <c r="I109" s="1139">
        <f>(-0.161*(I108^2)-7.509*I108+6533)*(10^(-4))/I101</f>
        <v>0.13753684210526315</v>
      </c>
      <c r="J109" s="1139">
        <f>(-0.214*(J108^2)-21.991*J108+4665)*(10^(-4))/J101</f>
        <v>9.8210526315789484E-2</v>
      </c>
      <c r="K109" s="1139">
        <f>(-0.214*(K108^2)-21.991*K108+4665)*(10^(-4))/K101</f>
        <v>9.8210526315789484E-2</v>
      </c>
      <c r="L109" s="1139">
        <f>(-0.214*(L108^2)-21.991*L108+4665)*(10^(-4))/L101</f>
        <v>9.8210526315789484E-2</v>
      </c>
      <c r="M109" s="1139">
        <f>(-0.214*(M108^2)-21.991*M108+4665)*(10^(-4))/M101</f>
        <v>9.8210526315789484E-2</v>
      </c>
      <c r="N109" s="1139">
        <f>(-0.214*(N108^2)-21.991*N108+4665)*(10^(-4))/N101</f>
        <v>9.8210526315789484E-2</v>
      </c>
    </row>
    <row r="110" spans="1:14">
      <c r="A110" s="3795" t="s">
        <v>1640</v>
      </c>
      <c r="B110" s="3795"/>
      <c r="C110" s="3795"/>
      <c r="D110" s="3795"/>
      <c r="E110" s="3795"/>
      <c r="F110" s="3795"/>
      <c r="G110" s="3795"/>
      <c r="H110" s="3795"/>
      <c r="I110" s="3795"/>
      <c r="J110" s="3795"/>
      <c r="K110" s="2464"/>
      <c r="L110" s="2464"/>
      <c r="M110" s="2464"/>
      <c r="N110" s="2464"/>
    </row>
    <row r="112" spans="1:14" ht="12.75" thickBot="1"/>
    <row r="113" spans="1:13" ht="25.5" thickBot="1">
      <c r="A113" s="1009" t="s">
        <v>896</v>
      </c>
      <c r="B113" s="2467">
        <f>G3</f>
        <v>4.75</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0.88890000000000002</v>
      </c>
      <c r="C115" s="1023">
        <f>B115</f>
        <v>0.88890000000000002</v>
      </c>
      <c r="D115" s="1023">
        <f>ROUND(0.8331-0.0109*B113,4)</f>
        <v>0.78129999999999999</v>
      </c>
      <c r="E115" s="1023">
        <f>D115</f>
        <v>0.78129999999999999</v>
      </c>
      <c r="F115" s="1023">
        <f>E115</f>
        <v>0.78129999999999999</v>
      </c>
      <c r="G115" s="1023">
        <f>F115</f>
        <v>0.78129999999999999</v>
      </c>
      <c r="H115" s="1023">
        <f>G115</f>
        <v>0.78129999999999999</v>
      </c>
      <c r="I115" s="1023">
        <f>ROUND(0.689-0.0155*B113,4)</f>
        <v>0.61539999999999995</v>
      </c>
      <c r="J115" s="1023">
        <f t="shared" ref="J115:M118" si="33">I115</f>
        <v>0.61539999999999995</v>
      </c>
      <c r="K115" s="1023">
        <f t="shared" si="33"/>
        <v>0.61539999999999995</v>
      </c>
      <c r="L115" s="1023">
        <f t="shared" si="33"/>
        <v>0.61539999999999995</v>
      </c>
      <c r="M115" s="1024">
        <f t="shared" si="33"/>
        <v>0.61539999999999995</v>
      </c>
    </row>
    <row r="116" spans="1:13" ht="12.75">
      <c r="A116" s="1022" t="s">
        <v>901</v>
      </c>
      <c r="B116" s="1023">
        <f>ROUND(0.949-0.012*B113,4)</f>
        <v>0.89200000000000002</v>
      </c>
      <c r="C116" s="1023">
        <f>B116</f>
        <v>0.89200000000000002</v>
      </c>
      <c r="D116" s="1023">
        <f>ROUND(0.8567-0.013*B113,4)</f>
        <v>0.79500000000000004</v>
      </c>
      <c r="E116" s="1023">
        <f t="shared" ref="E116:H117" si="34">D116</f>
        <v>0.79500000000000004</v>
      </c>
      <c r="F116" s="1023">
        <f t="shared" si="34"/>
        <v>0.79500000000000004</v>
      </c>
      <c r="G116" s="1023">
        <f t="shared" si="34"/>
        <v>0.79500000000000004</v>
      </c>
      <c r="H116" s="1023">
        <f t="shared" si="34"/>
        <v>0.79500000000000004</v>
      </c>
      <c r="I116" s="1023">
        <f>ROUND(0.7694-0.014*B113,4)</f>
        <v>0.70289999999999997</v>
      </c>
      <c r="J116" s="1023">
        <f t="shared" si="33"/>
        <v>0.70289999999999997</v>
      </c>
      <c r="K116" s="1023">
        <f t="shared" si="33"/>
        <v>0.70289999999999997</v>
      </c>
      <c r="L116" s="1023">
        <f t="shared" si="33"/>
        <v>0.70289999999999997</v>
      </c>
      <c r="M116" s="1024">
        <f t="shared" si="33"/>
        <v>0.70289999999999997</v>
      </c>
    </row>
    <row r="117" spans="1:13" ht="12.75">
      <c r="A117" s="1025" t="s">
        <v>902</v>
      </c>
      <c r="B117" s="1023">
        <f>ROUND(0.8808-0.006*B113,4)</f>
        <v>0.85229999999999995</v>
      </c>
      <c r="C117" s="1023">
        <f>B117</f>
        <v>0.85229999999999995</v>
      </c>
      <c r="D117" s="1023">
        <f>ROUND(0.8748-0.008*B113,4)</f>
        <v>0.83679999999999999</v>
      </c>
      <c r="E117" s="1023">
        <f t="shared" si="34"/>
        <v>0.83679999999999999</v>
      </c>
      <c r="F117" s="1023">
        <f t="shared" si="34"/>
        <v>0.83679999999999999</v>
      </c>
      <c r="G117" s="1023">
        <f t="shared" si="34"/>
        <v>0.83679999999999999</v>
      </c>
      <c r="H117" s="1023">
        <f t="shared" si="34"/>
        <v>0.83679999999999999</v>
      </c>
      <c r="I117" s="1023">
        <f>ROUND(0.7412-0.0095*B113,4)</f>
        <v>0.69610000000000005</v>
      </c>
      <c r="J117" s="1023">
        <f t="shared" si="33"/>
        <v>0.69610000000000005</v>
      </c>
      <c r="K117" s="1023">
        <f t="shared" si="33"/>
        <v>0.69610000000000005</v>
      </c>
      <c r="L117" s="1023">
        <f t="shared" si="33"/>
        <v>0.69610000000000005</v>
      </c>
      <c r="M117" s="1024">
        <f t="shared" si="33"/>
        <v>0.69610000000000005</v>
      </c>
    </row>
    <row r="118" spans="1:13" ht="13.5" thickBot="1">
      <c r="A118" s="1026" t="s">
        <v>903</v>
      </c>
      <c r="B118" s="1027">
        <f>ROUND(0.7275-0.01*B113,4)</f>
        <v>0.68</v>
      </c>
      <c r="C118" s="1027">
        <f>B118</f>
        <v>0.68</v>
      </c>
      <c r="D118" s="1027">
        <f>ROUND(0.7043-0.012*B113,4)</f>
        <v>0.64729999999999999</v>
      </c>
      <c r="E118" s="1027">
        <f>D118</f>
        <v>0.64729999999999999</v>
      </c>
      <c r="F118" s="1027">
        <f>E118</f>
        <v>0.64729999999999999</v>
      </c>
      <c r="G118" s="1027">
        <f>ROUND(0.6299-0.0122*B113,4)</f>
        <v>0.57199999999999995</v>
      </c>
      <c r="H118" s="1027">
        <f>G118</f>
        <v>0.57199999999999995</v>
      </c>
      <c r="I118" s="1027">
        <f>ROUND(0.5667-0.0136*B113,4)</f>
        <v>0.50209999999999999</v>
      </c>
      <c r="J118" s="1027">
        <f t="shared" si="33"/>
        <v>0.50209999999999999</v>
      </c>
      <c r="K118" s="1027">
        <f t="shared" si="33"/>
        <v>0.50209999999999999</v>
      </c>
      <c r="L118" s="1027">
        <f t="shared" si="33"/>
        <v>0.50209999999999999</v>
      </c>
      <c r="M118" s="1028">
        <f t="shared" si="33"/>
        <v>0.50209999999999999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801" t="s">
        <v>1008</v>
      </c>
      <c r="B18" s="1147" t="s">
        <v>1447</v>
      </c>
      <c r="C18" s="1124" t="s">
        <v>1448</v>
      </c>
      <c r="D18" s="1125"/>
      <c r="E18" s="1147">
        <v>1</v>
      </c>
      <c r="F18" s="1126" t="s">
        <v>1449</v>
      </c>
      <c r="G18" s="1127"/>
      <c r="H18" s="1098"/>
      <c r="I18" s="1098"/>
    </row>
    <row r="19" spans="1:9" s="1591" customFormat="1" ht="19.5" customHeight="1">
      <c r="A19" s="3801"/>
      <c r="B19" s="3801" t="s">
        <v>1450</v>
      </c>
      <c r="C19" s="1124" t="s">
        <v>1451</v>
      </c>
      <c r="D19" s="1125"/>
      <c r="E19" s="1147">
        <v>0.9</v>
      </c>
      <c r="F19" s="1126" t="s">
        <v>1452</v>
      </c>
      <c r="G19" s="1127"/>
      <c r="H19" s="1098"/>
      <c r="I19" s="1098"/>
    </row>
    <row r="20" spans="1:9" s="1591" customFormat="1" ht="19.5" customHeight="1">
      <c r="A20" s="3801"/>
      <c r="B20" s="3801"/>
      <c r="C20" s="1124" t="s">
        <v>1453</v>
      </c>
      <c r="D20" s="1125"/>
      <c r="E20" s="1147">
        <v>1.1000000000000001</v>
      </c>
      <c r="F20" s="1126" t="s">
        <v>1454</v>
      </c>
      <c r="G20" s="1127"/>
      <c r="H20" s="1098"/>
      <c r="I20" s="1098"/>
    </row>
    <row r="21" spans="1:9" s="1591" customFormat="1" ht="19.5" customHeight="1">
      <c r="A21" s="3801"/>
      <c r="B21" s="3801"/>
      <c r="C21" s="1124" t="s">
        <v>1455</v>
      </c>
      <c r="D21" s="1125"/>
      <c r="E21" s="1147">
        <v>0.8</v>
      </c>
      <c r="F21" s="1126" t="s">
        <v>1456</v>
      </c>
      <c r="G21" s="1127"/>
      <c r="H21" s="1098"/>
      <c r="I21" s="1098"/>
    </row>
    <row r="22" spans="1:9" s="1591" customFormat="1" ht="19.5" customHeight="1">
      <c r="A22" s="3801"/>
      <c r="B22" s="3801"/>
      <c r="C22" s="1124" t="s">
        <v>1457</v>
      </c>
      <c r="D22" s="1125"/>
      <c r="E22" s="1147">
        <v>0.5</v>
      </c>
      <c r="F22" s="1126"/>
      <c r="G22" s="1127"/>
      <c r="H22" s="1098"/>
      <c r="I22" s="1098"/>
    </row>
    <row r="23" spans="1:9" s="1591" customFormat="1" ht="19.5" customHeight="1">
      <c r="A23" s="3801" t="s">
        <v>1030</v>
      </c>
      <c r="B23" s="1147" t="s">
        <v>1447</v>
      </c>
      <c r="C23" s="1124" t="s">
        <v>1458</v>
      </c>
      <c r="D23" s="1125"/>
      <c r="E23" s="1147">
        <v>1</v>
      </c>
      <c r="F23" s="1126" t="s">
        <v>1459</v>
      </c>
      <c r="G23" s="1127"/>
      <c r="H23" s="1098"/>
      <c r="I23" s="1098"/>
    </row>
    <row r="24" spans="1:9" s="1591" customFormat="1" ht="19.5" customHeight="1">
      <c r="A24" s="3801"/>
      <c r="B24" s="3801" t="s">
        <v>1450</v>
      </c>
      <c r="C24" s="1124" t="s">
        <v>1460</v>
      </c>
      <c r="D24" s="1125"/>
      <c r="E24" s="1147">
        <v>0.5</v>
      </c>
      <c r="F24" s="1126"/>
      <c r="G24" s="1127"/>
      <c r="H24" s="1098"/>
      <c r="I24" s="1098"/>
    </row>
    <row r="25" spans="1:9" s="1591" customFormat="1" ht="19.5" customHeight="1">
      <c r="A25" s="3801"/>
      <c r="B25" s="3801"/>
      <c r="C25" s="1124" t="s">
        <v>1461</v>
      </c>
      <c r="D25" s="1125"/>
      <c r="E25" s="1147">
        <v>1.1000000000000001</v>
      </c>
      <c r="F25" s="1126"/>
      <c r="G25" s="1127"/>
      <c r="H25" s="1098"/>
      <c r="I25" s="1098"/>
    </row>
    <row r="26" spans="1:9" s="1591" customFormat="1" ht="19.5" customHeight="1">
      <c r="A26" s="3801"/>
      <c r="B26" s="3801"/>
      <c r="C26" s="1124" t="s">
        <v>1462</v>
      </c>
      <c r="D26" s="1125"/>
      <c r="E26" s="1147">
        <v>1.1000000000000001</v>
      </c>
      <c r="F26" s="1126"/>
      <c r="G26" s="1127"/>
      <c r="H26" s="1098"/>
      <c r="I26" s="1098"/>
    </row>
    <row r="27" spans="1:9" s="1591" customFormat="1" ht="19.5" customHeight="1">
      <c r="A27" s="3801"/>
      <c r="B27" s="3801"/>
      <c r="C27" s="1124" t="s">
        <v>1463</v>
      </c>
      <c r="D27" s="1125"/>
      <c r="E27" s="1147">
        <v>0.9</v>
      </c>
      <c r="F27" s="1126" t="s">
        <v>1464</v>
      </c>
      <c r="G27" s="1127"/>
      <c r="H27" s="1098"/>
      <c r="I27" s="1098"/>
    </row>
    <row r="28" spans="1:9" s="1591" customFormat="1" ht="19.5" customHeight="1">
      <c r="A28" s="3801"/>
      <c r="B28" s="3801"/>
      <c r="C28" s="1124" t="s">
        <v>1465</v>
      </c>
      <c r="D28" s="1125"/>
      <c r="E28" s="1147">
        <v>0.9</v>
      </c>
      <c r="F28" s="1126" t="s">
        <v>1466</v>
      </c>
      <c r="G28" s="1127"/>
      <c r="H28" s="1098"/>
      <c r="I28" s="1098"/>
    </row>
    <row r="29" spans="1:9" s="1591" customFormat="1" ht="19.5" customHeight="1">
      <c r="A29" s="3801"/>
      <c r="B29" s="3801"/>
      <c r="C29" s="1124" t="s">
        <v>1467</v>
      </c>
      <c r="D29" s="1125"/>
      <c r="E29" s="1147">
        <v>0.9</v>
      </c>
      <c r="F29" s="1126" t="s">
        <v>1468</v>
      </c>
      <c r="G29" s="1127"/>
      <c r="H29" s="1098"/>
      <c r="I29" s="1098"/>
    </row>
    <row r="30" spans="1:9" s="1591" customFormat="1" ht="19.5" customHeight="1">
      <c r="A30" s="3801"/>
      <c r="B30" s="3801"/>
      <c r="C30" s="1124" t="s">
        <v>1469</v>
      </c>
      <c r="D30" s="1125"/>
      <c r="E30" s="1147">
        <v>0.9</v>
      </c>
      <c r="F30" s="1126" t="s">
        <v>1470</v>
      </c>
      <c r="G30" s="1127"/>
      <c r="H30" s="1098"/>
      <c r="I30" s="1098"/>
    </row>
    <row r="31" spans="1:9" s="1591" customFormat="1" ht="19.5" customHeight="1">
      <c r="A31" s="3801"/>
      <c r="B31" s="3801"/>
      <c r="C31" s="1124" t="s">
        <v>1471</v>
      </c>
      <c r="D31" s="1125"/>
      <c r="E31" s="1147">
        <v>0.8</v>
      </c>
      <c r="F31" s="1126" t="s">
        <v>1472</v>
      </c>
      <c r="G31" s="1127"/>
      <c r="H31" s="1098"/>
      <c r="I31" s="1098"/>
    </row>
    <row r="32" spans="1:9" s="1591" customFormat="1" ht="19.5" customHeight="1">
      <c r="A32" s="3801"/>
      <c r="B32" s="3801"/>
      <c r="C32" s="1124" t="s">
        <v>1473</v>
      </c>
      <c r="D32" s="1125"/>
      <c r="E32" s="1147">
        <v>0.8</v>
      </c>
      <c r="F32" s="1126" t="s">
        <v>1474</v>
      </c>
      <c r="G32" s="1127"/>
      <c r="H32" s="1098"/>
      <c r="I32" s="1098"/>
    </row>
    <row r="33" spans="1:9" s="1591" customFormat="1" ht="19.5" customHeight="1">
      <c r="A33" s="3801" t="s">
        <v>1475</v>
      </c>
      <c r="B33" s="1147" t="s">
        <v>1447</v>
      </c>
      <c r="C33" s="1124" t="s">
        <v>1476</v>
      </c>
      <c r="D33" s="1125"/>
      <c r="E33" s="1147">
        <v>1</v>
      </c>
      <c r="F33" s="1126" t="s">
        <v>1477</v>
      </c>
      <c r="G33" s="1127"/>
      <c r="H33" s="1098"/>
      <c r="I33" s="1098"/>
    </row>
    <row r="34" spans="1:9" s="1591" customFormat="1" ht="19.5" customHeight="1">
      <c r="A34" s="3801"/>
      <c r="B34" s="1147" t="s">
        <v>1450</v>
      </c>
      <c r="C34" s="1124" t="s">
        <v>1478</v>
      </c>
      <c r="D34" s="1125"/>
      <c r="E34" s="1147">
        <v>1.5</v>
      </c>
      <c r="F34" s="1126" t="s">
        <v>1479</v>
      </c>
      <c r="G34" s="1127"/>
      <c r="H34" s="1098"/>
      <c r="I34" s="1098"/>
    </row>
    <row r="35" spans="1:9" s="1591" customFormat="1" ht="19.5" customHeight="1">
      <c r="A35" s="3801" t="s">
        <v>1433</v>
      </c>
      <c r="B35" s="1147" t="s">
        <v>1447</v>
      </c>
      <c r="C35" s="1124" t="s">
        <v>1480</v>
      </c>
      <c r="D35" s="1125"/>
      <c r="E35" s="1147">
        <v>1</v>
      </c>
      <c r="F35" s="1126" t="s">
        <v>1481</v>
      </c>
      <c r="G35" s="1127"/>
      <c r="H35" s="1098"/>
      <c r="I35" s="1098"/>
    </row>
    <row r="36" spans="1:9" s="1591" customFormat="1" ht="19.5" customHeight="1">
      <c r="A36" s="3801"/>
      <c r="B36" s="3801" t="s">
        <v>1450</v>
      </c>
      <c r="C36" s="1124" t="s">
        <v>1482</v>
      </c>
      <c r="D36" s="1125"/>
      <c r="E36" s="1147">
        <v>1</v>
      </c>
      <c r="F36" s="1126" t="s">
        <v>1483</v>
      </c>
      <c r="G36" s="1127"/>
      <c r="H36" s="1098"/>
      <c r="I36" s="1098"/>
    </row>
    <row r="37" spans="1:9" s="1591" customFormat="1" ht="19.5" customHeight="1">
      <c r="A37" s="3801"/>
      <c r="B37" s="3801"/>
      <c r="C37" s="1124" t="s">
        <v>1484</v>
      </c>
      <c r="D37" s="1125"/>
      <c r="E37" s="1147">
        <v>1.5</v>
      </c>
      <c r="F37" s="1126" t="s">
        <v>1485</v>
      </c>
      <c r="G37" s="1127"/>
      <c r="H37" s="1098"/>
      <c r="I37" s="1098"/>
    </row>
    <row r="38" spans="1:9" s="1591" customFormat="1" ht="19.5" customHeight="1">
      <c r="A38" s="3801"/>
      <c r="B38" s="3801"/>
      <c r="C38" s="1124" t="s">
        <v>1486</v>
      </c>
      <c r="D38" s="1125"/>
      <c r="E38" s="1147">
        <v>1</v>
      </c>
      <c r="F38" s="1126" t="s">
        <v>1487</v>
      </c>
      <c r="G38" s="1127"/>
      <c r="H38" s="1098"/>
      <c r="I38" s="1098"/>
    </row>
    <row r="39" spans="1:9" s="1591" customFormat="1" ht="19.5" customHeight="1">
      <c r="A39" s="3801"/>
      <c r="B39" s="3801"/>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801" t="s">
        <v>1502</v>
      </c>
      <c r="C61" s="1061" t="s">
        <v>1503</v>
      </c>
      <c r="D61" s="1061" t="s">
        <v>1504</v>
      </c>
      <c r="E61" s="1132">
        <v>0.5</v>
      </c>
      <c r="F61" s="1147">
        <v>80</v>
      </c>
      <c r="H61" s="1098">
        <f>SUMIF(C59:C119,基准地价!C8,E59:E119)</f>
        <v>0</v>
      </c>
    </row>
    <row r="62" spans="1:8" s="1098" customFormat="1" ht="24">
      <c r="A62" s="1147">
        <v>2</v>
      </c>
      <c r="B62" s="3801"/>
      <c r="C62" s="1061" t="s">
        <v>1505</v>
      </c>
      <c r="D62" s="1061" t="s">
        <v>1506</v>
      </c>
      <c r="E62" s="1132">
        <v>0.5</v>
      </c>
      <c r="F62" s="1147">
        <v>80</v>
      </c>
    </row>
    <row r="63" spans="1:8" s="1098" customFormat="1" ht="36">
      <c r="A63" s="1147">
        <v>3</v>
      </c>
      <c r="B63" s="3801"/>
      <c r="C63" s="1061" t="s">
        <v>1507</v>
      </c>
      <c r="D63" s="1061" t="s">
        <v>1508</v>
      </c>
      <c r="E63" s="1132">
        <v>0.5</v>
      </c>
      <c r="F63" s="1147">
        <v>80</v>
      </c>
    </row>
    <row r="64" spans="1:8" s="1098" customFormat="1" ht="36">
      <c r="A64" s="1147">
        <v>4</v>
      </c>
      <c r="B64" s="3801"/>
      <c r="C64" s="1061" t="s">
        <v>1509</v>
      </c>
      <c r="D64" s="1061" t="s">
        <v>1510</v>
      </c>
      <c r="E64" s="1132">
        <v>0.4</v>
      </c>
      <c r="F64" s="1147">
        <v>60</v>
      </c>
    </row>
    <row r="65" spans="1:6" s="1098" customFormat="1" ht="36">
      <c r="A65" s="1147">
        <v>5</v>
      </c>
      <c r="B65" s="3801"/>
      <c r="C65" s="1061" t="s">
        <v>1511</v>
      </c>
      <c r="D65" s="1061" t="s">
        <v>1512</v>
      </c>
      <c r="E65" s="1132">
        <v>0.2</v>
      </c>
      <c r="F65" s="1147">
        <v>30</v>
      </c>
    </row>
    <row r="66" spans="1:6" s="1098" customFormat="1" ht="36">
      <c r="A66" s="1147">
        <v>6</v>
      </c>
      <c r="B66" s="3801"/>
      <c r="C66" s="1061" t="s">
        <v>1513</v>
      </c>
      <c r="D66" s="1061" t="s">
        <v>1514</v>
      </c>
      <c r="E66" s="1132">
        <v>0.3</v>
      </c>
      <c r="F66" s="1147">
        <v>50</v>
      </c>
    </row>
    <row r="67" spans="1:6" s="1098" customFormat="1" ht="36">
      <c r="A67" s="1147">
        <v>7</v>
      </c>
      <c r="B67" s="3801"/>
      <c r="C67" s="1061" t="s">
        <v>1515</v>
      </c>
      <c r="D67" s="1061" t="s">
        <v>1516</v>
      </c>
      <c r="E67" s="1132">
        <v>0.2</v>
      </c>
      <c r="F67" s="1147">
        <v>30</v>
      </c>
    </row>
    <row r="68" spans="1:6" s="1098" customFormat="1" ht="36">
      <c r="A68" s="1147">
        <v>8</v>
      </c>
      <c r="B68" s="3801"/>
      <c r="C68" s="1061" t="s">
        <v>1517</v>
      </c>
      <c r="D68" s="1061" t="s">
        <v>1518</v>
      </c>
      <c r="E68" s="1132">
        <v>0.2</v>
      </c>
      <c r="F68" s="1147">
        <v>30</v>
      </c>
    </row>
    <row r="69" spans="1:6" s="1098" customFormat="1" ht="36">
      <c r="A69" s="1147">
        <v>9</v>
      </c>
      <c r="B69" s="3801"/>
      <c r="C69" s="1061" t="s">
        <v>1519</v>
      </c>
      <c r="D69" s="1061" t="s">
        <v>1520</v>
      </c>
      <c r="E69" s="1132">
        <v>0.2</v>
      </c>
      <c r="F69" s="1147">
        <v>30</v>
      </c>
    </row>
    <row r="70" spans="1:6" s="1098" customFormat="1" ht="48">
      <c r="A70" s="1147">
        <v>10</v>
      </c>
      <c r="B70" s="3801"/>
      <c r="C70" s="1061" t="s">
        <v>1521</v>
      </c>
      <c r="D70" s="1061" t="s">
        <v>1522</v>
      </c>
      <c r="E70" s="1132">
        <v>0.2</v>
      </c>
      <c r="F70" s="1147">
        <v>30</v>
      </c>
    </row>
    <row r="71" spans="1:6" s="1098" customFormat="1" ht="48">
      <c r="A71" s="1147">
        <v>11</v>
      </c>
      <c r="B71" s="3801"/>
      <c r="C71" s="1061" t="s">
        <v>1523</v>
      </c>
      <c r="D71" s="1061" t="s">
        <v>1524</v>
      </c>
      <c r="E71" s="1132">
        <v>0.2</v>
      </c>
      <c r="F71" s="1147">
        <v>30</v>
      </c>
    </row>
    <row r="72" spans="1:6" s="1098" customFormat="1" ht="36">
      <c r="A72" s="1147">
        <v>12</v>
      </c>
      <c r="B72" s="3801"/>
      <c r="C72" s="1061" t="s">
        <v>1525</v>
      </c>
      <c r="D72" s="1061" t="s">
        <v>1526</v>
      </c>
      <c r="E72" s="1132">
        <v>0.5</v>
      </c>
      <c r="F72" s="1147">
        <v>80</v>
      </c>
    </row>
    <row r="73" spans="1:6" s="1098" customFormat="1" ht="24">
      <c r="A73" s="1147">
        <v>13</v>
      </c>
      <c r="B73" s="3801"/>
      <c r="C73" s="1061" t="s">
        <v>1527</v>
      </c>
      <c r="D73" s="1061" t="s">
        <v>1528</v>
      </c>
      <c r="E73" s="1132">
        <v>0.4</v>
      </c>
      <c r="F73" s="1147">
        <v>60</v>
      </c>
    </row>
    <row r="74" spans="1:6" s="1098" customFormat="1" ht="24">
      <c r="A74" s="1147">
        <v>14</v>
      </c>
      <c r="B74" s="3801"/>
      <c r="C74" s="1061" t="s">
        <v>1529</v>
      </c>
      <c r="D74" s="1061" t="s">
        <v>1530</v>
      </c>
      <c r="E74" s="1132">
        <v>0.2</v>
      </c>
      <c r="F74" s="1147">
        <v>30</v>
      </c>
    </row>
    <row r="75" spans="1:6" s="1098" customFormat="1" ht="24">
      <c r="A75" s="1147">
        <v>15</v>
      </c>
      <c r="B75" s="3801"/>
      <c r="C75" s="1061" t="s">
        <v>1531</v>
      </c>
      <c r="D75" s="1061" t="s">
        <v>1532</v>
      </c>
      <c r="E75" s="1132">
        <v>0.2</v>
      </c>
      <c r="F75" s="1147">
        <v>30</v>
      </c>
    </row>
    <row r="76" spans="1:6" s="1098" customFormat="1" ht="24">
      <c r="A76" s="1147">
        <v>16</v>
      </c>
      <c r="B76" s="3801" t="s">
        <v>1533</v>
      </c>
      <c r="C76" s="1061" t="s">
        <v>1534</v>
      </c>
      <c r="D76" s="1061" t="s">
        <v>1535</v>
      </c>
      <c r="E76" s="1132">
        <v>0.5</v>
      </c>
      <c r="F76" s="1147">
        <v>80</v>
      </c>
    </row>
    <row r="77" spans="1:6" s="1098" customFormat="1" ht="24">
      <c r="A77" s="1147">
        <v>17</v>
      </c>
      <c r="B77" s="3801"/>
      <c r="C77" s="1061" t="s">
        <v>1536</v>
      </c>
      <c r="D77" s="1061" t="s">
        <v>1537</v>
      </c>
      <c r="E77" s="1132">
        <v>0.5</v>
      </c>
      <c r="F77" s="1147">
        <v>80</v>
      </c>
    </row>
    <row r="78" spans="1:6" s="1098" customFormat="1" ht="24">
      <c r="A78" s="1147">
        <v>18</v>
      </c>
      <c r="B78" s="3801"/>
      <c r="C78" s="1061" t="s">
        <v>1538</v>
      </c>
      <c r="D78" s="1061" t="s">
        <v>1539</v>
      </c>
      <c r="E78" s="1132">
        <v>0.2</v>
      </c>
      <c r="F78" s="1147">
        <v>30</v>
      </c>
    </row>
    <row r="79" spans="1:6" s="1098" customFormat="1" ht="24">
      <c r="A79" s="1147">
        <v>19</v>
      </c>
      <c r="B79" s="3801"/>
      <c r="C79" s="1061" t="s">
        <v>1540</v>
      </c>
      <c r="D79" s="1061" t="s">
        <v>1541</v>
      </c>
      <c r="E79" s="1132">
        <v>0.5</v>
      </c>
      <c r="F79" s="1147">
        <v>80</v>
      </c>
    </row>
    <row r="80" spans="1:6" s="1098" customFormat="1" ht="36">
      <c r="A80" s="1147">
        <v>20</v>
      </c>
      <c r="B80" s="3801"/>
      <c r="C80" s="1061" t="s">
        <v>1542</v>
      </c>
      <c r="D80" s="1061" t="s">
        <v>1543</v>
      </c>
      <c r="E80" s="1132">
        <v>0.2</v>
      </c>
      <c r="F80" s="1147">
        <v>30</v>
      </c>
    </row>
    <row r="81" spans="1:6" s="1098" customFormat="1" ht="36">
      <c r="A81" s="1147">
        <v>21</v>
      </c>
      <c r="B81" s="3801"/>
      <c r="C81" s="1061" t="s">
        <v>1544</v>
      </c>
      <c r="D81" s="1061" t="s">
        <v>1545</v>
      </c>
      <c r="E81" s="1132">
        <v>0.2</v>
      </c>
      <c r="F81" s="1147">
        <v>30</v>
      </c>
    </row>
    <row r="82" spans="1:6" s="1098" customFormat="1" ht="48">
      <c r="A82" s="1147">
        <v>22</v>
      </c>
      <c r="B82" s="3801"/>
      <c r="C82" s="1061" t="s">
        <v>1546</v>
      </c>
      <c r="D82" s="1061" t="s">
        <v>1547</v>
      </c>
      <c r="E82" s="1132">
        <v>0.2</v>
      </c>
      <c r="F82" s="1147">
        <v>30</v>
      </c>
    </row>
    <row r="83" spans="1:6" s="1098" customFormat="1" ht="48">
      <c r="A83" s="1147">
        <v>23</v>
      </c>
      <c r="B83" s="3801"/>
      <c r="C83" s="1061" t="s">
        <v>1548</v>
      </c>
      <c r="D83" s="1061" t="s">
        <v>1549</v>
      </c>
      <c r="E83" s="1132">
        <v>0.2</v>
      </c>
      <c r="F83" s="1147">
        <v>30</v>
      </c>
    </row>
    <row r="84" spans="1:6" s="1098" customFormat="1" ht="36">
      <c r="A84" s="1147">
        <v>24</v>
      </c>
      <c r="B84" s="3801"/>
      <c r="C84" s="1061" t="s">
        <v>1550</v>
      </c>
      <c r="D84" s="1061" t="s">
        <v>1551</v>
      </c>
      <c r="E84" s="1132">
        <v>0.2</v>
      </c>
      <c r="F84" s="1147">
        <v>30</v>
      </c>
    </row>
    <row r="85" spans="1:6" s="1098" customFormat="1" ht="36">
      <c r="A85" s="1147">
        <v>25</v>
      </c>
      <c r="B85" s="3801"/>
      <c r="C85" s="1061" t="s">
        <v>1552</v>
      </c>
      <c r="D85" s="1061" t="s">
        <v>1553</v>
      </c>
      <c r="E85" s="1132">
        <v>0.5</v>
      </c>
      <c r="F85" s="1147">
        <v>80</v>
      </c>
    </row>
    <row r="86" spans="1:6" s="1098" customFormat="1" ht="36">
      <c r="A86" s="1147">
        <v>26</v>
      </c>
      <c r="B86" s="3801"/>
      <c r="C86" s="1061" t="s">
        <v>1554</v>
      </c>
      <c r="D86" s="1061" t="s">
        <v>1555</v>
      </c>
      <c r="E86" s="1132">
        <v>0.2</v>
      </c>
      <c r="F86" s="1147">
        <v>30</v>
      </c>
    </row>
    <row r="87" spans="1:6" s="1098" customFormat="1" ht="36">
      <c r="A87" s="1147">
        <v>27</v>
      </c>
      <c r="B87" s="3801"/>
      <c r="C87" s="1061" t="s">
        <v>1556</v>
      </c>
      <c r="D87" s="1061" t="s">
        <v>1557</v>
      </c>
      <c r="E87" s="1132">
        <v>0.2</v>
      </c>
      <c r="F87" s="1147">
        <v>30</v>
      </c>
    </row>
    <row r="88" spans="1:6" s="1098" customFormat="1" ht="36">
      <c r="A88" s="1147">
        <v>28</v>
      </c>
      <c r="B88" s="3801"/>
      <c r="C88" s="1061" t="s">
        <v>1558</v>
      </c>
      <c r="D88" s="1061" t="s">
        <v>1559</v>
      </c>
      <c r="E88" s="1132">
        <v>0.2</v>
      </c>
      <c r="F88" s="1147">
        <v>30</v>
      </c>
    </row>
    <row r="89" spans="1:6" s="1098" customFormat="1" ht="24">
      <c r="A89" s="1147">
        <v>29</v>
      </c>
      <c r="B89" s="3801"/>
      <c r="C89" s="1061" t="s">
        <v>1560</v>
      </c>
      <c r="D89" s="1061" t="s">
        <v>1561</v>
      </c>
      <c r="E89" s="1132">
        <v>0.2</v>
      </c>
      <c r="F89" s="1147">
        <v>30</v>
      </c>
    </row>
    <row r="90" spans="1:6" s="1098" customFormat="1" ht="24">
      <c r="A90" s="1147">
        <v>30</v>
      </c>
      <c r="B90" s="3801"/>
      <c r="C90" s="1061" t="s">
        <v>1562</v>
      </c>
      <c r="D90" s="1061" t="s">
        <v>1563</v>
      </c>
      <c r="E90" s="1132">
        <v>0.2</v>
      </c>
      <c r="F90" s="1147">
        <v>30</v>
      </c>
    </row>
    <row r="91" spans="1:6" s="1098" customFormat="1" ht="36">
      <c r="A91" s="1147">
        <v>31</v>
      </c>
      <c r="B91" s="3801"/>
      <c r="C91" s="1061" t="s">
        <v>1564</v>
      </c>
      <c r="D91" s="1061" t="s">
        <v>1565</v>
      </c>
      <c r="E91" s="1132">
        <v>0.2</v>
      </c>
      <c r="F91" s="1147">
        <v>30</v>
      </c>
    </row>
    <row r="92" spans="1:6" s="1098" customFormat="1" ht="24">
      <c r="A92" s="1147">
        <v>32</v>
      </c>
      <c r="B92" s="3801" t="s">
        <v>1566</v>
      </c>
      <c r="C92" s="1147" t="s">
        <v>1567</v>
      </c>
      <c r="D92" s="1061" t="s">
        <v>1568</v>
      </c>
      <c r="E92" s="1132">
        <v>0.2</v>
      </c>
      <c r="F92" s="1147">
        <v>30</v>
      </c>
    </row>
    <row r="93" spans="1:6" s="1098" customFormat="1" ht="36">
      <c r="A93" s="1147">
        <v>33</v>
      </c>
      <c r="B93" s="3801"/>
      <c r="C93" s="1147" t="s">
        <v>1569</v>
      </c>
      <c r="D93" s="1061" t="s">
        <v>1570</v>
      </c>
      <c r="E93" s="1132">
        <v>0.2</v>
      </c>
      <c r="F93" s="1147">
        <v>30</v>
      </c>
    </row>
    <row r="94" spans="1:6" s="1098" customFormat="1" ht="48">
      <c r="A94" s="1147">
        <v>34</v>
      </c>
      <c r="B94" s="3801"/>
      <c r="C94" s="1147" t="s">
        <v>1571</v>
      </c>
      <c r="D94" s="1061" t="s">
        <v>1572</v>
      </c>
      <c r="E94" s="1132">
        <v>0.2</v>
      </c>
      <c r="F94" s="1147">
        <v>30</v>
      </c>
    </row>
    <row r="95" spans="1:6" s="1098" customFormat="1" ht="36">
      <c r="A95" s="1147">
        <v>35</v>
      </c>
      <c r="B95" s="3801"/>
      <c r="C95" s="1147" t="s">
        <v>1573</v>
      </c>
      <c r="D95" s="1061" t="s">
        <v>1574</v>
      </c>
      <c r="E95" s="1132">
        <v>0.2</v>
      </c>
      <c r="F95" s="1147">
        <v>30</v>
      </c>
    </row>
    <row r="96" spans="1:6" s="1098" customFormat="1" ht="48">
      <c r="A96" s="1147">
        <v>36</v>
      </c>
      <c r="B96" s="3801"/>
      <c r="C96" s="1061" t="s">
        <v>1575</v>
      </c>
      <c r="D96" s="1061" t="s">
        <v>1576</v>
      </c>
      <c r="E96" s="1132">
        <v>0.2</v>
      </c>
      <c r="F96" s="1147">
        <v>30</v>
      </c>
    </row>
    <row r="97" spans="1:6" s="1098" customFormat="1" ht="36">
      <c r="A97" s="1147">
        <v>37</v>
      </c>
      <c r="B97" s="3801"/>
      <c r="C97" s="1147" t="s">
        <v>1577</v>
      </c>
      <c r="D97" s="1061" t="s">
        <v>1578</v>
      </c>
      <c r="E97" s="1132">
        <v>0.2</v>
      </c>
      <c r="F97" s="1147">
        <v>30</v>
      </c>
    </row>
    <row r="98" spans="1:6" s="1098" customFormat="1" ht="36">
      <c r="A98" s="1147">
        <v>38</v>
      </c>
      <c r="B98" s="3801"/>
      <c r="C98" s="1147" t="s">
        <v>1579</v>
      </c>
      <c r="D98" s="1061" t="s">
        <v>1580</v>
      </c>
      <c r="E98" s="1132">
        <v>0.2</v>
      </c>
      <c r="F98" s="1147">
        <v>30</v>
      </c>
    </row>
    <row r="99" spans="1:6" s="1098" customFormat="1" ht="36">
      <c r="A99" s="1147">
        <v>39</v>
      </c>
      <c r="B99" s="3801" t="s">
        <v>1581</v>
      </c>
      <c r="C99" s="1147" t="s">
        <v>1582</v>
      </c>
      <c r="D99" s="1061" t="s">
        <v>1583</v>
      </c>
      <c r="E99" s="1132">
        <v>0.3</v>
      </c>
      <c r="F99" s="1147">
        <v>50</v>
      </c>
    </row>
    <row r="100" spans="1:6" s="1098" customFormat="1" ht="24">
      <c r="A100" s="1147">
        <v>40</v>
      </c>
      <c r="B100" s="3801"/>
      <c r="C100" s="1147" t="s">
        <v>1584</v>
      </c>
      <c r="D100" s="1061" t="s">
        <v>1585</v>
      </c>
      <c r="E100" s="1132">
        <v>0.2</v>
      </c>
      <c r="F100" s="1147">
        <v>30</v>
      </c>
    </row>
    <row r="101" spans="1:6" s="1098" customFormat="1" ht="36">
      <c r="A101" s="1147">
        <v>41</v>
      </c>
      <c r="B101" s="3801"/>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801" t="s">
        <v>1596</v>
      </c>
      <c r="C105" s="1147" t="s">
        <v>1597</v>
      </c>
      <c r="D105" s="1061" t="s">
        <v>1598</v>
      </c>
      <c r="E105" s="1132">
        <v>0.2</v>
      </c>
      <c r="F105" s="1147">
        <v>30</v>
      </c>
    </row>
    <row r="106" spans="1:6" s="1098" customFormat="1" ht="36">
      <c r="A106" s="1147">
        <v>46</v>
      </c>
      <c r="B106" s="3801"/>
      <c r="C106" s="1147" t="s">
        <v>1599</v>
      </c>
      <c r="D106" s="1061" t="s">
        <v>1600</v>
      </c>
      <c r="E106" s="1132">
        <v>0.2</v>
      </c>
      <c r="F106" s="1147">
        <v>30</v>
      </c>
    </row>
    <row r="107" spans="1:6" s="1098" customFormat="1" ht="36">
      <c r="A107" s="1147">
        <v>47</v>
      </c>
      <c r="B107" s="3801" t="s">
        <v>1601</v>
      </c>
      <c r="C107" s="1147" t="s">
        <v>1602</v>
      </c>
      <c r="D107" s="1061" t="s">
        <v>1603</v>
      </c>
      <c r="E107" s="1132">
        <v>0.3</v>
      </c>
      <c r="F107" s="1147">
        <v>50</v>
      </c>
    </row>
    <row r="108" spans="1:6" s="1098" customFormat="1" ht="36">
      <c r="A108" s="1147">
        <v>48</v>
      </c>
      <c r="B108" s="3801"/>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801" t="s">
        <v>1612</v>
      </c>
      <c r="C111" s="1147" t="s">
        <v>1613</v>
      </c>
      <c r="D111" s="1061" t="s">
        <v>1614</v>
      </c>
      <c r="E111" s="1132">
        <v>0.2</v>
      </c>
      <c r="F111" s="1147">
        <v>30</v>
      </c>
    </row>
    <row r="112" spans="1:6" s="1098" customFormat="1" ht="24">
      <c r="A112" s="1147">
        <v>52</v>
      </c>
      <c r="B112" s="3801"/>
      <c r="C112" s="1147" t="s">
        <v>1615</v>
      </c>
      <c r="D112" s="1061" t="s">
        <v>1616</v>
      </c>
      <c r="E112" s="1132">
        <v>0.2</v>
      </c>
      <c r="F112" s="1147">
        <v>30</v>
      </c>
    </row>
    <row r="113" spans="1:14" s="1098" customFormat="1" ht="24">
      <c r="A113" s="1147">
        <v>53</v>
      </c>
      <c r="B113" s="3801"/>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801" t="s">
        <v>1625</v>
      </c>
      <c r="C116" s="1147" t="s">
        <v>1626</v>
      </c>
      <c r="D116" s="1061" t="s">
        <v>1627</v>
      </c>
      <c r="E116" s="1132">
        <v>0.2</v>
      </c>
      <c r="F116" s="1147">
        <v>30</v>
      </c>
    </row>
    <row r="117" spans="1:14" ht="36">
      <c r="A117" s="1147">
        <v>57</v>
      </c>
      <c r="B117" s="3801"/>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800" t="s">
        <v>1634</v>
      </c>
      <c r="B121" s="3800"/>
      <c r="C121" s="3800"/>
      <c r="D121" s="3800"/>
      <c r="E121" s="3800"/>
      <c r="F121" s="3800"/>
      <c r="G121" s="3800"/>
      <c r="H121" s="3800"/>
      <c r="I121" s="3800"/>
      <c r="J121" s="3800"/>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13" t="s">
        <v>1040</v>
      </c>
      <c r="B1" s="3813"/>
      <c r="C1" s="3813"/>
      <c r="D1" s="3813"/>
      <c r="E1" s="3813"/>
      <c r="F1" s="3813"/>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814" t="s">
        <v>1053</v>
      </c>
      <c r="B2" s="3814"/>
      <c r="C2" s="3814"/>
      <c r="D2" s="3814"/>
      <c r="E2" s="3814"/>
      <c r="F2" s="3814"/>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15"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16"/>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817" t="s">
        <v>2080</v>
      </c>
      <c r="B1" s="3817"/>
    </row>
    <row r="2" spans="1:6" ht="14.25" thickBot="1">
      <c r="A2" s="1843"/>
      <c r="B2" s="1843"/>
    </row>
    <row r="3" spans="1:6" ht="14.25" thickBot="1">
      <c r="A3" s="1843"/>
      <c r="B3" s="1843"/>
      <c r="C3" s="1844" t="s">
        <v>2081</v>
      </c>
      <c r="D3" s="1844" t="s">
        <v>2082</v>
      </c>
      <c r="E3" s="1844" t="s">
        <v>2083</v>
      </c>
      <c r="F3" s="1844" t="s">
        <v>2084</v>
      </c>
    </row>
    <row r="4" spans="1:6" ht="14.25" thickBot="1">
      <c r="A4" s="1845" t="s">
        <v>2085</v>
      </c>
      <c r="B4" s="1846" t="s">
        <v>2086</v>
      </c>
      <c r="C4" s="1844"/>
      <c r="D4" s="1844"/>
      <c r="E4" s="1844"/>
      <c r="F4" s="1844"/>
    </row>
    <row r="5" spans="1:6" ht="14.25" thickBot="1">
      <c r="A5" s="1847" t="s">
        <v>2087</v>
      </c>
      <c r="B5" s="1848" t="s">
        <v>2088</v>
      </c>
      <c r="C5" s="1849">
        <v>8.8999999999999996E-2</v>
      </c>
      <c r="D5" s="1849">
        <v>7.3999999999999996E-2</v>
      </c>
      <c r="E5" s="1849">
        <v>7.4999999999999997E-2</v>
      </c>
      <c r="F5" s="1850">
        <v>0.1</v>
      </c>
    </row>
    <row r="6" spans="1:6" ht="14.25" thickBot="1">
      <c r="A6" s="1847" t="s">
        <v>1097</v>
      </c>
      <c r="B6" s="1851" t="s">
        <v>2089</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2090</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2091</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2092</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2093</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2094</v>
      </c>
      <c r="C72" s="1861"/>
      <c r="D72" s="1861"/>
      <c r="E72" s="1861"/>
      <c r="F72" s="1853">
        <v>0.05</v>
      </c>
    </row>
    <row r="73" spans="1:6" ht="14.25" thickBot="1">
      <c r="A73" s="1847" t="s">
        <v>925</v>
      </c>
      <c r="B73" s="1851" t="s">
        <v>2095</v>
      </c>
      <c r="C73" s="1861"/>
      <c r="D73" s="1861"/>
      <c r="E73" s="1861"/>
      <c r="F73" s="1853">
        <v>0.05</v>
      </c>
    </row>
    <row r="74" spans="1:6" ht="14.25" thickBot="1">
      <c r="A74" s="1847" t="s">
        <v>925</v>
      </c>
      <c r="B74" s="1851" t="s">
        <v>2096</v>
      </c>
      <c r="C74" s="1861"/>
      <c r="D74" s="1861"/>
      <c r="E74" s="1861"/>
      <c r="F74" s="1853">
        <v>0.05</v>
      </c>
    </row>
    <row r="75" spans="1:6" ht="14.25" thickBot="1">
      <c r="A75" s="1855" t="s">
        <v>925</v>
      </c>
      <c r="B75" s="1862" t="s">
        <v>2097</v>
      </c>
      <c r="C75" s="1858"/>
      <c r="D75" s="1858"/>
      <c r="E75" s="1858"/>
      <c r="F75" s="1863">
        <v>0.05</v>
      </c>
    </row>
    <row r="76" spans="1:6" ht="14.25" thickBot="1">
      <c r="A76" s="1847" t="s">
        <v>1408</v>
      </c>
      <c r="B76" s="1848" t="s">
        <v>2098</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2099</v>
      </c>
      <c r="C102" s="1861"/>
      <c r="D102" s="1861"/>
      <c r="E102" s="1861"/>
      <c r="F102" s="1853">
        <v>0.05</v>
      </c>
    </row>
    <row r="103" spans="1:6" ht="24.75" thickBot="1">
      <c r="A103" s="1847" t="s">
        <v>1408</v>
      </c>
      <c r="B103" s="1851" t="s">
        <v>2100</v>
      </c>
      <c r="C103" s="1861"/>
      <c r="D103" s="1861"/>
      <c r="E103" s="1861"/>
      <c r="F103" s="1853">
        <v>0.05</v>
      </c>
    </row>
    <row r="104" spans="1:6" ht="14.25" thickBot="1">
      <c r="A104" s="1847" t="s">
        <v>1408</v>
      </c>
      <c r="B104" s="1851" t="s">
        <v>2101</v>
      </c>
      <c r="C104" s="1861"/>
      <c r="D104" s="1861"/>
      <c r="E104" s="1861"/>
      <c r="F104" s="1853">
        <v>0.05</v>
      </c>
    </row>
    <row r="105" spans="1:6" ht="14.25" thickBot="1">
      <c r="A105" s="1847" t="s">
        <v>1408</v>
      </c>
      <c r="B105" s="1851" t="s">
        <v>2102</v>
      </c>
      <c r="C105" s="1861"/>
      <c r="D105" s="1861"/>
      <c r="E105" s="1861"/>
      <c r="F105" s="1853">
        <v>0.05</v>
      </c>
    </row>
    <row r="106" spans="1:6" ht="14.25" thickBot="1">
      <c r="A106" s="1847" t="s">
        <v>1408</v>
      </c>
      <c r="B106" s="1851" t="s">
        <v>2103</v>
      </c>
      <c r="C106" s="1861"/>
      <c r="D106" s="1861"/>
      <c r="E106" s="1861"/>
      <c r="F106" s="1853">
        <v>0.05</v>
      </c>
    </row>
    <row r="107" spans="1:6" ht="24.75" thickBot="1">
      <c r="A107" s="1847" t="s">
        <v>1408</v>
      </c>
      <c r="B107" s="1851" t="s">
        <v>2104</v>
      </c>
      <c r="C107" s="1861"/>
      <c r="D107" s="1861"/>
      <c r="E107" s="1861"/>
      <c r="F107" s="1853">
        <v>0.05</v>
      </c>
    </row>
    <row r="108" spans="1:6" ht="24.75" thickBot="1">
      <c r="A108" s="1847" t="s">
        <v>1408</v>
      </c>
      <c r="B108" s="1851" t="s">
        <v>2105</v>
      </c>
      <c r="C108" s="1861"/>
      <c r="D108" s="1861"/>
      <c r="E108" s="1861"/>
      <c r="F108" s="1853">
        <v>0.05</v>
      </c>
    </row>
    <row r="109" spans="1:6" ht="24.75" thickBot="1">
      <c r="A109" s="1855" t="s">
        <v>1408</v>
      </c>
      <c r="B109" s="1862" t="s">
        <v>2106</v>
      </c>
      <c r="C109" s="1858"/>
      <c r="D109" s="1858"/>
      <c r="E109" s="1858"/>
      <c r="F109" s="1863">
        <v>0.05</v>
      </c>
    </row>
    <row r="110" spans="1:6" ht="14.25" thickBot="1">
      <c r="A110" s="1847" t="s">
        <v>1410</v>
      </c>
      <c r="B110" s="1848" t="s">
        <v>2107</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2108</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2109</v>
      </c>
      <c r="C138" s="1852">
        <v>0.105</v>
      </c>
      <c r="D138" s="1852">
        <v>0.125</v>
      </c>
      <c r="E138" s="1852">
        <v>0.112</v>
      </c>
      <c r="F138" s="1860"/>
    </row>
    <row r="139" spans="1:6" ht="14.25" thickBot="1">
      <c r="A139" s="1847" t="s">
        <v>1410</v>
      </c>
      <c r="B139" s="1851" t="s">
        <v>2110</v>
      </c>
      <c r="C139" s="1852">
        <v>0.127</v>
      </c>
      <c r="D139" s="1852">
        <v>0.127</v>
      </c>
      <c r="E139" s="1852">
        <v>0.122</v>
      </c>
      <c r="F139" s="1853">
        <v>0.13</v>
      </c>
    </row>
    <row r="140" spans="1:6" ht="14.25" thickBot="1">
      <c r="A140" s="1847" t="s">
        <v>1410</v>
      </c>
      <c r="B140" s="1851" t="s">
        <v>2111</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2112</v>
      </c>
      <c r="C144" s="1865">
        <v>0.126</v>
      </c>
      <c r="D144" s="1865">
        <v>0.126</v>
      </c>
      <c r="E144" s="1865">
        <v>0.121</v>
      </c>
      <c r="F144" s="1860"/>
    </row>
    <row r="145" spans="1:6" ht="14.25" thickBot="1">
      <c r="A145" s="1855" t="s">
        <v>1410</v>
      </c>
      <c r="B145" s="1866" t="s">
        <v>2113</v>
      </c>
      <c r="C145" s="1867"/>
      <c r="D145" s="1867"/>
      <c r="E145" s="1867"/>
      <c r="F145" s="1868">
        <v>0.05</v>
      </c>
    </row>
    <row r="146" spans="1:6" ht="24.75" thickBot="1">
      <c r="A146" s="1869" t="s">
        <v>1410</v>
      </c>
      <c r="B146" s="1854" t="s">
        <v>2114</v>
      </c>
      <c r="C146" s="1861"/>
      <c r="D146" s="1861"/>
      <c r="E146" s="1861"/>
      <c r="F146" s="1870">
        <v>0.05</v>
      </c>
    </row>
    <row r="147" spans="1:6" ht="24.75" thickBot="1">
      <c r="A147" s="1847" t="s">
        <v>1410</v>
      </c>
      <c r="B147" s="1851" t="s">
        <v>2115</v>
      </c>
      <c r="C147" s="1861"/>
      <c r="D147" s="1861"/>
      <c r="E147" s="1861"/>
      <c r="F147" s="1853">
        <v>0.05</v>
      </c>
    </row>
    <row r="148" spans="1:6" ht="24.75" thickBot="1">
      <c r="A148" s="1847" t="s">
        <v>1410</v>
      </c>
      <c r="B148" s="1851" t="s">
        <v>2116</v>
      </c>
      <c r="C148" s="1861"/>
      <c r="D148" s="1861"/>
      <c r="E148" s="1861"/>
      <c r="F148" s="1853">
        <v>0.05</v>
      </c>
    </row>
    <row r="149" spans="1:6" ht="24.75" thickBot="1">
      <c r="A149" s="1847" t="s">
        <v>1410</v>
      </c>
      <c r="B149" s="1851" t="s">
        <v>2117</v>
      </c>
      <c r="C149" s="1861"/>
      <c r="D149" s="1861"/>
      <c r="E149" s="1861"/>
      <c r="F149" s="1853">
        <v>0.05</v>
      </c>
    </row>
    <row r="150" spans="1:6" ht="24.75" thickBot="1">
      <c r="A150" s="1847" t="s">
        <v>1410</v>
      </c>
      <c r="B150" s="1851" t="s">
        <v>2118</v>
      </c>
      <c r="C150" s="1861"/>
      <c r="D150" s="1861"/>
      <c r="E150" s="1861"/>
      <c r="F150" s="1853">
        <v>0.05</v>
      </c>
    </row>
    <row r="151" spans="1:6" ht="24.75" thickBot="1">
      <c r="A151" s="1847" t="s">
        <v>1410</v>
      </c>
      <c r="B151" s="1851" t="s">
        <v>2119</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2120</v>
      </c>
      <c r="C153" s="1861"/>
      <c r="D153" s="1861"/>
      <c r="E153" s="1861"/>
      <c r="F153" s="1853">
        <v>0.05</v>
      </c>
    </row>
    <row r="154" spans="1:6" ht="14.25" thickBot="1">
      <c r="A154" s="1847" t="s">
        <v>1410</v>
      </c>
      <c r="B154" s="1851" t="s">
        <v>2121</v>
      </c>
      <c r="C154" s="1861"/>
      <c r="D154" s="1861"/>
      <c r="E154" s="1861"/>
      <c r="F154" s="1853">
        <v>0.05</v>
      </c>
    </row>
    <row r="155" spans="1:6" ht="24.75" thickBot="1">
      <c r="A155" s="1847" t="s">
        <v>1410</v>
      </c>
      <c r="B155" s="1851" t="s">
        <v>2122</v>
      </c>
      <c r="C155" s="1861"/>
      <c r="D155" s="1861"/>
      <c r="E155" s="1861"/>
      <c r="F155" s="1853">
        <v>0.05</v>
      </c>
    </row>
    <row r="156" spans="1:6" ht="24.75" thickBot="1">
      <c r="A156" s="1847" t="s">
        <v>1410</v>
      </c>
      <c r="B156" s="1851" t="s">
        <v>2123</v>
      </c>
      <c r="C156" s="1861"/>
      <c r="D156" s="1861"/>
      <c r="E156" s="1861"/>
      <c r="F156" s="1853">
        <v>0.05</v>
      </c>
    </row>
    <row r="157" spans="1:6" ht="14.25" thickBot="1">
      <c r="A157" s="1855" t="s">
        <v>1410</v>
      </c>
      <c r="B157" s="1862" t="s">
        <v>2124</v>
      </c>
      <c r="C157" s="1858"/>
      <c r="D157" s="1858"/>
      <c r="E157" s="1858"/>
      <c r="F157" s="1863">
        <v>0.05</v>
      </c>
    </row>
    <row r="158" spans="1:6" ht="14.25" thickBot="1">
      <c r="A158" s="1847" t="s">
        <v>1412</v>
      </c>
      <c r="B158" s="1848" t="s">
        <v>2125</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2126</v>
      </c>
      <c r="C171" s="1852">
        <v>0.127</v>
      </c>
      <c r="D171" s="1852">
        <v>0.126</v>
      </c>
      <c r="E171" s="1852">
        <v>0.126</v>
      </c>
      <c r="F171" s="1853">
        <v>0.11799999999999999</v>
      </c>
    </row>
    <row r="172" spans="1:6" ht="14.25" thickBot="1">
      <c r="A172" s="1847" t="s">
        <v>1412</v>
      </c>
      <c r="B172" s="1851" t="s">
        <v>2127</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2128</v>
      </c>
      <c r="C174" s="1852">
        <v>0.13</v>
      </c>
      <c r="D174" s="1852">
        <v>0.13</v>
      </c>
      <c r="E174" s="1852">
        <v>0.13</v>
      </c>
      <c r="F174" s="1853">
        <v>0.13</v>
      </c>
    </row>
    <row r="175" spans="1:6" ht="14.25" thickBot="1">
      <c r="A175" s="1847" t="s">
        <v>1412</v>
      </c>
      <c r="B175" s="1851" t="s">
        <v>2129</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2130</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2131</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2132</v>
      </c>
      <c r="C185" s="1852">
        <v>0.127</v>
      </c>
      <c r="D185" s="1852">
        <v>0.127</v>
      </c>
      <c r="E185" s="1852">
        <v>0.128</v>
      </c>
      <c r="F185" s="1853">
        <v>0.13</v>
      </c>
    </row>
    <row r="186" spans="1:6" ht="24.75" thickBot="1">
      <c r="A186" s="1847" t="s">
        <v>1412</v>
      </c>
      <c r="B186" s="1851" t="s">
        <v>2133</v>
      </c>
      <c r="C186" s="1861"/>
      <c r="D186" s="1861"/>
      <c r="E186" s="1861"/>
      <c r="F186" s="1853">
        <v>0.05</v>
      </c>
    </row>
    <row r="187" spans="1:6" ht="14.25" thickBot="1">
      <c r="A187" s="1847" t="s">
        <v>1412</v>
      </c>
      <c r="B187" s="1851" t="s">
        <v>2134</v>
      </c>
      <c r="C187" s="1861"/>
      <c r="D187" s="1861"/>
      <c r="E187" s="1861"/>
      <c r="F187" s="1853">
        <v>0.05</v>
      </c>
    </row>
    <row r="188" spans="1:6" ht="14.25" thickBot="1">
      <c r="A188" s="1847" t="s">
        <v>1412</v>
      </c>
      <c r="B188" s="1851" t="s">
        <v>2135</v>
      </c>
      <c r="C188" s="1861"/>
      <c r="D188" s="1861"/>
      <c r="E188" s="1861"/>
      <c r="F188" s="1853">
        <v>0.05</v>
      </c>
    </row>
    <row r="189" spans="1:6" ht="24.75" thickBot="1">
      <c r="A189" s="1847" t="s">
        <v>1412</v>
      </c>
      <c r="B189" s="1851" t="s">
        <v>2136</v>
      </c>
      <c r="C189" s="1861"/>
      <c r="D189" s="1861"/>
      <c r="E189" s="1861"/>
      <c r="F189" s="1853">
        <v>0.05</v>
      </c>
    </row>
    <row r="190" spans="1:6" ht="24.75" thickBot="1">
      <c r="A190" s="1847" t="s">
        <v>1412</v>
      </c>
      <c r="B190" s="1851" t="s">
        <v>2137</v>
      </c>
      <c r="C190" s="1861"/>
      <c r="D190" s="1861"/>
      <c r="E190" s="1861"/>
      <c r="F190" s="1853">
        <v>0.05</v>
      </c>
    </row>
    <row r="191" spans="1:6" ht="24.75" thickBot="1">
      <c r="A191" s="1847" t="s">
        <v>1412</v>
      </c>
      <c r="B191" s="1851" t="s">
        <v>2138</v>
      </c>
      <c r="C191" s="1861"/>
      <c r="D191" s="1861"/>
      <c r="E191" s="1861"/>
      <c r="F191" s="1853">
        <v>0.05</v>
      </c>
    </row>
    <row r="192" spans="1:6" ht="24.75" thickBot="1">
      <c r="A192" s="1847" t="s">
        <v>1412</v>
      </c>
      <c r="B192" s="1851" t="s">
        <v>2139</v>
      </c>
      <c r="C192" s="1861"/>
      <c r="D192" s="1861"/>
      <c r="E192" s="1861"/>
      <c r="F192" s="1853">
        <v>0.05</v>
      </c>
    </row>
    <row r="193" spans="1:6" ht="24.75" thickBot="1">
      <c r="A193" s="1847" t="s">
        <v>1412</v>
      </c>
      <c r="B193" s="1851" t="s">
        <v>2140</v>
      </c>
      <c r="C193" s="1861"/>
      <c r="D193" s="1861"/>
      <c r="E193" s="1861"/>
      <c r="F193" s="1853">
        <v>0.05</v>
      </c>
    </row>
    <row r="194" spans="1:6" ht="24.75" thickBot="1">
      <c r="A194" s="1847" t="s">
        <v>1412</v>
      </c>
      <c r="B194" s="1851" t="s">
        <v>2141</v>
      </c>
      <c r="C194" s="1861"/>
      <c r="D194" s="1861"/>
      <c r="E194" s="1861"/>
      <c r="F194" s="1853">
        <v>0.05</v>
      </c>
    </row>
    <row r="195" spans="1:6" ht="14.25" thickBot="1">
      <c r="A195" s="1847" t="s">
        <v>1412</v>
      </c>
      <c r="B195" s="1851" t="s">
        <v>2142</v>
      </c>
      <c r="C195" s="1861"/>
      <c r="D195" s="1861"/>
      <c r="E195" s="1861"/>
      <c r="F195" s="1853">
        <v>0.05</v>
      </c>
    </row>
    <row r="196" spans="1:6" ht="24.75" thickBot="1">
      <c r="A196" s="1847" t="s">
        <v>1412</v>
      </c>
      <c r="B196" s="1851" t="s">
        <v>2143</v>
      </c>
      <c r="C196" s="1861"/>
      <c r="D196" s="1861"/>
      <c r="E196" s="1861"/>
      <c r="F196" s="1853">
        <v>0.05</v>
      </c>
    </row>
    <row r="197" spans="1:6" ht="24.75" thickBot="1">
      <c r="A197" s="1847" t="s">
        <v>1412</v>
      </c>
      <c r="B197" s="1851" t="s">
        <v>2144</v>
      </c>
      <c r="C197" s="1861"/>
      <c r="D197" s="1861"/>
      <c r="E197" s="1861"/>
      <c r="F197" s="1853">
        <v>0.05</v>
      </c>
    </row>
    <row r="198" spans="1:6" ht="24.75" thickBot="1">
      <c r="A198" s="1847" t="s">
        <v>1412</v>
      </c>
      <c r="B198" s="1851" t="s">
        <v>2145</v>
      </c>
      <c r="C198" s="1861"/>
      <c r="D198" s="1861"/>
      <c r="E198" s="1861"/>
      <c r="F198" s="1853">
        <v>0.05</v>
      </c>
    </row>
    <row r="199" spans="1:6" ht="24.75" thickBot="1">
      <c r="A199" s="1847" t="s">
        <v>1412</v>
      </c>
      <c r="B199" s="1851" t="s">
        <v>2146</v>
      </c>
      <c r="C199" s="1861"/>
      <c r="D199" s="1861"/>
      <c r="E199" s="1861"/>
      <c r="F199" s="1853">
        <v>0.05</v>
      </c>
    </row>
    <row r="200" spans="1:6" ht="24.75" thickBot="1">
      <c r="A200" s="1847" t="s">
        <v>1412</v>
      </c>
      <c r="B200" s="1851" t="s">
        <v>2147</v>
      </c>
      <c r="C200" s="1861"/>
      <c r="D200" s="1861"/>
      <c r="E200" s="1861"/>
      <c r="F200" s="1853">
        <v>0.05</v>
      </c>
    </row>
    <row r="201" spans="1:6" ht="24.75" thickBot="1">
      <c r="A201" s="1847" t="s">
        <v>1412</v>
      </c>
      <c r="B201" s="1851" t="s">
        <v>2148</v>
      </c>
      <c r="C201" s="1861"/>
      <c r="D201" s="1861"/>
      <c r="E201" s="1861"/>
      <c r="F201" s="1853">
        <v>0.05</v>
      </c>
    </row>
    <row r="202" spans="1:6" ht="24.75" thickBot="1">
      <c r="A202" s="1847" t="s">
        <v>1412</v>
      </c>
      <c r="B202" s="1851" t="s">
        <v>2149</v>
      </c>
      <c r="C202" s="1861"/>
      <c r="D202" s="1861"/>
      <c r="E202" s="1861"/>
      <c r="F202" s="1853">
        <v>0.05</v>
      </c>
    </row>
    <row r="203" spans="1:6" ht="24.75" thickBot="1">
      <c r="A203" s="1847" t="s">
        <v>1412</v>
      </c>
      <c r="B203" s="1851" t="s">
        <v>2150</v>
      </c>
      <c r="C203" s="1861"/>
      <c r="D203" s="1861"/>
      <c r="E203" s="1861"/>
      <c r="F203" s="1853">
        <v>0.05</v>
      </c>
    </row>
    <row r="204" spans="1:6" ht="14.25" thickBot="1">
      <c r="A204" s="1847" t="s">
        <v>1412</v>
      </c>
      <c r="B204" s="1851" t="s">
        <v>2151</v>
      </c>
      <c r="C204" s="1861"/>
      <c r="D204" s="1861"/>
      <c r="E204" s="1861"/>
      <c r="F204" s="1853">
        <v>0.05</v>
      </c>
    </row>
    <row r="205" spans="1:6" ht="14.25" thickBot="1">
      <c r="A205" s="1855" t="s">
        <v>1412</v>
      </c>
      <c r="B205" s="1862" t="s">
        <v>2152</v>
      </c>
      <c r="C205" s="1858"/>
      <c r="D205" s="1858"/>
      <c r="E205" s="1858"/>
      <c r="F205" s="1863">
        <v>0.05</v>
      </c>
    </row>
    <row r="206" spans="1:6" ht="14.25" thickBot="1">
      <c r="A206" s="1847" t="s">
        <v>1414</v>
      </c>
      <c r="B206" s="1848" t="s">
        <v>2153</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2154</v>
      </c>
      <c r="C210" s="1852">
        <v>0.15</v>
      </c>
      <c r="D210" s="1852">
        <v>0.15</v>
      </c>
      <c r="E210" s="1852">
        <v>0.15</v>
      </c>
      <c r="F210" s="1853">
        <v>0.13800000000000001</v>
      </c>
    </row>
    <row r="211" spans="1:6" ht="14.25" thickBot="1">
      <c r="A211" s="1847" t="s">
        <v>1414</v>
      </c>
      <c r="B211" s="1851" t="s">
        <v>2155</v>
      </c>
      <c r="C211" s="1852">
        <v>0.13700000000000001</v>
      </c>
      <c r="D211" s="1852">
        <v>0.13500000000000001</v>
      </c>
      <c r="E211" s="1852">
        <v>0.13600000000000001</v>
      </c>
      <c r="F211" s="1853">
        <v>0.1</v>
      </c>
    </row>
    <row r="212" spans="1:6" ht="14.25" thickBot="1">
      <c r="A212" s="1847" t="s">
        <v>1414</v>
      </c>
      <c r="B212" s="1851" t="s">
        <v>2156</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2157</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2158</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2159</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2160</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2161</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2162</v>
      </c>
      <c r="C231" s="1852">
        <v>0.128</v>
      </c>
      <c r="D231" s="1852">
        <v>0.125</v>
      </c>
      <c r="E231" s="1852">
        <v>0.13200000000000001</v>
      </c>
      <c r="F231" s="1860"/>
    </row>
    <row r="232" spans="1:6" ht="14.25" thickBot="1">
      <c r="A232" s="1847" t="s">
        <v>1414</v>
      </c>
      <c r="B232" s="1851" t="s">
        <v>2163</v>
      </c>
      <c r="C232" s="1852">
        <v>0.14499999999999999</v>
      </c>
      <c r="D232" s="1852">
        <v>0.14399999999999999</v>
      </c>
      <c r="E232" s="1852">
        <v>0.14599999999999999</v>
      </c>
      <c r="F232" s="1853">
        <v>0.13800000000000001</v>
      </c>
    </row>
    <row r="233" spans="1:6" ht="14.25" thickBot="1">
      <c r="A233" s="1847" t="s">
        <v>1414</v>
      </c>
      <c r="B233" s="1851" t="s">
        <v>2164</v>
      </c>
      <c r="C233" s="1852">
        <v>0.14499999999999999</v>
      </c>
      <c r="D233" s="1852">
        <v>0.14299999999999999</v>
      </c>
      <c r="E233" s="1852">
        <v>0.14199999999999999</v>
      </c>
      <c r="F233" s="1860"/>
    </row>
    <row r="234" spans="1:6" ht="14.25" thickBot="1">
      <c r="A234" s="1847" t="s">
        <v>1414</v>
      </c>
      <c r="B234" s="1851" t="s">
        <v>2165</v>
      </c>
      <c r="C234" s="1852">
        <v>0.14000000000000001</v>
      </c>
      <c r="D234" s="1852">
        <v>0.14000000000000001</v>
      </c>
      <c r="E234" s="1852">
        <v>0.14399999999999999</v>
      </c>
      <c r="F234" s="1860"/>
    </row>
    <row r="235" spans="1:6" ht="14.25" thickBot="1">
      <c r="A235" s="1847" t="s">
        <v>1414</v>
      </c>
      <c r="B235" s="1851" t="s">
        <v>2166</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2167</v>
      </c>
      <c r="C237" s="1861"/>
      <c r="D237" s="1861"/>
      <c r="E237" s="1861"/>
      <c r="F237" s="1853">
        <v>0.05</v>
      </c>
    </row>
    <row r="238" spans="1:6" ht="24.75" thickBot="1">
      <c r="A238" s="1847" t="s">
        <v>1414</v>
      </c>
      <c r="B238" s="1851" t="s">
        <v>2168</v>
      </c>
      <c r="C238" s="1861"/>
      <c r="D238" s="1861"/>
      <c r="E238" s="1861"/>
      <c r="F238" s="1853">
        <v>0.05</v>
      </c>
    </row>
    <row r="239" spans="1:6" ht="24.75" thickBot="1">
      <c r="A239" s="1847" t="s">
        <v>1414</v>
      </c>
      <c r="B239" s="1851" t="s">
        <v>2169</v>
      </c>
      <c r="C239" s="1861"/>
      <c r="D239" s="1861"/>
      <c r="E239" s="1861"/>
      <c r="F239" s="1853">
        <v>0.05</v>
      </c>
    </row>
    <row r="240" spans="1:6" ht="24.75" thickBot="1">
      <c r="A240" s="1847" t="s">
        <v>1414</v>
      </c>
      <c r="B240" s="1851" t="s">
        <v>2170</v>
      </c>
      <c r="C240" s="1861"/>
      <c r="D240" s="1861"/>
      <c r="E240" s="1861"/>
      <c r="F240" s="1853">
        <v>0.05</v>
      </c>
    </row>
    <row r="241" spans="1:6" ht="24.75" thickBot="1">
      <c r="A241" s="1847" t="s">
        <v>1414</v>
      </c>
      <c r="B241" s="1851" t="s">
        <v>2171</v>
      </c>
      <c r="C241" s="1861"/>
      <c r="D241" s="1861"/>
      <c r="E241" s="1861"/>
      <c r="F241" s="1853">
        <v>0.05</v>
      </c>
    </row>
    <row r="242" spans="1:6" ht="24.75" thickBot="1">
      <c r="A242" s="1847" t="s">
        <v>1414</v>
      </c>
      <c r="B242" s="1851" t="s">
        <v>2172</v>
      </c>
      <c r="C242" s="1861"/>
      <c r="D242" s="1861"/>
      <c r="E242" s="1861"/>
      <c r="F242" s="1853">
        <v>0.05</v>
      </c>
    </row>
    <row r="243" spans="1:6" ht="24.75" thickBot="1">
      <c r="A243" s="1847" t="s">
        <v>1414</v>
      </c>
      <c r="B243" s="1851" t="s">
        <v>2173</v>
      </c>
      <c r="C243" s="1861"/>
      <c r="D243" s="1861"/>
      <c r="E243" s="1861"/>
      <c r="F243" s="1853">
        <v>0.05</v>
      </c>
    </row>
    <row r="244" spans="1:6" ht="24.75" thickBot="1">
      <c r="A244" s="1855" t="s">
        <v>1414</v>
      </c>
      <c r="B244" s="1862" t="s">
        <v>2174</v>
      </c>
      <c r="C244" s="1858"/>
      <c r="D244" s="1858"/>
      <c r="E244" s="1858"/>
      <c r="F244" s="1863">
        <v>0.05</v>
      </c>
    </row>
    <row r="245" spans="1:6" ht="14.25" thickBot="1">
      <c r="A245" s="1847" t="s">
        <v>1416</v>
      </c>
      <c r="B245" s="1848" t="s">
        <v>2175</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2176</v>
      </c>
      <c r="C247" s="1852">
        <v>0.15</v>
      </c>
      <c r="D247" s="1852">
        <v>0.15</v>
      </c>
      <c r="E247" s="1852">
        <v>0.15</v>
      </c>
      <c r="F247" s="1853">
        <v>0.15</v>
      </c>
    </row>
    <row r="248" spans="1:6" ht="14.25" thickBot="1">
      <c r="A248" s="1847" t="s">
        <v>1416</v>
      </c>
      <c r="B248" s="1851" t="s">
        <v>2177</v>
      </c>
      <c r="C248" s="1852">
        <v>0.15</v>
      </c>
      <c r="D248" s="1852">
        <v>0.15</v>
      </c>
      <c r="E248" s="1852">
        <v>0.15</v>
      </c>
      <c r="F248" s="1853">
        <v>0.14000000000000001</v>
      </c>
    </row>
    <row r="249" spans="1:6" ht="14.25" thickBot="1">
      <c r="A249" s="1847" t="s">
        <v>1416</v>
      </c>
      <c r="B249" s="1851" t="s">
        <v>2178</v>
      </c>
      <c r="C249" s="1852">
        <v>0.15</v>
      </c>
      <c r="D249" s="1852">
        <v>0.14899999999999999</v>
      </c>
      <c r="E249" s="1852">
        <v>0.15</v>
      </c>
      <c r="F249" s="1853">
        <v>0.1</v>
      </c>
    </row>
    <row r="250" spans="1:6" ht="14.25" thickBot="1">
      <c r="A250" s="1847" t="s">
        <v>1416</v>
      </c>
      <c r="B250" s="1851" t="s">
        <v>2179</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2180</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2181</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2182</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2183</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2184</v>
      </c>
      <c r="C273" s="1852">
        <v>0.14199999999999999</v>
      </c>
      <c r="D273" s="1852">
        <v>0.14299999999999999</v>
      </c>
      <c r="E273" s="1852">
        <v>0.15</v>
      </c>
      <c r="F273" s="1853">
        <v>0.1</v>
      </c>
    </row>
    <row r="274" spans="1:6" ht="14.25" thickBot="1">
      <c r="A274" s="1847" t="s">
        <v>1416</v>
      </c>
      <c r="B274" s="1851" t="s">
        <v>2185</v>
      </c>
      <c r="C274" s="1852">
        <v>0.14799999999999999</v>
      </c>
      <c r="D274" s="1852">
        <v>0.14799999999999999</v>
      </c>
      <c r="E274" s="1852">
        <v>0.15</v>
      </c>
      <c r="F274" s="1853">
        <v>6.7000000000000004E-2</v>
      </c>
    </row>
    <row r="275" spans="1:6" ht="14.25" thickBot="1">
      <c r="A275" s="1847" t="s">
        <v>1416</v>
      </c>
      <c r="B275" s="1851" t="s">
        <v>2186</v>
      </c>
      <c r="C275" s="1852">
        <v>0.15</v>
      </c>
      <c r="D275" s="1852">
        <v>0.15</v>
      </c>
      <c r="E275" s="1852">
        <v>0.15</v>
      </c>
      <c r="F275" s="1853">
        <v>0.15</v>
      </c>
    </row>
    <row r="276" spans="1:6" ht="14.25" thickBot="1">
      <c r="A276" s="1847" t="s">
        <v>1416</v>
      </c>
      <c r="B276" s="1851" t="s">
        <v>2187</v>
      </c>
      <c r="C276" s="1852">
        <v>0.14499999999999999</v>
      </c>
      <c r="D276" s="1852">
        <v>0.14299999999999999</v>
      </c>
      <c r="E276" s="1852">
        <v>0.15</v>
      </c>
      <c r="F276" s="1853">
        <v>5.8999999999999997E-2</v>
      </c>
    </row>
    <row r="277" spans="1:6" ht="14.25" thickBot="1">
      <c r="A277" s="1847" t="s">
        <v>1416</v>
      </c>
      <c r="B277" s="1851" t="s">
        <v>2188</v>
      </c>
      <c r="C277" s="1852">
        <v>0.15</v>
      </c>
      <c r="D277" s="1852">
        <v>0.15</v>
      </c>
      <c r="E277" s="1852">
        <v>0.15</v>
      </c>
      <c r="F277" s="1853">
        <v>0.121</v>
      </c>
    </row>
    <row r="278" spans="1:6" ht="14.25" thickBot="1">
      <c r="A278" s="1847" t="s">
        <v>1416</v>
      </c>
      <c r="B278" s="1851" t="s">
        <v>2189</v>
      </c>
      <c r="C278" s="1852">
        <v>0.15</v>
      </c>
      <c r="D278" s="1852">
        <v>0.15</v>
      </c>
      <c r="E278" s="1852">
        <v>0.15</v>
      </c>
      <c r="F278" s="1853">
        <v>0.13800000000000001</v>
      </c>
    </row>
    <row r="279" spans="1:6" ht="24.75" thickBot="1">
      <c r="A279" s="1847" t="s">
        <v>1416</v>
      </c>
      <c r="B279" s="1851" t="s">
        <v>2190</v>
      </c>
      <c r="C279" s="1861"/>
      <c r="D279" s="1861"/>
      <c r="E279" s="1861"/>
      <c r="F279" s="1853">
        <v>0.05</v>
      </c>
    </row>
    <row r="280" spans="1:6" ht="24.75" thickBot="1">
      <c r="A280" s="1847" t="s">
        <v>1416</v>
      </c>
      <c r="B280" s="1851" t="s">
        <v>2191</v>
      </c>
      <c r="C280" s="1861"/>
      <c r="D280" s="1861"/>
      <c r="E280" s="1861"/>
      <c r="F280" s="1853">
        <v>0.05</v>
      </c>
    </row>
    <row r="281" spans="1:6" ht="24.75" thickBot="1">
      <c r="A281" s="1847" t="s">
        <v>1416</v>
      </c>
      <c r="B281" s="1851" t="s">
        <v>2192</v>
      </c>
      <c r="C281" s="1861"/>
      <c r="D281" s="1861"/>
      <c r="E281" s="1861"/>
      <c r="F281" s="1853">
        <v>0.05</v>
      </c>
    </row>
    <row r="282" spans="1:6" ht="24.75" thickBot="1">
      <c r="A282" s="1847" t="s">
        <v>1416</v>
      </c>
      <c r="B282" s="1851" t="s">
        <v>2193</v>
      </c>
      <c r="C282" s="1861"/>
      <c r="D282" s="1861"/>
      <c r="E282" s="1861"/>
      <c r="F282" s="1853">
        <v>0.05</v>
      </c>
    </row>
    <row r="283" spans="1:6" ht="24.75" thickBot="1">
      <c r="A283" s="1847" t="s">
        <v>1416</v>
      </c>
      <c r="B283" s="1851" t="s">
        <v>2194</v>
      </c>
      <c r="C283" s="1861"/>
      <c r="D283" s="1861"/>
      <c r="E283" s="1861"/>
      <c r="F283" s="1853">
        <v>0.05</v>
      </c>
    </row>
    <row r="284" spans="1:6" ht="24.75" thickBot="1">
      <c r="A284" s="1847" t="s">
        <v>1416</v>
      </c>
      <c r="B284" s="1851" t="s">
        <v>2195</v>
      </c>
      <c r="C284" s="1861"/>
      <c r="D284" s="1861"/>
      <c r="E284" s="1861"/>
      <c r="F284" s="1853">
        <v>0.05</v>
      </c>
    </row>
    <row r="285" spans="1:6" ht="24.75" thickBot="1">
      <c r="A285" s="1847" t="s">
        <v>1416</v>
      </c>
      <c r="B285" s="1851" t="s">
        <v>2196</v>
      </c>
      <c r="C285" s="1861"/>
      <c r="D285" s="1861"/>
      <c r="E285" s="1861"/>
      <c r="F285" s="1853">
        <v>0.05</v>
      </c>
    </row>
    <row r="286" spans="1:6" ht="24.75" thickBot="1">
      <c r="A286" s="1847" t="s">
        <v>1416</v>
      </c>
      <c r="B286" s="1851" t="s">
        <v>2197</v>
      </c>
      <c r="C286" s="1861"/>
      <c r="D286" s="1861"/>
      <c r="E286" s="1861"/>
      <c r="F286" s="1853">
        <v>0.05</v>
      </c>
    </row>
    <row r="287" spans="1:6" ht="24.75" thickBot="1">
      <c r="A287" s="1847" t="s">
        <v>1416</v>
      </c>
      <c r="B287" s="1851" t="s">
        <v>2198</v>
      </c>
      <c r="C287" s="1861"/>
      <c r="D287" s="1861"/>
      <c r="E287" s="1861"/>
      <c r="F287" s="1853">
        <v>0.05</v>
      </c>
    </row>
    <row r="288" spans="1:6" ht="24.75" thickBot="1">
      <c r="A288" s="1847" t="s">
        <v>1416</v>
      </c>
      <c r="B288" s="1851" t="s">
        <v>2199</v>
      </c>
      <c r="C288" s="1861"/>
      <c r="D288" s="1861"/>
      <c r="E288" s="1861"/>
      <c r="F288" s="1853">
        <v>0.05</v>
      </c>
    </row>
    <row r="289" spans="1:6" ht="24.75" thickBot="1">
      <c r="A289" s="1855" t="s">
        <v>1416</v>
      </c>
      <c r="B289" s="1862" t="s">
        <v>2200</v>
      </c>
      <c r="C289" s="1858"/>
      <c r="D289" s="1858"/>
      <c r="E289" s="1858"/>
      <c r="F289" s="1863">
        <v>0.05</v>
      </c>
    </row>
    <row r="290" spans="1:6" ht="14.25" thickBot="1">
      <c r="A290" s="1847" t="s">
        <v>1420</v>
      </c>
      <c r="B290" s="1848" t="s">
        <v>2201</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2202</v>
      </c>
      <c r="C292" s="1852">
        <v>0.15</v>
      </c>
      <c r="D292" s="1852">
        <v>0.15</v>
      </c>
      <c r="E292" s="1852">
        <v>0.15</v>
      </c>
      <c r="F292" s="1853">
        <v>0.14699999999999999</v>
      </c>
    </row>
    <row r="293" spans="1:6" ht="14.25" thickBot="1">
      <c r="A293" s="1847" t="s">
        <v>1420</v>
      </c>
      <c r="B293" s="1851" t="s">
        <v>2203</v>
      </c>
      <c r="C293" s="1861"/>
      <c r="D293" s="1861"/>
      <c r="E293" s="1861"/>
      <c r="F293" s="1853">
        <v>0.1</v>
      </c>
    </row>
    <row r="294" spans="1:6" ht="14.25" thickBot="1">
      <c r="A294" s="1847" t="s">
        <v>1420</v>
      </c>
      <c r="B294" s="1851" t="s">
        <v>2204</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2205</v>
      </c>
      <c r="C296" s="1852">
        <v>0.15</v>
      </c>
      <c r="D296" s="1852">
        <v>0.15</v>
      </c>
      <c r="E296" s="1852">
        <v>0.15</v>
      </c>
      <c r="F296" s="1853">
        <v>0.15</v>
      </c>
    </row>
    <row r="297" spans="1:6" ht="14.25" thickBot="1">
      <c r="A297" s="1847" t="s">
        <v>1420</v>
      </c>
      <c r="B297" s="1851" t="s">
        <v>2206</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2207</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2208</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2209</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2210</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2211</v>
      </c>
      <c r="C310" s="1852">
        <v>0.15</v>
      </c>
      <c r="D310" s="1852">
        <v>0.15</v>
      </c>
      <c r="E310" s="1852">
        <v>0.15</v>
      </c>
      <c r="F310" s="1853">
        <v>0.13700000000000001</v>
      </c>
    </row>
    <row r="311" spans="1:6" ht="14.25" thickBot="1">
      <c r="A311" s="1847" t="s">
        <v>1420</v>
      </c>
      <c r="B311" s="1851" t="s">
        <v>2212</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2213</v>
      </c>
      <c r="C313" s="1852">
        <v>0.15</v>
      </c>
      <c r="D313" s="1852">
        <v>0.15</v>
      </c>
      <c r="E313" s="1852">
        <v>0.15</v>
      </c>
      <c r="F313" s="1853">
        <v>0.15</v>
      </c>
    </row>
    <row r="314" spans="1:6" ht="24.75" thickBot="1">
      <c r="A314" s="1847" t="s">
        <v>1420</v>
      </c>
      <c r="B314" s="1851" t="s">
        <v>2214</v>
      </c>
      <c r="C314" s="1861"/>
      <c r="D314" s="1861"/>
      <c r="E314" s="1861"/>
      <c r="F314" s="1853">
        <v>0.05</v>
      </c>
    </row>
    <row r="315" spans="1:6" ht="24.75" thickBot="1">
      <c r="A315" s="1847" t="s">
        <v>1420</v>
      </c>
      <c r="B315" s="1851" t="s">
        <v>2215</v>
      </c>
      <c r="C315" s="1861"/>
      <c r="D315" s="1861"/>
      <c r="E315" s="1861"/>
      <c r="F315" s="1853">
        <v>0.05</v>
      </c>
    </row>
    <row r="316" spans="1:6" ht="24.75" thickBot="1">
      <c r="A316" s="1855" t="s">
        <v>1420</v>
      </c>
      <c r="B316" s="1862" t="s">
        <v>2216</v>
      </c>
      <c r="C316" s="1858"/>
      <c r="D316" s="1858"/>
      <c r="E316" s="1858"/>
      <c r="F316" s="1863">
        <v>0.05</v>
      </c>
    </row>
    <row r="317" spans="1:6" ht="14.25" thickBot="1">
      <c r="A317" s="1847" t="s">
        <v>2217</v>
      </c>
      <c r="B317" s="1848" t="s">
        <v>2218</v>
      </c>
      <c r="C317" s="1849">
        <v>0.15</v>
      </c>
      <c r="D317" s="1849">
        <v>0.15</v>
      </c>
      <c r="E317" s="1849">
        <v>0.15</v>
      </c>
      <c r="F317" s="1850">
        <v>0.15</v>
      </c>
    </row>
    <row r="318" spans="1:6" ht="14.25" thickBot="1">
      <c r="A318" s="1847" t="s">
        <v>2217</v>
      </c>
      <c r="B318" s="1851" t="s">
        <v>2219</v>
      </c>
      <c r="C318" s="1852">
        <v>0.107</v>
      </c>
      <c r="D318" s="1852">
        <v>0.11</v>
      </c>
      <c r="E318" s="1852">
        <v>0.112</v>
      </c>
      <c r="F318" s="1860"/>
    </row>
    <row r="319" spans="1:6" ht="14.25" thickBot="1">
      <c r="A319" s="1847" t="s">
        <v>2217</v>
      </c>
      <c r="B319" s="1851" t="s">
        <v>2220</v>
      </c>
      <c r="C319" s="1852">
        <v>0.15</v>
      </c>
      <c r="D319" s="1852">
        <v>0.15</v>
      </c>
      <c r="E319" s="1852">
        <v>0.15</v>
      </c>
      <c r="F319" s="1853">
        <v>0.15</v>
      </c>
    </row>
    <row r="320" spans="1:6" ht="14.25" thickBot="1">
      <c r="A320" s="1847" t="s">
        <v>2217</v>
      </c>
      <c r="B320" s="1851" t="s">
        <v>1108</v>
      </c>
      <c r="C320" s="1852">
        <v>0.15</v>
      </c>
      <c r="D320" s="1852">
        <v>0.15</v>
      </c>
      <c r="E320" s="1852">
        <v>0.15</v>
      </c>
      <c r="F320" s="1860"/>
    </row>
    <row r="321" spans="1:6" ht="14.25" thickBot="1">
      <c r="A321" s="1847" t="s">
        <v>2217</v>
      </c>
      <c r="B321" s="1851" t="s">
        <v>2221</v>
      </c>
      <c r="C321" s="1852">
        <v>0.15</v>
      </c>
      <c r="D321" s="1852">
        <v>0.15</v>
      </c>
      <c r="E321" s="1852">
        <v>0.15</v>
      </c>
      <c r="F321" s="1860"/>
    </row>
    <row r="322" spans="1:6" ht="14.25" thickBot="1">
      <c r="A322" s="1847" t="s">
        <v>2217</v>
      </c>
      <c r="B322" s="1851" t="s">
        <v>2222</v>
      </c>
      <c r="C322" s="1852">
        <v>0.15</v>
      </c>
      <c r="D322" s="1852">
        <v>0.15</v>
      </c>
      <c r="E322" s="1852">
        <v>0.15</v>
      </c>
      <c r="F322" s="1853">
        <v>0.15</v>
      </c>
    </row>
    <row r="323" spans="1:6" ht="14.25" thickBot="1">
      <c r="A323" s="1847" t="s">
        <v>2217</v>
      </c>
      <c r="B323" s="1851" t="s">
        <v>2223</v>
      </c>
      <c r="C323" s="1852">
        <v>0.15</v>
      </c>
      <c r="D323" s="1852">
        <v>0.15</v>
      </c>
      <c r="E323" s="1852">
        <v>0.15</v>
      </c>
      <c r="F323" s="1860"/>
    </row>
    <row r="324" spans="1:6" ht="14.25" thickBot="1">
      <c r="A324" s="1847" t="s">
        <v>2217</v>
      </c>
      <c r="B324" s="1851" t="s">
        <v>2224</v>
      </c>
      <c r="C324" s="1852">
        <v>0.15</v>
      </c>
      <c r="D324" s="1852">
        <v>0.15</v>
      </c>
      <c r="E324" s="1852">
        <v>0.15</v>
      </c>
      <c r="F324" s="1860"/>
    </row>
    <row r="325" spans="1:6" ht="14.25" thickBot="1">
      <c r="A325" s="1847" t="s">
        <v>2217</v>
      </c>
      <c r="B325" s="1851" t="s">
        <v>2225</v>
      </c>
      <c r="C325" s="1852">
        <v>0.15</v>
      </c>
      <c r="D325" s="1852">
        <v>0.15</v>
      </c>
      <c r="E325" s="1852">
        <v>0.15</v>
      </c>
      <c r="F325" s="1853">
        <v>0.14699999999999999</v>
      </c>
    </row>
    <row r="326" spans="1:6" ht="14.25" thickBot="1">
      <c r="A326" s="1847" t="s">
        <v>2217</v>
      </c>
      <c r="B326" s="1851" t="s">
        <v>1177</v>
      </c>
      <c r="C326" s="1852">
        <v>0.15</v>
      </c>
      <c r="D326" s="1852">
        <v>0.15</v>
      </c>
      <c r="E326" s="1852">
        <v>0.15</v>
      </c>
      <c r="F326" s="1860"/>
    </row>
    <row r="327" spans="1:6" ht="14.25" thickBot="1">
      <c r="A327" s="1847" t="s">
        <v>2217</v>
      </c>
      <c r="B327" s="1851" t="s">
        <v>2226</v>
      </c>
      <c r="C327" s="1852">
        <v>0.15</v>
      </c>
      <c r="D327" s="1852">
        <v>0.15</v>
      </c>
      <c r="E327" s="1852">
        <v>0.15</v>
      </c>
      <c r="F327" s="1853">
        <v>0.15</v>
      </c>
    </row>
    <row r="328" spans="1:6" ht="14.25" thickBot="1">
      <c r="A328" s="1847" t="s">
        <v>2217</v>
      </c>
      <c r="B328" s="1851" t="s">
        <v>1197</v>
      </c>
      <c r="C328" s="1852">
        <v>0.15</v>
      </c>
      <c r="D328" s="1852">
        <v>0.15</v>
      </c>
      <c r="E328" s="1852">
        <v>0.15</v>
      </c>
      <c r="F328" s="1853">
        <v>0.14099999999999999</v>
      </c>
    </row>
    <row r="329" spans="1:6" ht="14.25" thickBot="1">
      <c r="A329" s="1847" t="s">
        <v>2217</v>
      </c>
      <c r="B329" s="1851" t="s">
        <v>1207</v>
      </c>
      <c r="C329" s="1852">
        <v>0.15</v>
      </c>
      <c r="D329" s="1852">
        <v>0.15</v>
      </c>
      <c r="E329" s="1852">
        <v>0.15</v>
      </c>
      <c r="F329" s="1853">
        <v>0.15</v>
      </c>
    </row>
    <row r="330" spans="1:6" ht="14.25" thickBot="1">
      <c r="A330" s="1847" t="s">
        <v>2217</v>
      </c>
      <c r="B330" s="1851" t="s">
        <v>1217</v>
      </c>
      <c r="C330" s="1852">
        <v>0.15</v>
      </c>
      <c r="D330" s="1852">
        <v>0.15</v>
      </c>
      <c r="E330" s="1852">
        <v>0.15</v>
      </c>
      <c r="F330" s="1860"/>
    </row>
    <row r="331" spans="1:6" ht="14.25" thickBot="1">
      <c r="A331" s="1847" t="s">
        <v>2217</v>
      </c>
      <c r="B331" s="1851" t="s">
        <v>2227</v>
      </c>
      <c r="C331" s="1852">
        <v>0.15</v>
      </c>
      <c r="D331" s="1852">
        <v>0.15</v>
      </c>
      <c r="E331" s="1852">
        <v>0.15</v>
      </c>
      <c r="F331" s="1853">
        <v>0.15</v>
      </c>
    </row>
    <row r="332" spans="1:6" ht="14.25" thickBot="1">
      <c r="A332" s="1847" t="s">
        <v>2217</v>
      </c>
      <c r="B332" s="1851" t="s">
        <v>1237</v>
      </c>
      <c r="C332" s="1852">
        <v>0.15</v>
      </c>
      <c r="D332" s="1852">
        <v>0.15</v>
      </c>
      <c r="E332" s="1852">
        <v>0.15</v>
      </c>
      <c r="F332" s="1853">
        <v>0.15</v>
      </c>
    </row>
    <row r="333" spans="1:6" ht="14.25" thickBot="1">
      <c r="A333" s="1847" t="s">
        <v>2217</v>
      </c>
      <c r="B333" s="1851" t="s">
        <v>2228</v>
      </c>
      <c r="C333" s="1852">
        <v>0.15</v>
      </c>
      <c r="D333" s="1852">
        <v>0.15</v>
      </c>
      <c r="E333" s="1852">
        <v>0.15</v>
      </c>
      <c r="F333" s="1853">
        <v>0.14099999999999999</v>
      </c>
    </row>
    <row r="334" spans="1:6" ht="14.25" thickBot="1">
      <c r="A334" s="1847" t="s">
        <v>2217</v>
      </c>
      <c r="B334" s="1851" t="s">
        <v>1257</v>
      </c>
      <c r="C334" s="1852">
        <v>0.15</v>
      </c>
      <c r="D334" s="1852">
        <v>0.15</v>
      </c>
      <c r="E334" s="1852">
        <v>0.15</v>
      </c>
      <c r="F334" s="1853">
        <v>0.15</v>
      </c>
    </row>
    <row r="335" spans="1:6" ht="14.25" thickBot="1">
      <c r="A335" s="1847" t="s">
        <v>2217</v>
      </c>
      <c r="B335" s="1851" t="s">
        <v>1267</v>
      </c>
      <c r="C335" s="1852">
        <v>0.15</v>
      </c>
      <c r="D335" s="1852">
        <v>0.15</v>
      </c>
      <c r="E335" s="1852">
        <v>0.15</v>
      </c>
      <c r="F335" s="1860"/>
    </row>
    <row r="336" spans="1:6" ht="14.25" thickBot="1">
      <c r="A336" s="1847" t="s">
        <v>2217</v>
      </c>
      <c r="B336" s="1851" t="s">
        <v>2229</v>
      </c>
      <c r="C336" s="1852">
        <v>0.15</v>
      </c>
      <c r="D336" s="1852">
        <v>0.15</v>
      </c>
      <c r="E336" s="1852">
        <v>0.15</v>
      </c>
      <c r="F336" s="1853">
        <v>0.11799999999999999</v>
      </c>
    </row>
    <row r="337" spans="1:6" ht="14.25" thickBot="1">
      <c r="A337" s="1855" t="s">
        <v>2217</v>
      </c>
      <c r="B337" s="1862" t="s">
        <v>1285</v>
      </c>
      <c r="C337" s="1858"/>
      <c r="D337" s="1858"/>
      <c r="E337" s="1858"/>
      <c r="F337" s="1863">
        <v>0.14299999999999999</v>
      </c>
    </row>
    <row r="338" spans="1:6" ht="14.25" thickBot="1">
      <c r="A338" s="1847" t="s">
        <v>2230</v>
      </c>
      <c r="B338" s="1848" t="s">
        <v>2231</v>
      </c>
      <c r="C338" s="1849">
        <v>0.15</v>
      </c>
      <c r="D338" s="1849">
        <v>0.15</v>
      </c>
      <c r="E338" s="1849">
        <v>0.15</v>
      </c>
      <c r="F338" s="1871"/>
    </row>
    <row r="339" spans="1:6" ht="14.25" thickBot="1">
      <c r="A339" s="1847" t="s">
        <v>2230</v>
      </c>
      <c r="B339" s="1851" t="s">
        <v>2232</v>
      </c>
      <c r="C339" s="1852">
        <v>0.15</v>
      </c>
      <c r="D339" s="1852">
        <v>0.15</v>
      </c>
      <c r="E339" s="1852">
        <v>0.15</v>
      </c>
      <c r="F339" s="1860"/>
    </row>
    <row r="340" spans="1:6" ht="14.25" thickBot="1">
      <c r="A340" s="1847" t="s">
        <v>2230</v>
      </c>
      <c r="B340" s="1851" t="s">
        <v>2233</v>
      </c>
      <c r="C340" s="1852">
        <v>0.15</v>
      </c>
      <c r="D340" s="1852">
        <v>0.15</v>
      </c>
      <c r="E340" s="1852">
        <v>0.15</v>
      </c>
      <c r="F340" s="1860"/>
    </row>
    <row r="341" spans="1:6" ht="14.25" thickBot="1">
      <c r="A341" s="1847" t="s">
        <v>2234</v>
      </c>
      <c r="B341" s="1851" t="s">
        <v>2235</v>
      </c>
      <c r="C341" s="1852">
        <v>0.15</v>
      </c>
      <c r="D341" s="1852">
        <v>0.15</v>
      </c>
      <c r="E341" s="1852">
        <v>0.15</v>
      </c>
      <c r="F341" s="1853">
        <v>0.15</v>
      </c>
    </row>
    <row r="342" spans="1:6" ht="14.25" thickBot="1">
      <c r="A342" s="1847" t="s">
        <v>2230</v>
      </c>
      <c r="B342" s="1851" t="s">
        <v>2236</v>
      </c>
      <c r="C342" s="1852">
        <v>0.15</v>
      </c>
      <c r="D342" s="1852">
        <v>0.15</v>
      </c>
      <c r="E342" s="1852">
        <v>0.15</v>
      </c>
      <c r="F342" s="1853">
        <v>0.15</v>
      </c>
    </row>
    <row r="343" spans="1:6" ht="14.25" thickBot="1">
      <c r="A343" s="1847" t="s">
        <v>2230</v>
      </c>
      <c r="B343" s="1851" t="s">
        <v>2237</v>
      </c>
      <c r="C343" s="1852">
        <v>0.15</v>
      </c>
      <c r="D343" s="1852">
        <v>0.15</v>
      </c>
      <c r="E343" s="1852">
        <v>0.15</v>
      </c>
      <c r="F343" s="1853">
        <v>0.15</v>
      </c>
    </row>
    <row r="344" spans="1:6" ht="14.25" thickBot="1">
      <c r="A344" s="1855" t="s">
        <v>2230</v>
      </c>
      <c r="B344" s="1862" t="s">
        <v>2238</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3"/>
      <c r="C5" s="1873"/>
      <c r="D5" s="1873"/>
      <c r="E5" s="1873"/>
      <c r="F5" s="3122"/>
    </row>
    <row r="6" spans="1:6" ht="28.5">
      <c r="A6" s="3126" t="s">
        <v>2953</v>
      </c>
      <c r="B6" s="3123" t="s">
        <v>2950</v>
      </c>
      <c r="C6" s="3124"/>
      <c r="D6" s="1873"/>
      <c r="E6" s="3123" t="s">
        <v>2951</v>
      </c>
      <c r="F6" s="3123" t="s">
        <v>2955</v>
      </c>
    </row>
    <row r="7" spans="1:6" ht="14.25">
      <c r="A7" s="258" t="s">
        <v>2954</v>
      </c>
      <c r="B7" s="3127" t="e">
        <f ca="1">SUMIF(INDIRECT("'"&amp;A7&amp;"'"&amp;"!A:A"),"总价",INDIRECT("'"&amp;A7&amp;"'"&amp;"!B:B"))</f>
        <v>#DIV/0!</v>
      </c>
      <c r="C7" s="3123" t="s">
        <v>2947</v>
      </c>
      <c r="D7" s="1873"/>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3"/>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3"/>
      <c r="E9" s="3128" t="e">
        <f t="shared" ca="1" si="1"/>
        <v>#REF!</v>
      </c>
      <c r="F9" s="3128" t="e">
        <f t="shared" ca="1" si="2"/>
        <v>#REF!</v>
      </c>
    </row>
    <row r="10" spans="1:6" ht="14.25">
      <c r="A10" s="258"/>
      <c r="B10" s="3127" t="e">
        <f t="shared" ca="1" si="0"/>
        <v>#REF!</v>
      </c>
      <c r="C10" s="3123" t="s">
        <v>2947</v>
      </c>
      <c r="D10" s="1873"/>
      <c r="E10" s="3128" t="e">
        <f t="shared" ca="1" si="1"/>
        <v>#REF!</v>
      </c>
      <c r="F10" s="3128" t="e">
        <f t="shared" ca="1" si="2"/>
        <v>#REF!</v>
      </c>
    </row>
    <row r="11" spans="1:6" ht="14.25">
      <c r="A11" s="258"/>
      <c r="B11" s="3127" t="e">
        <f t="shared" ca="1" si="0"/>
        <v>#REF!</v>
      </c>
      <c r="C11" s="3123" t="s">
        <v>2947</v>
      </c>
      <c r="D11" s="1873"/>
      <c r="E11" s="3128" t="e">
        <f t="shared" ca="1" si="1"/>
        <v>#REF!</v>
      </c>
      <c r="F11" s="3128" t="e">
        <f t="shared" ca="1" si="2"/>
        <v>#REF!</v>
      </c>
    </row>
    <row r="12" spans="1:6" ht="14.25">
      <c r="A12" s="258"/>
      <c r="B12" s="3127" t="e">
        <f t="shared" ca="1" si="0"/>
        <v>#REF!</v>
      </c>
      <c r="C12" s="3123" t="s">
        <v>2947</v>
      </c>
      <c r="D12" s="1873"/>
      <c r="E12" s="3128" t="e">
        <f t="shared" ca="1" si="1"/>
        <v>#REF!</v>
      </c>
      <c r="F12" s="3128" t="e">
        <f t="shared" ca="1" si="2"/>
        <v>#REF!</v>
      </c>
    </row>
    <row r="13" spans="1:6" ht="14.25">
      <c r="A13" s="258"/>
      <c r="B13" s="3127" t="e">
        <f t="shared" ca="1" si="0"/>
        <v>#REF!</v>
      </c>
      <c r="C13" s="3123" t="s">
        <v>2947</v>
      </c>
      <c r="D13" s="1873"/>
      <c r="E13" s="3128" t="e">
        <f t="shared" ca="1" si="1"/>
        <v>#REF!</v>
      </c>
      <c r="F13" s="3128" t="e">
        <f t="shared" ca="1" si="2"/>
        <v>#REF!</v>
      </c>
    </row>
    <row r="14" spans="1:6" ht="14.25">
      <c r="A14" s="3121"/>
      <c r="B14" s="3127" t="e">
        <f t="shared" ca="1" si="0"/>
        <v>#REF!</v>
      </c>
      <c r="C14" s="3123" t="s">
        <v>2947</v>
      </c>
      <c r="D14" s="1873"/>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77" t="str">
        <f>项目基本情况!B1</f>
        <v>出让国有建设用地使用权抵押价格预评估</v>
      </c>
      <c r="C37" s="3577"/>
      <c r="D37" s="3577"/>
      <c r="E37" s="3577"/>
      <c r="F37" s="3577"/>
      <c r="G37" s="3577"/>
      <c r="H37" s="3577"/>
      <c r="I37" s="3577"/>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吴薇、刘梅</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629</v>
      </c>
      <c r="B1" s="735"/>
      <c r="C1" s="770" t="s">
        <v>1678</v>
      </c>
      <c r="D1" s="2042"/>
      <c r="E1" s="2403" t="s">
        <v>2376</v>
      </c>
      <c r="F1" s="2404">
        <f ca="1">J54</f>
        <v>0</v>
      </c>
      <c r="G1" s="771">
        <f>MATCH(C1,'数据-取费表'!A6:A16,0)+5</f>
        <v>8</v>
      </c>
      <c r="H1" s="1343"/>
      <c r="I1" s="2043"/>
      <c r="J1" s="2043"/>
      <c r="K1" s="2044"/>
      <c r="L1" s="2043"/>
      <c r="M1" s="2043"/>
      <c r="N1" s="2045"/>
      <c r="O1" s="2045"/>
      <c r="P1" s="2045"/>
      <c r="Q1" s="2045"/>
      <c r="R1" s="2045"/>
      <c r="S1" s="2045"/>
      <c r="T1" s="2045"/>
      <c r="U1" s="2045"/>
      <c r="V1" s="2045"/>
      <c r="W1" s="2045"/>
      <c r="X1" s="2045"/>
      <c r="Y1" s="2045"/>
    </row>
    <row r="2" spans="1:25" ht="18" customHeight="1">
      <c r="A2" s="1636" t="s">
        <v>630</v>
      </c>
      <c r="B2" s="772">
        <f ca="1">IF(ISERROR(C45+J31),0,C45+J31)</f>
        <v>0</v>
      </c>
      <c r="C2" s="1344"/>
      <c r="D2" s="2047"/>
      <c r="E2" s="2048"/>
      <c r="F2" s="2048"/>
      <c r="G2" s="1582"/>
      <c r="H2" s="1356"/>
      <c r="I2" s="2049"/>
      <c r="J2" s="2049"/>
      <c r="K2" s="2050"/>
      <c r="L2" s="2049"/>
      <c r="M2" s="2049"/>
    </row>
    <row r="3" spans="1:25" ht="18" customHeight="1">
      <c r="A3" s="1637" t="s">
        <v>1685</v>
      </c>
      <c r="B3" s="1383">
        <f ca="1">ROUND(B2*10000/'数据-汇总表'!E3,0)</f>
        <v>0</v>
      </c>
      <c r="C3" s="1344"/>
      <c r="D3" s="2047"/>
      <c r="E3" s="2048"/>
      <c r="F3" s="2048"/>
      <c r="G3" s="1582"/>
      <c r="H3" s="773" t="s">
        <v>696</v>
      </c>
      <c r="I3" s="2049"/>
      <c r="J3" s="2049"/>
      <c r="K3" s="2050"/>
      <c r="L3" s="2049"/>
      <c r="M3" s="2049"/>
    </row>
    <row r="4" spans="1:25" ht="18" customHeight="1">
      <c r="A4" s="1638" t="s">
        <v>697</v>
      </c>
      <c r="B4" s="1345">
        <f ca="1">ROUND(B2*10000/'数据-汇总表'!D3,0)</f>
        <v>0</v>
      </c>
      <c r="C4" s="426"/>
      <c r="D4" s="2047"/>
      <c r="E4" s="2048"/>
      <c r="F4" s="2048"/>
      <c r="G4" s="1582"/>
      <c r="H4" s="773"/>
      <c r="I4" s="2049"/>
      <c r="J4" s="2049"/>
      <c r="K4" s="2050"/>
      <c r="L4" s="2049"/>
      <c r="M4" s="2049"/>
    </row>
    <row r="5" spans="1:25" ht="18" customHeight="1" thickBot="1">
      <c r="A5" s="1639"/>
      <c r="B5" s="428">
        <f ca="1">ROUND(B2/('数据-汇总表'!D3/666.67),0)</f>
        <v>0</v>
      </c>
      <c r="C5" s="429" t="s">
        <v>698</v>
      </c>
      <c r="D5" s="2047"/>
      <c r="E5" s="2048"/>
      <c r="F5" s="2048"/>
      <c r="G5" s="1582"/>
      <c r="H5" s="773"/>
      <c r="I5" s="2049"/>
      <c r="J5" s="2049"/>
      <c r="K5" s="2050"/>
      <c r="L5" s="2049"/>
      <c r="M5" s="2049"/>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0</v>
      </c>
      <c r="D7" s="2512" t="s">
        <v>2464</v>
      </c>
      <c r="E7" s="2506"/>
      <c r="F7" s="2507"/>
      <c r="G7" s="1584"/>
      <c r="H7" s="778">
        <v>1</v>
      </c>
      <c r="I7" s="779" t="s">
        <v>2461</v>
      </c>
      <c r="J7" s="53">
        <f ca="1">J8+J12+J14</f>
        <v>0</v>
      </c>
      <c r="K7" s="2512" t="s">
        <v>2464</v>
      </c>
      <c r="L7" s="2506"/>
      <c r="M7" s="2507"/>
    </row>
    <row r="8" spans="1:25" ht="18" customHeight="1">
      <c r="A8" s="1823" t="s">
        <v>1823</v>
      </c>
      <c r="B8" s="3819" t="s">
        <v>2466</v>
      </c>
      <c r="C8" s="1818">
        <f ca="1">ROUND(F8*F10*F9*(1-F11)/10000,0)</f>
        <v>0</v>
      </c>
      <c r="D8" s="1815" t="s">
        <v>2538</v>
      </c>
      <c r="E8" s="61" t="s">
        <v>638</v>
      </c>
      <c r="F8" s="782">
        <f ca="1">INDIRECT("'数据-取费表'!u"&amp;$G$1)</f>
        <v>0</v>
      </c>
      <c r="G8" s="1584"/>
      <c r="H8" s="2520" t="s">
        <v>1823</v>
      </c>
      <c r="I8" s="3819" t="s">
        <v>2466</v>
      </c>
      <c r="J8" s="780">
        <f ca="1">ROUND(M8*M10*M9*(1-M11)/10000,0)</f>
        <v>0</v>
      </c>
      <c r="K8" s="339" t="s">
        <v>2538</v>
      </c>
      <c r="L8" s="781" t="s">
        <v>1737</v>
      </c>
      <c r="M8" s="782">
        <f ca="1">INDIRECT("'数据-取费表'!z"&amp;$G$1)</f>
        <v>0</v>
      </c>
    </row>
    <row r="9" spans="1:25" ht="18" customHeight="1">
      <c r="A9" s="2516"/>
      <c r="B9" s="3820"/>
      <c r="C9" s="1819"/>
      <c r="D9" s="1816"/>
      <c r="E9" s="61" t="s">
        <v>639</v>
      </c>
      <c r="F9" s="782">
        <f ca="1">IF(INDIRECT("'数据-取费表'!ah"&amp;$G$1)="",INDIRECT("'数据-取费表'!k"&amp;$G$1),INDIRECT("'数据-取费表'!ah"&amp;$G$1))</f>
        <v>273359</v>
      </c>
      <c r="G9" s="1584"/>
      <c r="H9" s="2505"/>
      <c r="I9" s="3820"/>
      <c r="J9" s="785"/>
      <c r="K9" s="786"/>
      <c r="L9" s="781" t="s">
        <v>1738</v>
      </c>
      <c r="M9" s="782">
        <f ca="1">F9</f>
        <v>273359</v>
      </c>
    </row>
    <row r="10" spans="1:25" ht="18" customHeight="1">
      <c r="A10" s="2509"/>
      <c r="B10" s="3821"/>
      <c r="C10" s="1819"/>
      <c r="D10" s="1816"/>
      <c r="E10" s="61" t="s">
        <v>640</v>
      </c>
      <c r="F10" s="782">
        <f ca="1">INDIRECT("'数据-取费表'!ai"&amp;$G$1)</f>
        <v>0</v>
      </c>
      <c r="G10" s="1584"/>
      <c r="H10" s="2505"/>
      <c r="I10" s="3821"/>
      <c r="J10" s="785"/>
      <c r="K10" s="786"/>
      <c r="L10" s="781" t="s">
        <v>1739</v>
      </c>
      <c r="M10" s="782">
        <f ca="1">INDIRECT("'数据-取费表'!ai"&amp;$G$1)</f>
        <v>0</v>
      </c>
    </row>
    <row r="11" spans="1:25" ht="18" customHeight="1">
      <c r="A11" s="783"/>
      <c r="B11" s="3822"/>
      <c r="C11" s="1819"/>
      <c r="D11" s="1816"/>
      <c r="E11" s="61" t="s">
        <v>641</v>
      </c>
      <c r="F11" s="791">
        <f ca="1">INDIRECT("'数据-取费表'!w"&amp;$G$1)</f>
        <v>0</v>
      </c>
      <c r="G11" s="1584"/>
      <c r="H11" s="2521"/>
      <c r="I11" s="3821"/>
      <c r="J11" s="785"/>
      <c r="K11" s="786"/>
      <c r="L11" s="792" t="s">
        <v>1740</v>
      </c>
      <c r="M11" s="793">
        <f ca="1">INDIRECT("'数据-取费表'!ab"&amp;$G$1)</f>
        <v>0</v>
      </c>
    </row>
    <row r="12" spans="1:25" ht="18" customHeight="1">
      <c r="A12" s="1823" t="s">
        <v>1824</v>
      </c>
      <c r="B12" s="2510" t="s">
        <v>2462</v>
      </c>
      <c r="C12" s="796">
        <f ca="1">ROUND(IF(F12="押一",F8*F10*F9/12*F13,IF(F12="押二",F8*F10*F9/12*2*F13,IF(F12="押三",F8*F10*F9/12*3*F13,C13*F13)))/10000,0)</f>
        <v>0</v>
      </c>
      <c r="D12" s="2517" t="s">
        <v>2469</v>
      </c>
      <c r="E12" s="2514" t="s">
        <v>2467</v>
      </c>
      <c r="F12" s="2637" t="s">
        <v>3299</v>
      </c>
      <c r="G12" s="1584"/>
      <c r="H12" s="2577" t="s">
        <v>1824</v>
      </c>
      <c r="I12" s="2582" t="s">
        <v>2462</v>
      </c>
      <c r="J12" s="780">
        <f ca="1">ROUND(IF(M12="押一",M8*M10*M9/12*M13,IF(M12="押二",M8*M10*M9/12*2*M13,IF(M12="押三",M8*M10*M9/12*3*M13,J13*M13)))/10000,0)</f>
        <v>0</v>
      </c>
      <c r="K12" s="2517" t="s">
        <v>2469</v>
      </c>
      <c r="L12" s="2514" t="s">
        <v>2467</v>
      </c>
      <c r="M12" s="2637"/>
    </row>
    <row r="13" spans="1:25" ht="18" customHeight="1">
      <c r="A13" s="787"/>
      <c r="B13" s="2511" t="s">
        <v>2577</v>
      </c>
      <c r="C13" s="2515"/>
      <c r="D13" s="786"/>
      <c r="E13" s="2514" t="s">
        <v>2459</v>
      </c>
      <c r="F13" s="793">
        <f ca="1">'数据-取费表'!B39</f>
        <v>1.4999999999999999E-2</v>
      </c>
      <c r="G13" s="1584"/>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4"/>
      <c r="H14" s="2567" t="s">
        <v>2471</v>
      </c>
      <c r="I14" s="2580" t="s">
        <v>2463</v>
      </c>
      <c r="J14" s="2581"/>
      <c r="K14" s="2556"/>
      <c r="L14" s="2557"/>
      <c r="M14" s="2570"/>
    </row>
    <row r="15" spans="1:25" ht="18" customHeight="1" thickTop="1">
      <c r="A15" s="1822" t="s">
        <v>1873</v>
      </c>
      <c r="B15" s="1820" t="s">
        <v>642</v>
      </c>
      <c r="C15" s="789">
        <f ca="1">ROUND(C31*F15,0)</f>
        <v>131865</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84266</v>
      </c>
      <c r="D16" s="1971" t="s">
        <v>647</v>
      </c>
      <c r="E16" s="1972"/>
      <c r="F16" s="802"/>
      <c r="G16" s="1584"/>
      <c r="H16" s="800" t="s">
        <v>2070</v>
      </c>
      <c r="I16" s="2223" t="s">
        <v>2829</v>
      </c>
      <c r="J16" s="53">
        <f ca="1">C31</f>
        <v>131865</v>
      </c>
      <c r="K16" s="26"/>
      <c r="L16" s="798"/>
      <c r="M16" s="799"/>
    </row>
    <row r="17" spans="1:25" s="2056" customFormat="1" ht="18" customHeight="1">
      <c r="A17" s="800" t="s">
        <v>1848</v>
      </c>
      <c r="B17" s="781" t="s">
        <v>648</v>
      </c>
      <c r="C17" s="53">
        <f ca="1">ROUND(C16*F17,0)</f>
        <v>2528</v>
      </c>
      <c r="D17" s="803" t="s">
        <v>649</v>
      </c>
      <c r="E17" s="803" t="s">
        <v>650</v>
      </c>
      <c r="F17" s="804">
        <f>'数据-取费表'!B33</f>
        <v>0.03</v>
      </c>
      <c r="G17" s="1585"/>
      <c r="H17" s="800" t="s">
        <v>2071</v>
      </c>
      <c r="I17" s="781" t="s">
        <v>644</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1170</v>
      </c>
      <c r="K18" s="26" t="s">
        <v>653</v>
      </c>
      <c r="L18" s="1974"/>
      <c r="M18" s="56"/>
    </row>
    <row r="19" spans="1:25" s="2056" customFormat="1" ht="18" customHeight="1">
      <c r="A19" s="800" t="s">
        <v>1850</v>
      </c>
      <c r="B19" s="781" t="s">
        <v>654</v>
      </c>
      <c r="C19" s="53">
        <f ca="1">ROUND(F19*(INDIRECT("'数据-取费表'!k"&amp;$G$1)+INDIRECT("'数据-取费表'!S"&amp;$G$1))/10000,0)</f>
        <v>4270</v>
      </c>
      <c r="D19" s="781" t="s">
        <v>655</v>
      </c>
      <c r="E19" s="781" t="s">
        <v>656</v>
      </c>
      <c r="F19" s="56">
        <f>'数据-取费表'!B35</f>
        <v>150</v>
      </c>
      <c r="G19" s="1585"/>
      <c r="H19" s="800" t="s">
        <v>2070</v>
      </c>
      <c r="I19" s="781" t="s">
        <v>657</v>
      </c>
      <c r="J19" s="53">
        <f ca="1">ROUND(IF(项目基本情况!B11="自然人",J7*M19,J20+J21+J22),0)</f>
        <v>1170</v>
      </c>
      <c r="K19" s="1971" t="s">
        <v>658</v>
      </c>
      <c r="L19" s="1969" t="s">
        <v>659</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1851</v>
      </c>
      <c r="B20" s="781" t="s">
        <v>660</v>
      </c>
      <c r="C20" s="53">
        <f ca="1">ROUND(C16*F20,0)</f>
        <v>1264</v>
      </c>
      <c r="D20" s="781" t="s">
        <v>649</v>
      </c>
      <c r="E20" s="781" t="s">
        <v>650</v>
      </c>
      <c r="F20" s="806">
        <f>'数据-取费表'!B36</f>
        <v>1.4999999999999999E-2</v>
      </c>
      <c r="G20" s="1585"/>
      <c r="H20" s="800" t="s">
        <v>1830</v>
      </c>
      <c r="I20" s="781" t="s">
        <v>661</v>
      </c>
      <c r="J20" s="53">
        <f ca="1">ROUND(J7*M20/1.05,1)</f>
        <v>0</v>
      </c>
      <c r="K20" s="1969" t="s">
        <v>662</v>
      </c>
      <c r="L20" s="781" t="s">
        <v>650</v>
      </c>
      <c r="M20" s="806">
        <f>'数据-取费表'!B41</f>
        <v>5.6000000000000001E-2</v>
      </c>
      <c r="N20" s="2055"/>
      <c r="O20" s="2055"/>
      <c r="P20" s="2055"/>
      <c r="Q20" s="2055"/>
      <c r="R20" s="2055"/>
      <c r="S20" s="2055"/>
      <c r="T20" s="2055"/>
      <c r="U20" s="2055"/>
      <c r="V20" s="2055"/>
      <c r="W20" s="2055"/>
      <c r="X20" s="2055"/>
      <c r="Y20" s="2055"/>
    </row>
    <row r="21" spans="1:25" ht="18" customHeight="1">
      <c r="A21" s="800" t="s">
        <v>1875</v>
      </c>
      <c r="B21" s="781" t="s">
        <v>663</v>
      </c>
      <c r="C21" s="53">
        <f ca="1">SUM(C16:C20)</f>
        <v>92328</v>
      </c>
      <c r="D21" s="259" t="s">
        <v>664</v>
      </c>
      <c r="E21" s="1974"/>
      <c r="F21" s="56"/>
      <c r="G21" s="1584"/>
      <c r="H21" s="1823" t="s">
        <v>1848</v>
      </c>
      <c r="I21" s="781" t="s">
        <v>665</v>
      </c>
      <c r="J21" s="53">
        <f ca="1">IF(K21="按租金收入计税",ROUND(J7*M21,1),ROUND(C31*F35*0.7,1))</f>
        <v>1107.7</v>
      </c>
      <c r="K21" s="808" t="s">
        <v>666</v>
      </c>
      <c r="L21" s="781" t="s">
        <v>650</v>
      </c>
      <c r="M21" s="806">
        <f>IF(K21="按租金收入计税",'数据-取费表'!B51,'数据-取费表'!B50)</f>
        <v>1.2E-2</v>
      </c>
    </row>
    <row r="22" spans="1:25" s="2056" customFormat="1" ht="18" customHeight="1">
      <c r="A22" s="800" t="s">
        <v>1876</v>
      </c>
      <c r="B22" s="781" t="s">
        <v>667</v>
      </c>
      <c r="C22" s="53">
        <f ca="1">ROUND(C21*F22,0)</f>
        <v>1847</v>
      </c>
      <c r="D22" s="809" t="s">
        <v>668</v>
      </c>
      <c r="E22" s="781" t="s">
        <v>650</v>
      </c>
      <c r="F22" s="806">
        <f>'数据-取费表'!B37</f>
        <v>0.02</v>
      </c>
      <c r="G22" s="1585"/>
      <c r="H22" s="1825" t="s">
        <v>1849</v>
      </c>
      <c r="I22" s="1815" t="s">
        <v>669</v>
      </c>
      <c r="J22" s="54">
        <f ca="1">ROUND(M22*M23/10000,0)</f>
        <v>62</v>
      </c>
      <c r="K22" s="811" t="s">
        <v>670</v>
      </c>
      <c r="L22" s="781" t="s">
        <v>671</v>
      </c>
      <c r="M22" s="637">
        <f>'数据-取费表'!B52</f>
        <v>14</v>
      </c>
      <c r="N22" s="2055"/>
      <c r="O22" s="2055"/>
      <c r="P22" s="2055"/>
      <c r="Q22" s="2055"/>
      <c r="R22" s="2055"/>
      <c r="S22" s="2055"/>
      <c r="T22" s="2055"/>
      <c r="U22" s="2055"/>
      <c r="V22" s="2055"/>
      <c r="W22" s="2055"/>
      <c r="X22" s="2055"/>
      <c r="Y22" s="2055"/>
    </row>
    <row r="23" spans="1:25" s="2056" customFormat="1" ht="18" customHeight="1">
      <c r="A23" s="800" t="s">
        <v>1877</v>
      </c>
      <c r="B23" s="781" t="s">
        <v>672</v>
      </c>
      <c r="C23" s="53" t="s">
        <v>1</v>
      </c>
      <c r="D23" s="809" t="s">
        <v>673</v>
      </c>
      <c r="E23" s="781" t="s">
        <v>674</v>
      </c>
      <c r="F23" s="806">
        <f>'数据-取费表'!B38</f>
        <v>0.03</v>
      </c>
      <c r="G23" s="1585"/>
      <c r="H23" s="1826"/>
      <c r="I23" s="1817"/>
      <c r="J23" s="69"/>
      <c r="K23" s="813"/>
      <c r="L23" s="781" t="s">
        <v>675</v>
      </c>
      <c r="M23" s="782">
        <f ca="1">INDIRECT("'数据-取费表'!r"&amp;$G$1)</f>
        <v>44323.45</v>
      </c>
      <c r="N23" s="2055"/>
      <c r="O23" s="2055"/>
      <c r="P23" s="2055"/>
      <c r="Q23" s="2055"/>
      <c r="R23" s="2055"/>
      <c r="S23" s="2055"/>
      <c r="T23" s="2055"/>
      <c r="U23" s="2055"/>
      <c r="V23" s="2055"/>
      <c r="W23" s="2055"/>
      <c r="X23" s="2055"/>
      <c r="Y23" s="2055"/>
    </row>
    <row r="24" spans="1:25" ht="18" customHeight="1">
      <c r="A24" s="800" t="s">
        <v>1878</v>
      </c>
      <c r="B24" s="781" t="s">
        <v>676</v>
      </c>
      <c r="C24" s="53"/>
      <c r="D24" s="2588" t="str">
        <f>IF(F25&lt;=1,"单利计息。","复利计息。")&amp;"建造成本、管理费用、销售费用产生的利息。"</f>
        <v>复利计息。建造成本、管理费用、销售费用产生的利息。</v>
      </c>
      <c r="E24" s="1974"/>
      <c r="F24" s="56"/>
      <c r="G24" s="1584"/>
      <c r="H24" s="1824" t="s">
        <v>2071</v>
      </c>
      <c r="I24" s="781" t="s">
        <v>677</v>
      </c>
      <c r="J24" s="53">
        <f ca="1">ROUND(J16*M24,0)</f>
        <v>0</v>
      </c>
      <c r="K24" s="1969" t="s">
        <v>678</v>
      </c>
      <c r="L24" s="781" t="s">
        <v>650</v>
      </c>
      <c r="M24" s="814">
        <f ca="1">INDIRECT("'数据-取费表'!Ak"&amp;$G$1)</f>
        <v>0</v>
      </c>
    </row>
    <row r="25" spans="1:25" s="2056" customFormat="1" ht="18" customHeight="1">
      <c r="A25" s="800" t="s">
        <v>1874</v>
      </c>
      <c r="B25" s="781" t="s">
        <v>2439</v>
      </c>
      <c r="C25" s="53">
        <f ca="1">ROUND(IF('数据-取费表'!B22&lt;=1,(C21+C22)*F26*F25/2,(C21+C22)*(POWER((1+F26),F25/2)-1)),0)</f>
        <v>6789</v>
      </c>
      <c r="D25" s="2587" t="str">
        <f>IF(F25&lt;=1,"(建造成本+管理费用)×利率×(建设周期÷2)","(建造成本+管理费用)×((1+利率)^(建设周期÷2)-1)")</f>
        <v>(建造成本+管理费用)×((1+利率)^(建设周期÷2)-1)</v>
      </c>
      <c r="E25" s="781" t="s">
        <v>679</v>
      </c>
      <c r="F25" s="637">
        <f>'数据-取费表'!B20</f>
        <v>3</v>
      </c>
      <c r="G25" s="1585"/>
      <c r="H25" s="800" t="s">
        <v>1877</v>
      </c>
      <c r="I25" s="781" t="s">
        <v>680</v>
      </c>
      <c r="J25" s="53">
        <f ca="1">ROUND(J15*M25,0)</f>
        <v>0</v>
      </c>
      <c r="K25" s="1969" t="s">
        <v>681</v>
      </c>
      <c r="L25" s="781" t="s">
        <v>650</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1848</v>
      </c>
      <c r="B26" s="781" t="s">
        <v>682</v>
      </c>
      <c r="C26" s="53">
        <f ca="1">ROUND(IF('数据-取费表'!B22&lt;=1,F23*F26*F25/2,F23*(POWER((1+F26),F25/2)-1)),4)</f>
        <v>2.2000000000000001E-3</v>
      </c>
      <c r="D26" s="2587"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69" t="s">
        <v>684</v>
      </c>
      <c r="L26" s="781" t="s">
        <v>650</v>
      </c>
      <c r="M26" s="791">
        <f ca="1">INDIRECT("'数据-取费表'!Am"&amp;$G$1)</f>
        <v>0</v>
      </c>
      <c r="N26" s="2055"/>
      <c r="O26" s="2055"/>
      <c r="P26" s="2055"/>
      <c r="Q26" s="2055"/>
      <c r="R26" s="2055"/>
      <c r="S26" s="2055"/>
      <c r="T26" s="2055"/>
      <c r="U26" s="2055"/>
      <c r="V26" s="2055"/>
      <c r="W26" s="2055"/>
      <c r="X26" s="2055"/>
      <c r="Y26" s="2055"/>
    </row>
    <row r="27" spans="1:25" ht="18" customHeight="1">
      <c r="A27" s="800" t="s">
        <v>1880</v>
      </c>
      <c r="B27" s="781" t="s">
        <v>685</v>
      </c>
      <c r="C27" s="53"/>
      <c r="D27" s="259" t="s">
        <v>686</v>
      </c>
      <c r="E27" s="1974"/>
      <c r="F27" s="56"/>
      <c r="G27" s="1584"/>
      <c r="H27" s="794" t="s">
        <v>1827</v>
      </c>
      <c r="I27" s="3027" t="s">
        <v>2826</v>
      </c>
      <c r="J27" s="796">
        <f ca="1">J7-J18</f>
        <v>-1170</v>
      </c>
      <c r="K27" s="1971" t="s">
        <v>701</v>
      </c>
      <c r="L27" s="1973"/>
      <c r="M27" s="817"/>
    </row>
    <row r="28" spans="1:25" ht="18" customHeight="1">
      <c r="A28" s="800" t="s">
        <v>1874</v>
      </c>
      <c r="B28" s="781" t="s">
        <v>2440</v>
      </c>
      <c r="C28" s="53">
        <f ca="1">ROUND((C21+C22)*F28,0)</f>
        <v>18835</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6.0000000000000001E-3</v>
      </c>
      <c r="D29" s="809" t="s">
        <v>707</v>
      </c>
      <c r="E29" s="803"/>
      <c r="F29" s="804"/>
      <c r="G29" s="1584"/>
      <c r="H29" s="783"/>
      <c r="I29" s="784"/>
      <c r="J29" s="785"/>
      <c r="K29" s="818" t="s">
        <v>708</v>
      </c>
      <c r="L29" s="781" t="s">
        <v>709</v>
      </c>
      <c r="M29" s="819">
        <f ca="1">INDIRECT("'数据-取费表'!ag"&amp;$G$1)</f>
        <v>0</v>
      </c>
    </row>
    <row r="30" spans="1:25" s="2056"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1882</v>
      </c>
      <c r="B31" s="2557" t="s">
        <v>2827</v>
      </c>
      <c r="C31" s="2560">
        <f ca="1">ROUND((C21+C22+C25+C28)/(1-F23-C26-C29-C30),0)</f>
        <v>131865</v>
      </c>
      <c r="D31" s="2561"/>
      <c r="E31" s="2562"/>
      <c r="F31" s="2563"/>
      <c r="G31" s="1585"/>
      <c r="H31" s="820" t="s">
        <v>1871</v>
      </c>
      <c r="I31" s="3028" t="s">
        <v>2828</v>
      </c>
      <c r="J31" s="822">
        <f ca="1">ROUND(J28/(1+F45)^F46,0)</f>
        <v>0</v>
      </c>
      <c r="K31" s="823" t="s">
        <v>689</v>
      </c>
      <c r="L31" s="824"/>
      <c r="M31" s="825">
        <f ca="1">INDIRECT("'数据-取费表'!k"&amp;$G$1)</f>
        <v>273359</v>
      </c>
      <c r="N31" s="2055"/>
      <c r="O31" s="2055"/>
      <c r="P31" s="2055"/>
      <c r="Q31" s="2055"/>
      <c r="R31" s="2055"/>
      <c r="S31" s="2055"/>
      <c r="T31" s="2055"/>
      <c r="U31" s="2055"/>
      <c r="V31" s="2055"/>
      <c r="W31" s="2055"/>
      <c r="X31" s="2055"/>
      <c r="Y31" s="2055"/>
    </row>
    <row r="32" spans="1:25" ht="18" customHeight="1" thickTop="1">
      <c r="A32" s="1822" t="s">
        <v>7</v>
      </c>
      <c r="B32" s="1820" t="s">
        <v>690</v>
      </c>
      <c r="C32" s="789">
        <f ca="1">ROUND(C33+C38+C39+C40,0)</f>
        <v>1170</v>
      </c>
      <c r="D32" s="1814" t="s">
        <v>653</v>
      </c>
      <c r="E32" s="2503"/>
      <c r="F32" s="2507"/>
      <c r="G32" s="2054"/>
      <c r="H32" s="2057"/>
      <c r="I32" s="2058"/>
      <c r="J32" s="2059"/>
      <c r="K32" s="2060"/>
      <c r="L32" s="2061"/>
      <c r="M32" s="2062"/>
    </row>
    <row r="33" spans="1:18" ht="18" customHeight="1">
      <c r="A33" s="800" t="s">
        <v>1875</v>
      </c>
      <c r="B33" s="781" t="s">
        <v>657</v>
      </c>
      <c r="C33" s="53">
        <f ca="1">ROUND(IF(项目基本情况!B11="自然人",C7*F33,C34+C35+C36),1)</f>
        <v>1169.8</v>
      </c>
      <c r="D33" s="1971" t="s">
        <v>658</v>
      </c>
      <c r="E33" s="1969" t="s">
        <v>691</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1874</v>
      </c>
      <c r="B34" s="781" t="s">
        <v>661</v>
      </c>
      <c r="C34" s="53">
        <f ca="1">ROUND(C7*F34/1.05,1)</f>
        <v>0</v>
      </c>
      <c r="D34" s="1969" t="s">
        <v>662</v>
      </c>
      <c r="E34" s="781" t="s">
        <v>650</v>
      </c>
      <c r="F34" s="806">
        <f>'数据-取费表'!B41</f>
        <v>5.6000000000000001E-2</v>
      </c>
      <c r="G34" s="2054"/>
      <c r="H34" s="2063"/>
      <c r="I34" s="2064"/>
      <c r="J34" s="2065"/>
      <c r="K34" s="2066"/>
      <c r="L34" s="2067"/>
      <c r="M34" s="2068"/>
    </row>
    <row r="35" spans="1:18" ht="18" customHeight="1">
      <c r="A35" s="800" t="s">
        <v>1848</v>
      </c>
      <c r="B35" s="781" t="s">
        <v>665</v>
      </c>
      <c r="C35" s="53">
        <f ca="1">IF(D35="按租金收入计税",ROUND(C7*F35,1),IF(D35="按房产原值计税",ROUND(C31*F35*0.7,1),INDIRECT("'数据-取费表'!Aj"&amp;$G$1)))</f>
        <v>1107.7</v>
      </c>
      <c r="D35" s="808" t="s">
        <v>1681</v>
      </c>
      <c r="E35" s="781" t="s">
        <v>650</v>
      </c>
      <c r="F35" s="806">
        <f>IF(D35="按租金收入计税",'数据-取费表'!B51,'数据-取费表'!B50)</f>
        <v>1.2E-2</v>
      </c>
      <c r="G35" s="2054"/>
      <c r="H35" s="2069"/>
      <c r="I35" s="2069"/>
      <c r="J35" s="2069"/>
      <c r="K35" s="2070"/>
      <c r="L35" s="2069"/>
      <c r="M35" s="2069"/>
    </row>
    <row r="36" spans="1:18" ht="18" customHeight="1">
      <c r="A36" s="810" t="s">
        <v>1879</v>
      </c>
      <c r="B36" s="339" t="s">
        <v>669</v>
      </c>
      <c r="C36" s="54">
        <f ca="1">ROUND(F36*F37/10000,1)</f>
        <v>62.1</v>
      </c>
      <c r="D36" s="811" t="s">
        <v>670</v>
      </c>
      <c r="E36" s="781" t="s">
        <v>671</v>
      </c>
      <c r="F36" s="637">
        <f>'数据-取费表'!B52</f>
        <v>14</v>
      </c>
      <c r="G36" s="2054"/>
      <c r="H36" s="2057"/>
      <c r="I36" s="3818"/>
      <c r="J36" s="2071"/>
      <c r="K36" s="2072"/>
      <c r="L36" s="2071"/>
      <c r="M36" s="2071"/>
    </row>
    <row r="37" spans="1:18" ht="18" customHeight="1">
      <c r="A37" s="812"/>
      <c r="B37" s="790"/>
      <c r="C37" s="69"/>
      <c r="D37" s="813"/>
      <c r="E37" s="781" t="s">
        <v>675</v>
      </c>
      <c r="F37" s="782">
        <f ca="1">INDIRECT("'数据-取费表'!r"&amp;$G$1)</f>
        <v>44323.45</v>
      </c>
      <c r="G37" s="2054"/>
      <c r="H37" s="2057"/>
      <c r="I37" s="3818"/>
      <c r="J37" s="2069"/>
      <c r="K37" s="2070"/>
      <c r="L37" s="2069"/>
      <c r="M37" s="2069"/>
    </row>
    <row r="38" spans="1:18" ht="18" customHeight="1">
      <c r="A38" s="800" t="s">
        <v>1876</v>
      </c>
      <c r="B38" s="781" t="s">
        <v>677</v>
      </c>
      <c r="C38" s="53">
        <f ca="1">ROUND(C31*F38,1)</f>
        <v>0</v>
      </c>
      <c r="D38" s="1969" t="s">
        <v>692</v>
      </c>
      <c r="E38" s="781" t="s">
        <v>650</v>
      </c>
      <c r="F38" s="814">
        <f ca="1">INDIRECT("'数据-取费表'!Ak"&amp;$G$1)</f>
        <v>0</v>
      </c>
      <c r="G38" s="2054"/>
      <c r="H38" s="2069"/>
      <c r="I38" s="2073"/>
      <c r="J38" s="1980"/>
      <c r="K38" s="2074"/>
      <c r="L38" s="2069"/>
      <c r="M38" s="2069"/>
    </row>
    <row r="39" spans="1:18" ht="18" customHeight="1">
      <c r="A39" s="800" t="s">
        <v>1877</v>
      </c>
      <c r="B39" s="781" t="s">
        <v>680</v>
      </c>
      <c r="C39" s="53">
        <f ca="1">ROUND(C15*F39,1)</f>
        <v>0</v>
      </c>
      <c r="D39" s="1969" t="s">
        <v>681</v>
      </c>
      <c r="E39" s="781" t="s">
        <v>650</v>
      </c>
      <c r="F39" s="815">
        <f ca="1">INDIRECT("'数据-取费表'!Al"&amp;$G$1)</f>
        <v>0</v>
      </c>
      <c r="G39" s="2054"/>
      <c r="H39" s="2069"/>
      <c r="I39" s="2073"/>
      <c r="J39" s="1980"/>
      <c r="K39" s="2074"/>
      <c r="L39" s="2069"/>
      <c r="M39" s="2069"/>
    </row>
    <row r="40" spans="1:18" ht="18" customHeight="1" thickBot="1">
      <c r="A40" s="2576" t="s">
        <v>1878</v>
      </c>
      <c r="B40" s="2562" t="s">
        <v>667</v>
      </c>
      <c r="C40" s="2560">
        <f ca="1">ROUND(C7*F40,1)</f>
        <v>0</v>
      </c>
      <c r="D40" s="2561" t="s">
        <v>684</v>
      </c>
      <c r="E40" s="2562" t="s">
        <v>650</v>
      </c>
      <c r="F40" s="2558">
        <f ca="1">INDIRECT("'数据-取费表'!Am"&amp;$G$1)</f>
        <v>0</v>
      </c>
      <c r="G40" s="2054"/>
      <c r="H40" s="2069"/>
      <c r="I40" s="2073"/>
      <c r="J40" s="1980"/>
      <c r="K40" s="2075"/>
      <c r="L40" s="2069"/>
      <c r="M40" s="2069"/>
    </row>
    <row r="41" spans="1:18" ht="18" customHeight="1" thickTop="1">
      <c r="A41" s="1822">
        <v>4</v>
      </c>
      <c r="B41" s="1820" t="s">
        <v>693</v>
      </c>
      <c r="C41" s="1346"/>
      <c r="D41" s="1347"/>
      <c r="E41" s="1347"/>
      <c r="F41" s="1348"/>
      <c r="G41" s="2054"/>
      <c r="H41" s="2054"/>
      <c r="I41" s="2054"/>
      <c r="J41" s="2054"/>
      <c r="K41" s="2075"/>
      <c r="L41" s="2054"/>
      <c r="M41" s="2054"/>
    </row>
    <row r="42" spans="1:18" ht="18" customHeight="1">
      <c r="A42" s="800" t="s">
        <v>1875</v>
      </c>
      <c r="B42" s="832" t="s">
        <v>694</v>
      </c>
      <c r="C42" s="826">
        <f ca="1">C7-C32</f>
        <v>-1170</v>
      </c>
      <c r="D42" s="1971" t="s">
        <v>695</v>
      </c>
      <c r="E42" s="1973"/>
      <c r="F42" s="817"/>
      <c r="G42" s="2054"/>
      <c r="H42" s="2054"/>
      <c r="I42" s="2054"/>
      <c r="J42" s="2054"/>
      <c r="K42" s="2075"/>
      <c r="L42" s="2054"/>
      <c r="M42" s="2054"/>
    </row>
    <row r="43" spans="1:18" ht="18" customHeight="1">
      <c r="A43" s="800" t="s">
        <v>1876</v>
      </c>
      <c r="B43" s="832" t="s">
        <v>712</v>
      </c>
      <c r="C43" s="833">
        <f ca="1">ROUND(C15*F43,0)</f>
        <v>11209</v>
      </c>
      <c r="D43" s="1349" t="s">
        <v>713</v>
      </c>
      <c r="E43" s="3141" t="s">
        <v>2965</v>
      </c>
      <c r="F43" s="3142">
        <f ca="1">INDIRECT("'数据-取费表'!j"&amp;$G$1)</f>
        <v>8.5000000000000006E-2</v>
      </c>
      <c r="G43" s="2054"/>
      <c r="H43" s="2054"/>
      <c r="I43" s="2054"/>
      <c r="J43" s="2054"/>
      <c r="K43" s="2075"/>
      <c r="L43" s="2054"/>
      <c r="M43" s="2054"/>
    </row>
    <row r="44" spans="1:18" ht="18" customHeight="1">
      <c r="A44" s="800" t="s">
        <v>1877</v>
      </c>
      <c r="B44" s="832" t="s">
        <v>714</v>
      </c>
      <c r="C44" s="1350">
        <f ca="1">C42-C43</f>
        <v>-12379</v>
      </c>
      <c r="D44" s="461" t="s">
        <v>715</v>
      </c>
      <c r="E44" s="462"/>
      <c r="F44" s="463"/>
      <c r="G44" s="2054"/>
      <c r="H44" s="2054"/>
      <c r="I44" s="2054"/>
      <c r="J44" s="2054"/>
      <c r="K44" s="2075"/>
      <c r="L44" s="2054"/>
      <c r="M44" s="2054"/>
    </row>
    <row r="45" spans="1:18" ht="18" customHeight="1">
      <c r="A45" s="800" t="s">
        <v>1878</v>
      </c>
      <c r="B45" s="1349" t="s">
        <v>716</v>
      </c>
      <c r="C45" s="3053">
        <f ca="1">ROUND(-PV(F45,F46,C44,0),0)</f>
        <v>0</v>
      </c>
      <c r="D45" s="1351" t="s">
        <v>717</v>
      </c>
      <c r="E45" s="803" t="s">
        <v>718</v>
      </c>
      <c r="F45" s="827">
        <f ca="1">INDIRECT("'数据-取费表'!h"&amp;$G$1)</f>
        <v>0.05</v>
      </c>
      <c r="G45" s="2054"/>
      <c r="H45" s="2054"/>
      <c r="I45" s="2054"/>
      <c r="J45" s="2054"/>
      <c r="K45" s="2075"/>
      <c r="L45" s="2054"/>
      <c r="M45" s="2054"/>
    </row>
    <row r="46" spans="1:18" ht="18" customHeight="1" thickBot="1">
      <c r="A46" s="828"/>
      <c r="B46" s="1352"/>
      <c r="C46" s="1353"/>
      <c r="D46" s="1354"/>
      <c r="E46" s="3143" t="s">
        <v>2968</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2344</v>
      </c>
      <c r="J47" s="2371"/>
      <c r="K47" s="2372"/>
      <c r="L47" s="2373" t="e">
        <f ca="1">IF(M48="住宅",0,IF(L49&gt;J52,L61,J61))</f>
        <v>#DIV/0!</v>
      </c>
      <c r="O47" s="2410" t="s">
        <v>2412</v>
      </c>
      <c r="P47" s="1584"/>
      <c r="Q47" s="1596"/>
      <c r="R47" s="1584"/>
    </row>
    <row r="48" spans="1:18" s="2051" customFormat="1" ht="18" customHeight="1" thickBot="1">
      <c r="A48" s="2076"/>
      <c r="C48" s="2079"/>
      <c r="D48" s="2080"/>
      <c r="E48" s="2080"/>
      <c r="F48" s="2081"/>
      <c r="G48" s="2082"/>
      <c r="I48" s="2374" t="s">
        <v>2345</v>
      </c>
      <c r="J48" s="2379"/>
      <c r="K48" s="2380" t="s">
        <v>2351</v>
      </c>
      <c r="L48" s="2381">
        <f ca="1">INDIRECT("'数据-取费表'!d"&amp;$G$1)</f>
        <v>40</v>
      </c>
      <c r="M48" s="3138" t="str">
        <f>IF(ISNUMBER(FIND("住宅",C1)),"住宅","非住宅")</f>
        <v>非住宅</v>
      </c>
      <c r="O48" s="2411" t="s">
        <v>2377</v>
      </c>
      <c r="P48" s="2412" t="s">
        <v>2378</v>
      </c>
      <c r="Q48" s="2413" t="s">
        <v>2379</v>
      </c>
      <c r="R48" s="2412" t="s">
        <v>2380</v>
      </c>
    </row>
    <row r="49" spans="1:18" s="2051" customFormat="1" ht="18" customHeight="1" thickBot="1">
      <c r="A49" s="2076"/>
      <c r="D49" s="2083"/>
      <c r="E49" s="2084"/>
      <c r="F49" s="2081"/>
      <c r="G49" s="2082"/>
      <c r="H49" s="2085"/>
      <c r="I49" s="2375" t="s">
        <v>2346</v>
      </c>
      <c r="J49" s="2382"/>
      <c r="K49" s="2383" t="s">
        <v>2353</v>
      </c>
      <c r="L49" s="2384">
        <f ca="1">INDIRECT("'数据-取费表'!f"&amp;$G$1)</f>
        <v>35.76</v>
      </c>
      <c r="O49" s="2414" t="s">
        <v>2381</v>
      </c>
      <c r="P49" s="2415" t="s">
        <v>2407</v>
      </c>
      <c r="Q49" s="2416">
        <f ca="1">C41+J31</f>
        <v>0</v>
      </c>
      <c r="R49" s="2415" t="s">
        <v>2382</v>
      </c>
    </row>
    <row r="50" spans="1:18" s="2051" customFormat="1" ht="18" customHeight="1" thickBot="1">
      <c r="A50" s="2076"/>
      <c r="D50" s="2086"/>
      <c r="E50" s="2086"/>
      <c r="F50" s="2080"/>
      <c r="G50" s="2087"/>
      <c r="H50" s="2085"/>
      <c r="I50" s="2375" t="s">
        <v>2347</v>
      </c>
      <c r="J50" s="2385"/>
      <c r="K50" s="2386" t="s">
        <v>2354</v>
      </c>
      <c r="L50" s="2387"/>
      <c r="O50" s="2414" t="s">
        <v>2383</v>
      </c>
      <c r="P50" s="2415" t="s">
        <v>2408</v>
      </c>
      <c r="Q50" s="2416" t="str">
        <f ca="1">J61</f>
        <v>0</v>
      </c>
      <c r="R50" s="2415" t="s">
        <v>2384</v>
      </c>
    </row>
    <row r="51" spans="1:18" s="2051" customFormat="1" ht="18" customHeight="1" thickBot="1">
      <c r="A51" s="2088"/>
      <c r="D51" s="2086"/>
      <c r="E51" s="2086"/>
      <c r="F51" s="2077"/>
      <c r="H51" s="2085"/>
      <c r="I51" s="2375" t="s">
        <v>2348</v>
      </c>
      <c r="J51" s="2388">
        <f>SUMPRODUCT((I64:I66=J48)*(J63:L63=J49)*(J64:L66))</f>
        <v>0</v>
      </c>
      <c r="K51" s="2386" t="s">
        <v>2355</v>
      </c>
      <c r="L51" s="2387"/>
      <c r="O51" s="2417" t="s">
        <v>2385</v>
      </c>
      <c r="P51" s="2415" t="s">
        <v>2409</v>
      </c>
      <c r="Q51" s="2416">
        <f ca="1">C31</f>
        <v>131865</v>
      </c>
      <c r="R51" s="2415" t="s">
        <v>2382</v>
      </c>
    </row>
    <row r="52" spans="1:18" s="2051" customFormat="1" ht="18" customHeight="1" thickBot="1">
      <c r="A52" s="2088"/>
      <c r="F52" s="2077"/>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1" customFormat="1" ht="18" customHeight="1" thickBot="1">
      <c r="A53" s="2088"/>
      <c r="F53" s="2077"/>
      <c r="I53" s="2377" t="s">
        <v>2423</v>
      </c>
      <c r="J53" s="2391"/>
      <c r="K53" s="2377" t="s">
        <v>2422</v>
      </c>
      <c r="L53" s="2391"/>
      <c r="O53" s="2417" t="s">
        <v>2388</v>
      </c>
      <c r="P53" s="2415" t="s">
        <v>2389</v>
      </c>
      <c r="Q53" s="2418">
        <f>J53</f>
        <v>0</v>
      </c>
      <c r="R53" s="2419"/>
    </row>
    <row r="54" spans="1:18" s="2051" customFormat="1" ht="43.5" thickBot="1">
      <c r="A54" s="2088"/>
      <c r="I54" s="2378" t="s">
        <v>2350</v>
      </c>
      <c r="J54" s="2392">
        <f ca="1">IF(M48="住宅",J52,IF(J52&gt;L49,L49-'数据-取费表'!B25,J52))</f>
        <v>0</v>
      </c>
      <c r="K54" s="3823"/>
      <c r="L54" s="3824"/>
      <c r="O54" s="2417" t="s">
        <v>2390</v>
      </c>
      <c r="P54" s="2415" t="s">
        <v>2391</v>
      </c>
      <c r="Q54" s="2416">
        <f ca="1">J54</f>
        <v>0</v>
      </c>
      <c r="R54" s="2415" t="s">
        <v>2392</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2393</v>
      </c>
      <c r="P55" s="2415" t="s">
        <v>2410</v>
      </c>
      <c r="Q55" s="2416">
        <f ca="1">Q49+Q50</f>
        <v>0</v>
      </c>
      <c r="R55" s="2419" t="s">
        <v>2394</v>
      </c>
    </row>
    <row r="56" spans="1:18" s="2051" customFormat="1" ht="16.5" thickBot="1">
      <c r="A56" s="2088"/>
      <c r="B56" s="2089"/>
      <c r="C56" s="2089"/>
      <c r="I56" s="3115" t="s">
        <v>2357</v>
      </c>
      <c r="J56" s="3139" t="e">
        <f ca="1">ROUND(IF(J48="钢混",J58/J51,1-(1-2%)*(J51-J58)/J51),3)</f>
        <v>#VALUE!</v>
      </c>
      <c r="K56" s="2393" t="s">
        <v>2358</v>
      </c>
      <c r="L56" s="2394"/>
      <c r="O56" s="2420" t="s">
        <v>2413</v>
      </c>
      <c r="P56" s="1584"/>
      <c r="Q56" s="1596"/>
      <c r="R56" s="1584"/>
    </row>
    <row r="57" spans="1:18" s="2051" customFormat="1" ht="43.5" thickBot="1">
      <c r="A57" s="2088"/>
      <c r="B57" s="2089"/>
      <c r="C57" s="2089"/>
      <c r="I57" s="2395" t="s">
        <v>2359</v>
      </c>
      <c r="J57" s="3138" t="s">
        <v>1679</v>
      </c>
      <c r="K57" s="2375" t="s">
        <v>2364</v>
      </c>
      <c r="L57" s="2384">
        <f ca="1">IF(L49&lt;J52,"——",L49-J52)</f>
        <v>35.76</v>
      </c>
      <c r="O57" s="2411" t="s">
        <v>2377</v>
      </c>
      <c r="P57" s="2412" t="s">
        <v>2378</v>
      </c>
      <c r="Q57" s="2413" t="s">
        <v>2379</v>
      </c>
      <c r="R57" s="2412" t="s">
        <v>2380</v>
      </c>
    </row>
    <row r="58" spans="1:18" s="2051" customFormat="1" ht="29.25" thickBot="1">
      <c r="A58" s="2088"/>
      <c r="B58" s="2089"/>
      <c r="C58" s="2089"/>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1" customFormat="1" ht="29.25" thickBot="1">
      <c r="A59" s="2088"/>
      <c r="B59" s="2089"/>
      <c r="C59" s="2089"/>
      <c r="I59" s="2396" t="s">
        <v>2361</v>
      </c>
      <c r="J59" s="3140"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1" customFormat="1" ht="29.25" thickBot="1">
      <c r="A60" s="2088"/>
      <c r="B60" s="2089"/>
      <c r="C60" s="2089"/>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1" customFormat="1" ht="15.75" thickBot="1">
      <c r="A61" s="2088"/>
      <c r="B61" s="2089"/>
      <c r="C61" s="2089"/>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1" customFormat="1" ht="20.25" thickBot="1">
      <c r="A62" s="2088"/>
      <c r="B62" s="2089"/>
      <c r="C62" s="2089"/>
      <c r="K62" s="2078"/>
      <c r="O62" s="2417" t="s">
        <v>2388</v>
      </c>
      <c r="P62" s="2415" t="s">
        <v>2396</v>
      </c>
      <c r="Q62" s="2416">
        <f ca="1">L59</f>
        <v>0</v>
      </c>
      <c r="R62" s="2419" t="s">
        <v>2397</v>
      </c>
    </row>
    <row r="63" spans="1:18" s="2051" customFormat="1" ht="20.25" thickBot="1">
      <c r="A63" s="2088"/>
      <c r="B63" s="2089"/>
      <c r="C63" s="2089"/>
      <c r="I63" s="2401" t="s">
        <v>2369</v>
      </c>
      <c r="J63" s="2402" t="s">
        <v>2370</v>
      </c>
      <c r="K63" s="2402" t="s">
        <v>2371</v>
      </c>
      <c r="L63" s="2402" t="s">
        <v>2352</v>
      </c>
      <c r="M63" s="3117" t="s">
        <v>2944</v>
      </c>
      <c r="O63" s="2417" t="s">
        <v>2390</v>
      </c>
      <c r="P63" s="2415" t="s">
        <v>2398</v>
      </c>
      <c r="Q63" s="2416">
        <f ca="1">L60</f>
        <v>0</v>
      </c>
      <c r="R63" s="2419" t="s">
        <v>2399</v>
      </c>
    </row>
    <row r="64" spans="1:18" s="2051" customFormat="1" ht="15.75" thickBot="1">
      <c r="A64" s="2088"/>
      <c r="B64" s="2089"/>
      <c r="C64" s="2089"/>
      <c r="I64" s="2401" t="s">
        <v>2372</v>
      </c>
      <c r="J64" s="2402">
        <v>70</v>
      </c>
      <c r="K64" s="2402">
        <v>50</v>
      </c>
      <c r="L64" s="2402">
        <v>80</v>
      </c>
      <c r="M64" s="3118">
        <v>0.02</v>
      </c>
      <c r="O64" s="2414" t="s">
        <v>2393</v>
      </c>
      <c r="P64" s="2415" t="s">
        <v>2410</v>
      </c>
      <c r="Q64" s="2416" t="e">
        <f ca="1">Q58+Q59</f>
        <v>#DIV/0!</v>
      </c>
      <c r="R64" s="2419" t="s">
        <v>2394</v>
      </c>
    </row>
    <row r="65" spans="1:18" s="2051" customFormat="1" ht="16.5" thickBot="1">
      <c r="A65" s="2088"/>
      <c r="B65" s="2089"/>
      <c r="C65" s="2089"/>
      <c r="I65" s="2401" t="s">
        <v>2373</v>
      </c>
      <c r="J65" s="2402">
        <v>50</v>
      </c>
      <c r="K65" s="2402">
        <v>35</v>
      </c>
      <c r="L65" s="2402">
        <v>60</v>
      </c>
      <c r="M65" s="3119">
        <v>0</v>
      </c>
      <c r="O65" s="2420" t="s">
        <v>2417</v>
      </c>
      <c r="P65" s="1584"/>
      <c r="Q65" s="1596"/>
      <c r="R65" s="1584"/>
    </row>
    <row r="66" spans="1:18" s="2051" customFormat="1" ht="15.75" thickBot="1">
      <c r="A66" s="2088"/>
      <c r="B66" s="2089"/>
      <c r="C66" s="2089"/>
      <c r="I66" s="2401" t="s">
        <v>2374</v>
      </c>
      <c r="J66" s="2402">
        <v>40</v>
      </c>
      <c r="K66" s="2402">
        <v>30</v>
      </c>
      <c r="L66" s="2402">
        <v>50</v>
      </c>
      <c r="M66" s="3118">
        <v>0.02</v>
      </c>
      <c r="O66" s="2411" t="s">
        <v>2377</v>
      </c>
      <c r="P66" s="2412" t="s">
        <v>2378</v>
      </c>
      <c r="Q66" s="2413" t="s">
        <v>2379</v>
      </c>
      <c r="R66" s="2412" t="s">
        <v>2380</v>
      </c>
    </row>
    <row r="67" spans="1:18" s="2051" customFormat="1" ht="15.75" thickBot="1">
      <c r="A67" s="2088"/>
      <c r="B67" s="2089"/>
      <c r="C67" s="2089"/>
      <c r="K67" s="2078"/>
      <c r="O67" s="2414" t="s">
        <v>2381</v>
      </c>
      <c r="P67" s="2415" t="s">
        <v>2407</v>
      </c>
      <c r="Q67" s="2416">
        <f ca="1">C41+J31</f>
        <v>0</v>
      </c>
      <c r="R67" s="2415" t="s">
        <v>2382</v>
      </c>
    </row>
    <row r="68" spans="1:18" s="2051" customFormat="1" ht="20.25" thickBot="1">
      <c r="A68" s="2088"/>
      <c r="B68" s="2089"/>
      <c r="C68" s="2089"/>
      <c r="K68" s="2078"/>
      <c r="O68" s="2414" t="s">
        <v>2383</v>
      </c>
      <c r="P68" s="2415" t="s">
        <v>2414</v>
      </c>
      <c r="Q68" s="2416" t="e">
        <f ca="1">L61</f>
        <v>#DIV/0!</v>
      </c>
      <c r="R68" s="2419" t="s">
        <v>2416</v>
      </c>
    </row>
    <row r="69" spans="1:18" s="2051" customFormat="1" ht="21.75" thickBot="1">
      <c r="A69" s="2088"/>
      <c r="B69" s="2089"/>
      <c r="C69" s="2089"/>
      <c r="K69" s="2078"/>
      <c r="O69" s="2417" t="s">
        <v>2385</v>
      </c>
      <c r="P69" s="2415" t="s">
        <v>2415</v>
      </c>
      <c r="Q69" s="2421">
        <f ca="1">L52</f>
        <v>0</v>
      </c>
      <c r="R69" s="2422" t="s">
        <v>2418</v>
      </c>
    </row>
    <row r="70" spans="1:18" s="2051" customFormat="1" ht="20.25" thickBot="1">
      <c r="A70" s="2088"/>
      <c r="B70" s="2089"/>
      <c r="C70" s="2089"/>
      <c r="K70" s="2078"/>
      <c r="O70" s="2417" t="s">
        <v>2386</v>
      </c>
      <c r="P70" s="2423" t="s">
        <v>2400</v>
      </c>
      <c r="Q70" s="2416">
        <f ca="1">ROUND(Q71-Q72*Q73,0)</f>
        <v>-12379</v>
      </c>
      <c r="R70" s="2419"/>
    </row>
    <row r="71" spans="1:18" s="2051" customFormat="1" ht="15.75" thickBot="1">
      <c r="A71" s="2088"/>
      <c r="B71" s="2089"/>
      <c r="C71" s="2089"/>
      <c r="K71" s="2078"/>
      <c r="O71" s="2417" t="s">
        <v>2401</v>
      </c>
      <c r="P71" s="2423" t="s">
        <v>2402</v>
      </c>
      <c r="Q71" s="2416">
        <f ca="1">C42</f>
        <v>-1170</v>
      </c>
      <c r="R71" s="2415" t="s">
        <v>2382</v>
      </c>
    </row>
    <row r="72" spans="1:18" s="2051" customFormat="1" ht="15.75" thickBot="1">
      <c r="A72" s="2088"/>
      <c r="B72" s="2089"/>
      <c r="C72" s="2089"/>
      <c r="K72" s="2078"/>
      <c r="O72" s="2417" t="s">
        <v>2403</v>
      </c>
      <c r="P72" s="2423" t="s">
        <v>2404</v>
      </c>
      <c r="Q72" s="2416">
        <f ca="1">C15</f>
        <v>131865</v>
      </c>
      <c r="R72" s="2415" t="s">
        <v>2382</v>
      </c>
    </row>
    <row r="73" spans="1:18" s="2051" customFormat="1" ht="15.75" thickBot="1">
      <c r="A73" s="2088"/>
      <c r="B73" s="2089"/>
      <c r="C73" s="2089"/>
      <c r="K73" s="2078"/>
      <c r="O73" s="2417" t="s">
        <v>2405</v>
      </c>
      <c r="P73" s="2423" t="s">
        <v>2406</v>
      </c>
      <c r="Q73" s="2418">
        <f ca="1">F43</f>
        <v>8.5000000000000006E-2</v>
      </c>
      <c r="R73" s="2419"/>
    </row>
    <row r="74" spans="1:18" s="2051" customFormat="1" ht="15.75" thickBot="1">
      <c r="A74" s="2088"/>
      <c r="B74" s="2089"/>
      <c r="C74" s="2089"/>
      <c r="K74" s="2078"/>
      <c r="O74" s="2417" t="s">
        <v>2388</v>
      </c>
      <c r="P74" s="2415" t="s">
        <v>2395</v>
      </c>
      <c r="Q74" s="2418">
        <f>L53</f>
        <v>0</v>
      </c>
      <c r="R74" s="2419"/>
    </row>
    <row r="75" spans="1:18" s="2051" customFormat="1" ht="20.25" thickBot="1">
      <c r="A75" s="2088"/>
      <c r="B75" s="2089"/>
      <c r="C75" s="2089"/>
      <c r="K75" s="2078"/>
      <c r="O75" s="2417" t="s">
        <v>2390</v>
      </c>
      <c r="P75" s="2415" t="s">
        <v>2396</v>
      </c>
      <c r="Q75" s="2416">
        <f ca="1">L59</f>
        <v>0</v>
      </c>
      <c r="R75" s="2419" t="s">
        <v>2397</v>
      </c>
    </row>
    <row r="76" spans="1:18" s="2051" customFormat="1" ht="20.25" thickBot="1">
      <c r="A76" s="2088"/>
      <c r="B76" s="2089"/>
      <c r="C76" s="2089"/>
      <c r="K76" s="2078"/>
      <c r="O76" s="2417" t="s">
        <v>2419</v>
      </c>
      <c r="P76" s="2415" t="s">
        <v>2398</v>
      </c>
      <c r="Q76" s="2416">
        <f ca="1">L60</f>
        <v>0</v>
      </c>
      <c r="R76" s="2419" t="s">
        <v>2399</v>
      </c>
    </row>
    <row r="77" spans="1:18" s="2051" customFormat="1" ht="15.75" thickBot="1">
      <c r="A77" s="2088"/>
      <c r="B77" s="2089"/>
      <c r="C77" s="2089"/>
      <c r="K77" s="2078"/>
      <c r="O77" s="2414" t="s">
        <v>2393</v>
      </c>
      <c r="P77" s="2415" t="s">
        <v>2410</v>
      </c>
      <c r="Q77" s="2416" t="e">
        <f ca="1">Q67+Q68</f>
        <v>#DIV/0!</v>
      </c>
      <c r="R77" s="2419" t="s">
        <v>2394</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827" t="s">
        <v>2580</v>
      </c>
      <c r="C1" s="3827"/>
      <c r="D1" s="3827"/>
      <c r="E1" s="3827"/>
      <c r="F1" s="3827"/>
      <c r="G1" s="3826" t="s">
        <v>2581</v>
      </c>
      <c r="H1" s="3826"/>
      <c r="I1" s="3826"/>
      <c r="J1" s="3826"/>
      <c r="K1" s="3826"/>
      <c r="L1" s="3826"/>
      <c r="N1" s="3826" t="s">
        <v>2582</v>
      </c>
      <c r="O1" s="3826"/>
      <c r="P1" s="3826"/>
      <c r="Q1" s="3826"/>
      <c r="R1" s="2671"/>
      <c r="S1" s="3826" t="s">
        <v>2583</v>
      </c>
      <c r="T1" s="3826"/>
      <c r="U1" s="3826"/>
      <c r="V1" s="3826"/>
      <c r="X1" s="3825" t="s">
        <v>2643</v>
      </c>
      <c r="Y1" s="3826"/>
      <c r="Z1" s="3826"/>
      <c r="AA1" s="3826"/>
      <c r="AB1" s="3826"/>
      <c r="AD1" s="3825" t="s">
        <v>2647</v>
      </c>
      <c r="AE1" s="3826"/>
      <c r="AF1" s="3826"/>
      <c r="AG1" s="3826"/>
      <c r="AH1" s="3826"/>
    </row>
    <row r="2" spans="1:34" s="2773" customFormat="1" ht="14.25" thickBot="1">
      <c r="B2" s="2781" t="s">
        <v>2584</v>
      </c>
      <c r="C2" s="2781" t="s">
        <v>2645</v>
      </c>
      <c r="D2" s="2774" t="s">
        <v>1645</v>
      </c>
      <c r="E2" s="2774" t="s">
        <v>1950</v>
      </c>
      <c r="F2" s="2781" t="s">
        <v>2646</v>
      </c>
      <c r="G2" s="2777"/>
      <c r="H2" s="2776"/>
      <c r="I2" s="2781" t="s">
        <v>2959</v>
      </c>
      <c r="J2" s="2774" t="s">
        <v>2961</v>
      </c>
      <c r="K2" s="2774" t="s">
        <v>2962</v>
      </c>
      <c r="L2" s="2781" t="s">
        <v>2963</v>
      </c>
      <c r="N2" s="2781" t="s">
        <v>2584</v>
      </c>
      <c r="O2" s="2774" t="s">
        <v>2960</v>
      </c>
      <c r="P2" s="2774" t="s">
        <v>1950</v>
      </c>
      <c r="Q2" s="2781" t="s">
        <v>2646</v>
      </c>
      <c r="R2" s="2775"/>
      <c r="S2" s="2781" t="s">
        <v>2584</v>
      </c>
      <c r="T2" s="2774" t="s">
        <v>2960</v>
      </c>
      <c r="U2" s="2774" t="s">
        <v>1950</v>
      </c>
      <c r="V2" s="2781" t="s">
        <v>2646</v>
      </c>
      <c r="X2" s="2781" t="s">
        <v>2584</v>
      </c>
      <c r="Y2" s="2781" t="s">
        <v>2645</v>
      </c>
      <c r="Z2" s="2774" t="s">
        <v>1645</v>
      </c>
      <c r="AA2" s="2774" t="s">
        <v>1950</v>
      </c>
      <c r="AB2" s="2781" t="s">
        <v>2646</v>
      </c>
      <c r="AD2" s="2781" t="s">
        <v>2584</v>
      </c>
      <c r="AE2" s="2781" t="s">
        <v>2645</v>
      </c>
      <c r="AF2" s="2774" t="s">
        <v>1645</v>
      </c>
      <c r="AG2" s="2774" t="s">
        <v>1950</v>
      </c>
      <c r="AH2" s="2781"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6" customFormat="1" ht="14.25">
      <c r="B4" s="2767"/>
      <c r="C4" s="2767"/>
      <c r="D4" s="2768"/>
      <c r="E4" s="2768"/>
      <c r="F4" s="2767"/>
      <c r="G4" s="2772"/>
      <c r="H4" s="2769"/>
      <c r="I4" s="3146"/>
      <c r="J4" s="3146"/>
      <c r="K4" s="3146"/>
      <c r="L4" s="3146"/>
      <c r="N4" s="2772"/>
      <c r="O4" s="2770"/>
      <c r="P4" s="2770"/>
      <c r="Q4" s="2770"/>
      <c r="R4" s="2770"/>
      <c r="S4" s="2772"/>
      <c r="T4" s="2770"/>
      <c r="U4" s="2770"/>
      <c r="V4" s="2770"/>
      <c r="W4" s="3162"/>
      <c r="X4" s="2771"/>
      <c r="Y4" s="2771"/>
      <c r="Z4" s="2771"/>
      <c r="AA4" s="2771"/>
      <c r="AB4" s="2771"/>
      <c r="AD4" s="2691"/>
      <c r="AE4" s="2691"/>
      <c r="AF4" s="2691"/>
      <c r="AG4" s="2691"/>
      <c r="AH4" s="2691"/>
    </row>
    <row r="5" spans="1:34" s="3132" customFormat="1" ht="13.5" thickBot="1">
      <c r="A5" s="3130" t="s">
        <v>2972</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31">
        <v>1</v>
      </c>
      <c r="I5" s="3147">
        <v>0</v>
      </c>
      <c r="J5" s="3147">
        <v>0</v>
      </c>
      <c r="K5" s="3147">
        <v>0</v>
      </c>
      <c r="L5" s="3147">
        <v>0</v>
      </c>
      <c r="N5" s="2779">
        <f t="shared" ref="N5:N10" si="6">I5/100</f>
        <v>0</v>
      </c>
      <c r="O5" s="2779">
        <f t="shared" ref="O5" si="7">J5/100</f>
        <v>0</v>
      </c>
      <c r="P5" s="2779">
        <f t="shared" ref="P5" si="8">K5/100</f>
        <v>0</v>
      </c>
      <c r="Q5" s="2779">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2" t="s">
        <v>2970</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50">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2975</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52"/>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2585</v>
      </c>
      <c r="B8" s="2686">
        <f t="shared" si="19"/>
        <v>419.31181600000002</v>
      </c>
      <c r="C8" s="2686">
        <f t="shared" si="19"/>
        <v>313.95436800000004</v>
      </c>
      <c r="D8" s="2686">
        <f t="shared" si="3"/>
        <v>313.95436800000004</v>
      </c>
      <c r="E8" s="2686">
        <f t="shared" si="20"/>
        <v>596.63028431999999</v>
      </c>
      <c r="F8" s="2686">
        <f t="shared" si="20"/>
        <v>274.74220703999998</v>
      </c>
      <c r="G8" s="3151"/>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2586</v>
      </c>
      <c r="B9" s="2686">
        <f t="shared" si="19"/>
        <v>405.524</v>
      </c>
      <c r="C9" s="2686">
        <f t="shared" si="19"/>
        <v>307.79840000000002</v>
      </c>
      <c r="D9" s="2686">
        <f t="shared" si="3"/>
        <v>307.79840000000002</v>
      </c>
      <c r="E9" s="2686">
        <f t="shared" si="20"/>
        <v>574.67759999999998</v>
      </c>
      <c r="F9" s="2686">
        <f t="shared" si="20"/>
        <v>270.20280000000002</v>
      </c>
      <c r="G9" s="3152"/>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971</v>
      </c>
      <c r="B10" s="2678">
        <v>392</v>
      </c>
      <c r="C10" s="2678">
        <v>302</v>
      </c>
      <c r="D10" s="2678">
        <f t="shared" si="3"/>
        <v>302</v>
      </c>
      <c r="E10" s="2678">
        <v>553</v>
      </c>
      <c r="F10" s="2679">
        <v>266</v>
      </c>
      <c r="G10" s="3834">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970</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829"/>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960</v>
      </c>
      <c r="B12" s="2686">
        <f t="shared" si="28"/>
        <v>360.06949782209392</v>
      </c>
      <c r="C12" s="2686">
        <f t="shared" si="28"/>
        <v>289.84672674747821</v>
      </c>
      <c r="D12" s="2686">
        <f t="shared" si="29"/>
        <v>289.84672674747821</v>
      </c>
      <c r="E12" s="2686">
        <f t="shared" si="30"/>
        <v>501.06543001181495</v>
      </c>
      <c r="F12" s="2686">
        <f t="shared" si="30"/>
        <v>256.82882500744967</v>
      </c>
      <c r="G12" s="3829"/>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969</v>
      </c>
      <c r="B13" s="2686">
        <f t="shared" si="28"/>
        <v>346.720748986128</v>
      </c>
      <c r="C13" s="2686">
        <f t="shared" si="28"/>
        <v>284.30282172386285</v>
      </c>
      <c r="D13" s="2686">
        <f t="shared" si="29"/>
        <v>284.30282172386285</v>
      </c>
      <c r="E13" s="2686">
        <f t="shared" si="30"/>
        <v>479.58023546306947</v>
      </c>
      <c r="F13" s="2686">
        <f t="shared" si="30"/>
        <v>253.25788877571213</v>
      </c>
      <c r="G13" s="3830"/>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968</v>
      </c>
      <c r="B14" s="2678">
        <v>333</v>
      </c>
      <c r="C14" s="2678">
        <v>277</v>
      </c>
      <c r="D14" s="2678">
        <f t="shared" si="29"/>
        <v>277</v>
      </c>
      <c r="E14" s="2678">
        <v>459</v>
      </c>
      <c r="F14" s="2679">
        <v>249</v>
      </c>
      <c r="G14" s="3828">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967</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829"/>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966</v>
      </c>
      <c r="B16" s="2686">
        <f t="shared" si="32"/>
        <v>322.34053690220776</v>
      </c>
      <c r="C16" s="2686">
        <f t="shared" si="32"/>
        <v>271.46160770422546</v>
      </c>
      <c r="D16" s="2686">
        <f t="shared" si="29"/>
        <v>271.46160770422546</v>
      </c>
      <c r="E16" s="2686">
        <f t="shared" si="33"/>
        <v>442.69434542172456</v>
      </c>
      <c r="F16" s="2686">
        <f t="shared" si="33"/>
        <v>241.34030753190925</v>
      </c>
      <c r="G16" s="3829"/>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965</v>
      </c>
      <c r="B17" s="2686">
        <f t="shared" si="32"/>
        <v>319.87748030386797</v>
      </c>
      <c r="C17" s="2686">
        <f t="shared" si="32"/>
        <v>269.60135833173649</v>
      </c>
      <c r="D17" s="2686">
        <f t="shared" si="29"/>
        <v>269.60135833173649</v>
      </c>
      <c r="E17" s="2686">
        <f t="shared" si="33"/>
        <v>439.18089823583784</v>
      </c>
      <c r="F17" s="2686">
        <f t="shared" si="33"/>
        <v>239.23503918706311</v>
      </c>
      <c r="G17" s="3830"/>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964</v>
      </c>
      <c r="B18" s="2700">
        <v>318</v>
      </c>
      <c r="C18" s="2700">
        <v>268</v>
      </c>
      <c r="D18" s="2700">
        <f t="shared" si="29"/>
        <v>268</v>
      </c>
      <c r="E18" s="2700">
        <v>437</v>
      </c>
      <c r="F18" s="2701">
        <v>237</v>
      </c>
      <c r="G18" s="3828">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963</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829"/>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962</v>
      </c>
      <c r="B20" s="2686">
        <f t="shared" si="34"/>
        <v>314.72141172386546</v>
      </c>
      <c r="C20" s="2686">
        <f t="shared" si="34"/>
        <v>263.03901319069001</v>
      </c>
      <c r="D20" s="2686">
        <f t="shared" si="29"/>
        <v>263.03901319069001</v>
      </c>
      <c r="E20" s="2686">
        <f t="shared" si="35"/>
        <v>433.65745506782821</v>
      </c>
      <c r="F20" s="2686">
        <f t="shared" si="35"/>
        <v>233.23005080045735</v>
      </c>
      <c r="G20" s="3829"/>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961</v>
      </c>
      <c r="B21" s="2705">
        <f t="shared" si="34"/>
        <v>307.34512863658733</v>
      </c>
      <c r="C21" s="2705">
        <f t="shared" si="34"/>
        <v>257.80556031626975</v>
      </c>
      <c r="D21" s="2705">
        <f t="shared" si="29"/>
        <v>257.80556031626975</v>
      </c>
      <c r="E21" s="2705">
        <f t="shared" si="35"/>
        <v>422.70928459677179</v>
      </c>
      <c r="F21" s="2705">
        <f t="shared" si="35"/>
        <v>229.73803270336617</v>
      </c>
      <c r="G21" s="3830"/>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2644</v>
      </c>
      <c r="X21" s="2782">
        <v>1</v>
      </c>
      <c r="Y21" s="2782">
        <v>1</v>
      </c>
      <c r="Z21" s="2782">
        <v>1</v>
      </c>
      <c r="AA21" s="2782">
        <v>1</v>
      </c>
      <c r="AB21" s="2782">
        <v>1</v>
      </c>
      <c r="AD21" s="3025">
        <f>I21/100</f>
        <v>2.9700000000000001E-2</v>
      </c>
      <c r="AE21" s="3025">
        <f>J21/100</f>
        <v>2.3399999999999997E-2</v>
      </c>
      <c r="AF21" s="3025">
        <f>AE21</f>
        <v>2.3399999999999997E-2</v>
      </c>
      <c r="AG21" s="3025">
        <f>K21/100</f>
        <v>3.2799999999999996E-2</v>
      </c>
      <c r="AH21" s="3025">
        <f>L21/100</f>
        <v>1.3600000000000001E-2</v>
      </c>
    </row>
    <row r="22" spans="1:34" ht="13.5" thickBot="1">
      <c r="A22" s="2672" t="s">
        <v>2587</v>
      </c>
      <c r="B22" s="2678">
        <v>299</v>
      </c>
      <c r="C22" s="2678">
        <v>252</v>
      </c>
      <c r="D22" s="2678">
        <f t="shared" si="29"/>
        <v>252</v>
      </c>
      <c r="E22" s="2678">
        <v>409</v>
      </c>
      <c r="F22" s="2679">
        <v>227</v>
      </c>
      <c r="G22" s="3831">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2588</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832"/>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2589</v>
      </c>
      <c r="B24" s="2686">
        <f t="shared" si="38"/>
        <v>288.2649053828776</v>
      </c>
      <c r="C24" s="2686">
        <f t="shared" si="38"/>
        <v>243.64564425013293</v>
      </c>
      <c r="D24" s="2686">
        <f t="shared" si="29"/>
        <v>243.64564425013293</v>
      </c>
      <c r="E24" s="2686">
        <f t="shared" si="39"/>
        <v>393.31080825986544</v>
      </c>
      <c r="F24" s="2686">
        <f t="shared" si="39"/>
        <v>223.07903790551154</v>
      </c>
      <c r="G24" s="3832"/>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2590</v>
      </c>
      <c r="B25" s="2686">
        <f t="shared" si="38"/>
        <v>282.50186729015837</v>
      </c>
      <c r="C25" s="2686">
        <f t="shared" si="38"/>
        <v>238.09796174155468</v>
      </c>
      <c r="D25" s="2686">
        <f t="shared" si="29"/>
        <v>238.09796174155468</v>
      </c>
      <c r="E25" s="2686">
        <f t="shared" si="39"/>
        <v>385.33438646014054</v>
      </c>
      <c r="F25" s="2686">
        <f t="shared" si="39"/>
        <v>221.55034055567739</v>
      </c>
      <c r="G25" s="3833"/>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2591</v>
      </c>
      <c r="B26" s="2716">
        <v>278</v>
      </c>
      <c r="C26" s="2716">
        <v>234</v>
      </c>
      <c r="D26" s="2716">
        <f t="shared" si="29"/>
        <v>234</v>
      </c>
      <c r="E26" s="2716">
        <v>379</v>
      </c>
      <c r="F26" s="2717">
        <v>220</v>
      </c>
      <c r="G26" s="3828">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2592</v>
      </c>
      <c r="B27" s="2686">
        <f>B26/(1+N26)</f>
        <v>275.49301357645425</v>
      </c>
      <c r="C27" s="2686">
        <f>C26/(1+O26)</f>
        <v>232.41954707985698</v>
      </c>
      <c r="D27" s="2686">
        <f t="shared" si="29"/>
        <v>232.41954707985698</v>
      </c>
      <c r="E27" s="2686">
        <f t="shared" ref="E27:F29" si="40">E26/(1+P26)</f>
        <v>375.32184591008121</v>
      </c>
      <c r="F27" s="2686">
        <f t="shared" si="40"/>
        <v>218.03766105054513</v>
      </c>
      <c r="G27" s="3829"/>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2593</v>
      </c>
      <c r="B28" s="2686">
        <f>B27/(1+N27)</f>
        <v>275.24529281292263</v>
      </c>
      <c r="C28" s="2686">
        <f>C27/(1+O27)</f>
        <v>231.74747938962707</v>
      </c>
      <c r="D28" s="2686">
        <f t="shared" si="29"/>
        <v>231.74747938962707</v>
      </c>
      <c r="E28" s="2686">
        <f t="shared" si="40"/>
        <v>375.35938184826603</v>
      </c>
      <c r="F28" s="2686">
        <f t="shared" si="40"/>
        <v>216.78033510692495</v>
      </c>
      <c r="G28" s="3829"/>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2594</v>
      </c>
      <c r="B29" s="2686">
        <f>B28/(1+N28)</f>
        <v>275.19025476197027</v>
      </c>
      <c r="C29" s="2718">
        <v>232</v>
      </c>
      <c r="D29" s="2718">
        <f t="shared" si="29"/>
        <v>232</v>
      </c>
      <c r="E29" s="2686">
        <f t="shared" si="40"/>
        <v>375.65990977608692</v>
      </c>
      <c r="F29" s="2686">
        <f t="shared" si="40"/>
        <v>214.12518283971252</v>
      </c>
      <c r="G29" s="3830"/>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2595</v>
      </c>
      <c r="B30" s="2678">
        <v>275</v>
      </c>
      <c r="C30" s="2678">
        <v>232</v>
      </c>
      <c r="D30" s="2678">
        <f t="shared" si="29"/>
        <v>232</v>
      </c>
      <c r="E30" s="2678">
        <v>376</v>
      </c>
      <c r="F30" s="2679">
        <v>213</v>
      </c>
      <c r="G30" s="3828">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2596</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829">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2597</v>
      </c>
      <c r="B32" s="2686">
        <f t="shared" si="41"/>
        <v>275.19335084830601</v>
      </c>
      <c r="C32" s="2686">
        <f t="shared" si="41"/>
        <v>230.18088050139744</v>
      </c>
      <c r="D32" s="2686">
        <f t="shared" si="29"/>
        <v>230.18088050139744</v>
      </c>
      <c r="E32" s="2686">
        <f t="shared" si="42"/>
        <v>377.58482925212331</v>
      </c>
      <c r="F32" s="2686">
        <f t="shared" si="42"/>
        <v>210.90687997847917</v>
      </c>
      <c r="G32" s="3829">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2598</v>
      </c>
      <c r="B33" s="2686">
        <f t="shared" si="41"/>
        <v>276.29854502841971</v>
      </c>
      <c r="C33" s="2686">
        <f t="shared" si="41"/>
        <v>229.79023709833027</v>
      </c>
      <c r="D33" s="2686">
        <f t="shared" si="29"/>
        <v>229.79023709833027</v>
      </c>
      <c r="E33" s="2686">
        <f t="shared" si="42"/>
        <v>379.78759731655936</v>
      </c>
      <c r="F33" s="2686">
        <f t="shared" si="42"/>
        <v>211.32953905659235</v>
      </c>
      <c r="G33" s="3830">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2599</v>
      </c>
      <c r="B34" s="2678">
        <v>269</v>
      </c>
      <c r="C34" s="2678">
        <v>221</v>
      </c>
      <c r="D34" s="2678">
        <f t="shared" si="29"/>
        <v>221</v>
      </c>
      <c r="E34" s="2678">
        <v>373</v>
      </c>
      <c r="F34" s="2679">
        <v>196</v>
      </c>
      <c r="G34" s="3828">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2600</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829">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2601</v>
      </c>
      <c r="B36" s="2686">
        <f t="shared" si="43"/>
        <v>242.95398227588385</v>
      </c>
      <c r="C36" s="2686">
        <f t="shared" si="43"/>
        <v>199.59137053614126</v>
      </c>
      <c r="D36" s="2686">
        <f t="shared" si="29"/>
        <v>199.59137053614126</v>
      </c>
      <c r="E36" s="2686">
        <f t="shared" si="44"/>
        <v>335.92189522342125</v>
      </c>
      <c r="F36" s="2686">
        <f t="shared" si="44"/>
        <v>183.10139991109489</v>
      </c>
      <c r="G36" s="3829">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2602</v>
      </c>
      <c r="B37" s="2686">
        <f t="shared" si="43"/>
        <v>232.06990378821649</v>
      </c>
      <c r="C37" s="2686">
        <f t="shared" si="43"/>
        <v>192.74878854286936</v>
      </c>
      <c r="D37" s="2686">
        <f t="shared" si="29"/>
        <v>192.74878854286936</v>
      </c>
      <c r="E37" s="2686">
        <f t="shared" si="44"/>
        <v>319.71247284992984</v>
      </c>
      <c r="F37" s="2686">
        <f t="shared" si="44"/>
        <v>175.67053622862409</v>
      </c>
      <c r="G37" s="3830">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2603</v>
      </c>
      <c r="B38" s="2678">
        <v>220</v>
      </c>
      <c r="C38" s="2678">
        <v>187</v>
      </c>
      <c r="D38" s="2678">
        <f t="shared" si="29"/>
        <v>187</v>
      </c>
      <c r="E38" s="2678">
        <v>301</v>
      </c>
      <c r="F38" s="2679">
        <v>168</v>
      </c>
      <c r="G38" s="3828">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2604</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829">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2605</v>
      </c>
      <c r="B40" s="2686">
        <f t="shared" si="45"/>
        <v>210.630522469011</v>
      </c>
      <c r="C40" s="2686">
        <f t="shared" si="45"/>
        <v>181.69567812247232</v>
      </c>
      <c r="D40" s="2686">
        <f t="shared" si="29"/>
        <v>181.69567812247232</v>
      </c>
      <c r="E40" s="2686">
        <f t="shared" si="46"/>
        <v>286.13517466736738</v>
      </c>
      <c r="F40" s="2686">
        <f t="shared" si="46"/>
        <v>165.47535084591149</v>
      </c>
      <c r="G40" s="3829">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2606</v>
      </c>
      <c r="B41" s="2686">
        <f t="shared" si="45"/>
        <v>208.83454537875372</v>
      </c>
      <c r="C41" s="2686">
        <f t="shared" si="45"/>
        <v>183.77230517090351</v>
      </c>
      <c r="D41" s="2686">
        <f t="shared" si="29"/>
        <v>183.77230517090351</v>
      </c>
      <c r="E41" s="2686">
        <f t="shared" si="46"/>
        <v>281.10342338870947</v>
      </c>
      <c r="F41" s="2686">
        <f t="shared" si="46"/>
        <v>168.97309388942256</v>
      </c>
      <c r="G41" s="3830">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2607</v>
      </c>
      <c r="B42" s="2716">
        <v>214</v>
      </c>
      <c r="C42" s="2716">
        <v>188</v>
      </c>
      <c r="D42" s="2716">
        <f t="shared" si="29"/>
        <v>188</v>
      </c>
      <c r="E42" s="2716">
        <v>289</v>
      </c>
      <c r="F42" s="2717">
        <v>166</v>
      </c>
      <c r="G42" s="3828">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2608</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829">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2609</v>
      </c>
      <c r="B44" s="2686">
        <f t="shared" si="47"/>
        <v>206.31694671589116</v>
      </c>
      <c r="C44" s="2686">
        <f t="shared" si="47"/>
        <v>183.61041121036101</v>
      </c>
      <c r="D44" s="2686">
        <f t="shared" si="29"/>
        <v>183.61041121036101</v>
      </c>
      <c r="E44" s="2686">
        <f t="shared" si="48"/>
        <v>276.66850301795557</v>
      </c>
      <c r="F44" s="2686">
        <f t="shared" si="48"/>
        <v>165.1360938278614</v>
      </c>
      <c r="G44" s="3829">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2610</v>
      </c>
      <c r="B45" s="2719">
        <f t="shared" si="47"/>
        <v>196.62341248059772</v>
      </c>
      <c r="C45" s="2719">
        <f t="shared" si="47"/>
        <v>170.99125648199012</v>
      </c>
      <c r="D45" s="2719">
        <f t="shared" si="29"/>
        <v>170.99125648199012</v>
      </c>
      <c r="E45" s="2719">
        <f t="shared" si="48"/>
        <v>266.07857570490052</v>
      </c>
      <c r="F45" s="2719">
        <f t="shared" si="48"/>
        <v>154.53499328828505</v>
      </c>
      <c r="G45" s="3830">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2611</v>
      </c>
      <c r="B46" s="2678">
        <v>188</v>
      </c>
      <c r="C46" s="2678">
        <v>165</v>
      </c>
      <c r="D46" s="2678">
        <f t="shared" si="29"/>
        <v>165</v>
      </c>
      <c r="E46" s="2678">
        <v>254</v>
      </c>
      <c r="F46" s="2679">
        <v>148</v>
      </c>
      <c r="G46" s="3828">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2612</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829">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2613</v>
      </c>
      <c r="B48" s="2686">
        <f t="shared" si="51"/>
        <v>168.82017748715555</v>
      </c>
      <c r="C48" s="2686">
        <f t="shared" si="51"/>
        <v>148.06267029972753</v>
      </c>
      <c r="D48" s="2686">
        <f t="shared" si="29"/>
        <v>148.06267029972753</v>
      </c>
      <c r="E48" s="2686">
        <f t="shared" si="52"/>
        <v>216.46288379323747</v>
      </c>
      <c r="F48" s="2686">
        <f t="shared" si="52"/>
        <v>134.23529411764704</v>
      </c>
      <c r="G48" s="3829">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2614</v>
      </c>
      <c r="B49" s="2686">
        <f t="shared" si="51"/>
        <v>163.84913591779542</v>
      </c>
      <c r="C49" s="2686">
        <f t="shared" si="51"/>
        <v>145.0283378746594</v>
      </c>
      <c r="D49" s="2686">
        <f t="shared" si="29"/>
        <v>145.0283378746594</v>
      </c>
      <c r="E49" s="2686">
        <f t="shared" si="52"/>
        <v>204.95180722891567</v>
      </c>
      <c r="F49" s="2686">
        <f t="shared" si="52"/>
        <v>125.95920303605313</v>
      </c>
      <c r="G49" s="3830">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2615</v>
      </c>
      <c r="B50" s="2700">
        <v>159</v>
      </c>
      <c r="C50" s="2700">
        <v>141</v>
      </c>
      <c r="D50" s="2700">
        <f t="shared" si="29"/>
        <v>141</v>
      </c>
      <c r="E50" s="2700">
        <v>195</v>
      </c>
      <c r="F50" s="2701">
        <v>122</v>
      </c>
      <c r="G50" s="3828">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2616</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829">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2617</v>
      </c>
      <c r="B52" s="2686">
        <f t="shared" si="55"/>
        <v>146.57412060301507</v>
      </c>
      <c r="C52" s="2686">
        <f t="shared" si="55"/>
        <v>136.46831955922866</v>
      </c>
      <c r="D52" s="2686">
        <f t="shared" si="29"/>
        <v>136.46831955922866</v>
      </c>
      <c r="E52" s="2686">
        <f t="shared" si="56"/>
        <v>166.73864894795128</v>
      </c>
      <c r="F52" s="2686">
        <f t="shared" si="56"/>
        <v>115.05882352941177</v>
      </c>
      <c r="G52" s="3829">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2618</v>
      </c>
      <c r="B53" s="2686">
        <f t="shared" si="55"/>
        <v>144.04145728643215</v>
      </c>
      <c r="C53" s="2686">
        <f t="shared" si="55"/>
        <v>136.12396694214877</v>
      </c>
      <c r="D53" s="2686">
        <f t="shared" si="29"/>
        <v>136.12396694214877</v>
      </c>
      <c r="E53" s="2686">
        <f t="shared" si="56"/>
        <v>158.32225913621264</v>
      </c>
      <c r="F53" s="2686">
        <f t="shared" si="56"/>
        <v>114.04278074866311</v>
      </c>
      <c r="G53" s="3830">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2619</v>
      </c>
      <c r="B54" s="2700">
        <v>138</v>
      </c>
      <c r="C54" s="2700">
        <v>131</v>
      </c>
      <c r="D54" s="2700">
        <f t="shared" si="29"/>
        <v>131</v>
      </c>
      <c r="E54" s="2700">
        <v>155</v>
      </c>
      <c r="F54" s="2701">
        <v>114</v>
      </c>
      <c r="G54" s="3828">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2620</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829">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2621</v>
      </c>
      <c r="B56" s="2686">
        <f t="shared" si="59"/>
        <v>124.29032258064517</v>
      </c>
      <c r="C56" s="2686">
        <f t="shared" si="59"/>
        <v>123.8968609865471</v>
      </c>
      <c r="D56" s="2686">
        <f t="shared" si="29"/>
        <v>123.8968609865471</v>
      </c>
      <c r="E56" s="2686">
        <f t="shared" si="60"/>
        <v>138.00507614213197</v>
      </c>
      <c r="F56" s="2686">
        <f t="shared" si="60"/>
        <v>107.96106557377048</v>
      </c>
      <c r="G56" s="3829">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2622</v>
      </c>
      <c r="B57" s="2686">
        <f t="shared" si="59"/>
        <v>122.57204301075269</v>
      </c>
      <c r="C57" s="2686">
        <f t="shared" si="59"/>
        <v>123.4932735426009</v>
      </c>
      <c r="D57" s="2686">
        <f t="shared" si="29"/>
        <v>123.4932735426009</v>
      </c>
      <c r="E57" s="2686">
        <f t="shared" si="60"/>
        <v>129.82233502538071</v>
      </c>
      <c r="F57" s="2686">
        <f t="shared" si="60"/>
        <v>107.39446721311475</v>
      </c>
      <c r="G57" s="3830">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2623</v>
      </c>
      <c r="B58" s="2716">
        <v>121</v>
      </c>
      <c r="C58" s="2716">
        <v>122</v>
      </c>
      <c r="D58" s="2716">
        <f t="shared" si="29"/>
        <v>122</v>
      </c>
      <c r="E58" s="2716">
        <v>124</v>
      </c>
      <c r="F58" s="2717">
        <v>107</v>
      </c>
      <c r="G58" s="3828">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2624</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829">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2625</v>
      </c>
      <c r="B60" s="2686">
        <f t="shared" si="63"/>
        <v>116.99099099099099</v>
      </c>
      <c r="C60" s="2686">
        <f t="shared" si="63"/>
        <v>118.84848484848486</v>
      </c>
      <c r="D60" s="2686">
        <f t="shared" si="29"/>
        <v>118.84848484848486</v>
      </c>
      <c r="E60" s="2686">
        <f t="shared" si="64"/>
        <v>117.60960960960961</v>
      </c>
      <c r="F60" s="2686">
        <f t="shared" si="64"/>
        <v>104</v>
      </c>
      <c r="G60" s="3829">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2626</v>
      </c>
      <c r="B61" s="2719">
        <f t="shared" si="63"/>
        <v>112.48648648648648</v>
      </c>
      <c r="C61" s="2719">
        <f t="shared" si="63"/>
        <v>115.21212121212122</v>
      </c>
      <c r="D61" s="2719">
        <f t="shared" si="29"/>
        <v>115.21212121212122</v>
      </c>
      <c r="E61" s="2719">
        <f t="shared" si="64"/>
        <v>110.4024024024024</v>
      </c>
      <c r="F61" s="2719">
        <f t="shared" si="64"/>
        <v>104</v>
      </c>
      <c r="G61" s="3830">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2627</v>
      </c>
      <c r="B62" s="2737">
        <v>111</v>
      </c>
      <c r="C62" s="2737">
        <v>114</v>
      </c>
      <c r="D62" s="2737">
        <f t="shared" si="29"/>
        <v>114</v>
      </c>
      <c r="E62" s="2737">
        <v>108</v>
      </c>
      <c r="F62" s="2738">
        <v>104</v>
      </c>
      <c r="G62" s="3828">
        <v>2003</v>
      </c>
      <c r="H62" s="2727">
        <v>4</v>
      </c>
      <c r="I62" s="2739"/>
      <c r="J62" s="2739"/>
      <c r="K62" s="2739"/>
      <c r="L62" s="2739"/>
      <c r="N62" s="2740"/>
      <c r="O62" s="2739"/>
      <c r="P62" s="2739"/>
      <c r="Q62" s="2739"/>
      <c r="S62" s="2740"/>
      <c r="T62" s="2739"/>
      <c r="U62" s="2739"/>
      <c r="V62" s="2739"/>
      <c r="X62" s="2731"/>
      <c r="Y62" s="2731"/>
      <c r="Z62" s="2731"/>
    </row>
    <row r="63" spans="1:26">
      <c r="A63" s="2672" t="s">
        <v>2628</v>
      </c>
      <c r="B63" s="2741">
        <f t="shared" ref="B63:C65" si="65">B64+(B$62-B$66)/4</f>
        <v>109.75</v>
      </c>
      <c r="C63" s="2741">
        <f t="shared" si="65"/>
        <v>112.25</v>
      </c>
      <c r="D63" s="2741">
        <f t="shared" si="29"/>
        <v>112.25</v>
      </c>
      <c r="E63" s="2741">
        <f t="shared" ref="E63:F65" si="66">E64+(E$62-E$66)/4</f>
        <v>107.25</v>
      </c>
      <c r="F63" s="2741">
        <f t="shared" si="66"/>
        <v>103.5</v>
      </c>
      <c r="G63" s="3829">
        <v>2003</v>
      </c>
      <c r="H63" s="2697">
        <v>3</v>
      </c>
      <c r="I63" s="2739"/>
      <c r="J63" s="2739"/>
      <c r="K63" s="2739"/>
      <c r="L63" s="2739"/>
      <c r="X63" s="2731"/>
      <c r="Y63" s="2731"/>
      <c r="Z63" s="2731"/>
    </row>
    <row r="64" spans="1:26">
      <c r="A64" s="2672" t="s">
        <v>2629</v>
      </c>
      <c r="B64" s="2741">
        <f t="shared" si="65"/>
        <v>108.5</v>
      </c>
      <c r="C64" s="2741">
        <f t="shared" si="65"/>
        <v>110.5</v>
      </c>
      <c r="D64" s="2741">
        <f t="shared" si="29"/>
        <v>110.5</v>
      </c>
      <c r="E64" s="2741">
        <f t="shared" si="66"/>
        <v>106.5</v>
      </c>
      <c r="F64" s="2741">
        <f t="shared" si="66"/>
        <v>103</v>
      </c>
      <c r="G64" s="3829">
        <v>2003</v>
      </c>
      <c r="H64" s="2677">
        <v>2</v>
      </c>
      <c r="I64" s="2739"/>
      <c r="J64" s="2739"/>
      <c r="K64" s="2739"/>
      <c r="L64" s="2739"/>
      <c r="X64" s="2731"/>
      <c r="Y64" s="2731"/>
      <c r="Z64" s="2731"/>
    </row>
    <row r="65" spans="1:26" ht="13.5" thickBot="1">
      <c r="A65" s="2672" t="s">
        <v>2630</v>
      </c>
      <c r="B65" s="2741">
        <f t="shared" si="65"/>
        <v>107.25</v>
      </c>
      <c r="C65" s="2741">
        <f t="shared" si="65"/>
        <v>108.75</v>
      </c>
      <c r="D65" s="2741">
        <f t="shared" si="29"/>
        <v>108.75</v>
      </c>
      <c r="E65" s="2741">
        <f t="shared" si="66"/>
        <v>105.75</v>
      </c>
      <c r="F65" s="2741">
        <f t="shared" si="66"/>
        <v>102.5</v>
      </c>
      <c r="G65" s="3830">
        <v>2003</v>
      </c>
      <c r="H65" s="2742">
        <v>1</v>
      </c>
      <c r="I65" s="2739"/>
      <c r="J65" s="2739"/>
      <c r="K65" s="2739"/>
      <c r="L65" s="2739"/>
      <c r="S65" s="2681"/>
      <c r="T65" s="2682"/>
      <c r="U65" s="2682"/>
      <c r="X65" s="2731"/>
      <c r="Y65" s="2731"/>
      <c r="Z65" s="2731"/>
    </row>
    <row r="66" spans="1:26" ht="13.5" thickBot="1">
      <c r="A66" s="2672" t="s">
        <v>2631</v>
      </c>
      <c r="B66" s="2743">
        <v>106</v>
      </c>
      <c r="C66" s="2743">
        <v>107</v>
      </c>
      <c r="D66" s="2743">
        <f t="shared" si="29"/>
        <v>107</v>
      </c>
      <c r="E66" s="2743">
        <v>105</v>
      </c>
      <c r="F66" s="2744">
        <v>102</v>
      </c>
      <c r="G66" s="3828">
        <v>2002</v>
      </c>
      <c r="H66" s="2692">
        <v>4</v>
      </c>
      <c r="I66" s="2739"/>
      <c r="J66" s="2739"/>
      <c r="K66" s="2739"/>
      <c r="L66" s="2739"/>
      <c r="N66" s="2740"/>
      <c r="O66" s="2739"/>
      <c r="P66" s="2739"/>
      <c r="Q66" s="2739"/>
      <c r="S66" s="2740"/>
      <c r="T66" s="2739"/>
      <c r="U66" s="2739"/>
      <c r="V66" s="2739"/>
      <c r="X66" s="2731"/>
      <c r="Y66" s="2731"/>
      <c r="Z66" s="2731"/>
    </row>
    <row r="67" spans="1:26">
      <c r="A67" s="2672" t="s">
        <v>2632</v>
      </c>
      <c r="B67" s="2741">
        <f t="shared" ref="B67:C69" si="67">B68+(B$66-B$70)/4</f>
        <v>105</v>
      </c>
      <c r="C67" s="2741">
        <f t="shared" si="67"/>
        <v>106</v>
      </c>
      <c r="D67" s="2741">
        <f t="shared" si="29"/>
        <v>106</v>
      </c>
      <c r="E67" s="2741">
        <f t="shared" ref="E67:F69" si="68">E68+(E$66-E$70)/4</f>
        <v>104.5</v>
      </c>
      <c r="F67" s="2741">
        <f t="shared" si="68"/>
        <v>101.5</v>
      </c>
      <c r="G67" s="3829">
        <v>2002</v>
      </c>
      <c r="H67" s="2697">
        <v>3</v>
      </c>
      <c r="I67" s="2739"/>
      <c r="J67" s="2739"/>
      <c r="K67" s="2739"/>
      <c r="L67" s="2739"/>
      <c r="X67" s="2731"/>
      <c r="Y67" s="2731"/>
      <c r="Z67" s="2731"/>
    </row>
    <row r="68" spans="1:26">
      <c r="A68" s="2672" t="s">
        <v>2633</v>
      </c>
      <c r="B68" s="2741">
        <f t="shared" si="67"/>
        <v>104</v>
      </c>
      <c r="C68" s="2741">
        <f t="shared" si="67"/>
        <v>105</v>
      </c>
      <c r="D68" s="2741">
        <f t="shared" si="29"/>
        <v>105</v>
      </c>
      <c r="E68" s="2741">
        <f t="shared" si="68"/>
        <v>104</v>
      </c>
      <c r="F68" s="2741">
        <f t="shared" si="68"/>
        <v>101</v>
      </c>
      <c r="G68" s="3829">
        <v>2002</v>
      </c>
      <c r="H68" s="2677">
        <v>2</v>
      </c>
      <c r="I68" s="2739"/>
      <c r="J68" s="2739"/>
      <c r="K68" s="2739"/>
      <c r="L68" s="2739"/>
      <c r="X68" s="2731"/>
      <c r="Y68" s="2731"/>
      <c r="Z68" s="2731"/>
    </row>
    <row r="69" spans="1:26" s="2708" customFormat="1" ht="13.5" thickBot="1">
      <c r="A69" s="2704" t="s">
        <v>2634</v>
      </c>
      <c r="B69" s="2745">
        <f t="shared" si="67"/>
        <v>103</v>
      </c>
      <c r="C69" s="2745">
        <f t="shared" si="67"/>
        <v>104</v>
      </c>
      <c r="D69" s="2745">
        <f t="shared" si="29"/>
        <v>104</v>
      </c>
      <c r="E69" s="2745">
        <f t="shared" si="68"/>
        <v>103.5</v>
      </c>
      <c r="F69" s="2745">
        <f t="shared" si="68"/>
        <v>100.5</v>
      </c>
      <c r="G69" s="3830">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2635</v>
      </c>
      <c r="G72" s="2755"/>
      <c r="N72" s="2755"/>
      <c r="S72" s="2755"/>
    </row>
    <row r="73" spans="1:26" s="2754" customFormat="1">
      <c r="A73" s="2754" t="s">
        <v>2636</v>
      </c>
      <c r="G73" s="2755"/>
      <c r="N73" s="2755"/>
      <c r="S73" s="2755"/>
    </row>
    <row r="74" spans="1:26" s="2754" customFormat="1">
      <c r="A74" s="2754" t="s">
        <v>2637</v>
      </c>
      <c r="G74" s="2755"/>
      <c r="I74" s="2756"/>
      <c r="J74" s="2756"/>
      <c r="K74" s="2756"/>
      <c r="L74" s="2756"/>
      <c r="N74" s="2757"/>
      <c r="O74" s="2756"/>
      <c r="P74" s="2756"/>
      <c r="Q74" s="2756"/>
      <c r="S74" s="2757"/>
      <c r="T74" s="2756"/>
      <c r="U74" s="2756"/>
      <c r="V74" s="2756"/>
    </row>
    <row r="75" spans="1:26" s="2754" customFormat="1">
      <c r="A75" s="2754" t="s">
        <v>2638</v>
      </c>
      <c r="G75" s="2755"/>
      <c r="N75" s="2755"/>
      <c r="S75" s="2755"/>
    </row>
    <row r="82" spans="7:22" ht="13.5" thickBot="1"/>
    <row r="83" spans="7:22">
      <c r="G83" s="2680"/>
      <c r="S83" s="2758" t="s">
        <v>2639</v>
      </c>
      <c r="T83" s="2759" t="s">
        <v>2640</v>
      </c>
      <c r="U83" s="2759" t="s">
        <v>2641</v>
      </c>
      <c r="V83" s="2759" t="s">
        <v>2642</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51" t="s">
        <v>2475</v>
      </c>
      <c r="B1" s="3852"/>
      <c r="C1" s="3853"/>
      <c r="D1" s="3854">
        <f>SUM(I10,I15,I20,I21,I23)</f>
        <v>0</v>
      </c>
      <c r="E1" s="3854"/>
      <c r="F1" s="3854"/>
      <c r="G1" s="3854"/>
      <c r="H1" s="3854"/>
      <c r="I1" s="3855"/>
    </row>
    <row r="2" spans="1:9">
      <c r="A2" s="3841" t="s">
        <v>2476</v>
      </c>
      <c r="B2" s="3842" t="s">
        <v>2477</v>
      </c>
      <c r="C2" s="3842"/>
      <c r="D2" s="2523" t="s">
        <v>2478</v>
      </c>
      <c r="E2" s="2523" t="s">
        <v>2479</v>
      </c>
      <c r="F2" s="2523" t="s">
        <v>2480</v>
      </c>
      <c r="G2" s="2523" t="s">
        <v>2481</v>
      </c>
      <c r="H2" s="2523" t="s">
        <v>2482</v>
      </c>
      <c r="I2" s="2524" t="s">
        <v>2483</v>
      </c>
    </row>
    <row r="3" spans="1:9">
      <c r="A3" s="3841"/>
      <c r="B3" s="3842" t="s">
        <v>2484</v>
      </c>
      <c r="C3" s="3842"/>
      <c r="D3" s="2525"/>
      <c r="E3" s="2523"/>
      <c r="F3" s="2526"/>
      <c r="G3" s="2526"/>
      <c r="H3" s="2527"/>
      <c r="I3" s="2528">
        <f>ROUND(D3*E3*F3*G3*H3/10000,0)</f>
        <v>0</v>
      </c>
    </row>
    <row r="4" spans="1:9">
      <c r="A4" s="3841"/>
      <c r="B4" s="3842" t="s">
        <v>2485</v>
      </c>
      <c r="C4" s="3842"/>
      <c r="D4" s="2525"/>
      <c r="E4" s="2523"/>
      <c r="F4" s="2526"/>
      <c r="G4" s="2526"/>
      <c r="H4" s="2527"/>
      <c r="I4" s="2528">
        <f t="shared" ref="I4:I9" si="0">ROUND(D4*E4*F4*G4*H4/10000,0)</f>
        <v>0</v>
      </c>
    </row>
    <row r="5" spans="1:9">
      <c r="A5" s="3841"/>
      <c r="B5" s="3842" t="s">
        <v>2486</v>
      </c>
      <c r="C5" s="3842"/>
      <c r="D5" s="2525"/>
      <c r="E5" s="2523"/>
      <c r="F5" s="2526"/>
      <c r="G5" s="2526"/>
      <c r="H5" s="2527"/>
      <c r="I5" s="2528">
        <f t="shared" si="0"/>
        <v>0</v>
      </c>
    </row>
    <row r="6" spans="1:9">
      <c r="A6" s="3841"/>
      <c r="B6" s="3842" t="s">
        <v>2487</v>
      </c>
      <c r="C6" s="3842"/>
      <c r="D6" s="2525"/>
      <c r="E6" s="2523"/>
      <c r="F6" s="2526"/>
      <c r="G6" s="2526"/>
      <c r="H6" s="2527"/>
      <c r="I6" s="2528">
        <f t="shared" si="0"/>
        <v>0</v>
      </c>
    </row>
    <row r="7" spans="1:9">
      <c r="A7" s="3841"/>
      <c r="B7" s="3842" t="s">
        <v>2488</v>
      </c>
      <c r="C7" s="3842"/>
      <c r="D7" s="2525"/>
      <c r="E7" s="2523"/>
      <c r="F7" s="2526"/>
      <c r="G7" s="2526"/>
      <c r="H7" s="2527"/>
      <c r="I7" s="2528">
        <f t="shared" si="0"/>
        <v>0</v>
      </c>
    </row>
    <row r="8" spans="1:9">
      <c r="A8" s="3841"/>
      <c r="B8" s="3842" t="s">
        <v>2489</v>
      </c>
      <c r="C8" s="3842"/>
      <c r="D8" s="2525"/>
      <c r="E8" s="2523"/>
      <c r="F8" s="2526"/>
      <c r="G8" s="2526"/>
      <c r="H8" s="2527"/>
      <c r="I8" s="2528">
        <f t="shared" si="0"/>
        <v>0</v>
      </c>
    </row>
    <row r="9" spans="1:9">
      <c r="A9" s="3841"/>
      <c r="B9" s="3842" t="s">
        <v>2490</v>
      </c>
      <c r="C9" s="3842"/>
      <c r="D9" s="2525"/>
      <c r="E9" s="2523"/>
      <c r="F9" s="2526"/>
      <c r="G9" s="2526"/>
      <c r="H9" s="2527"/>
      <c r="I9" s="2528">
        <f t="shared" si="0"/>
        <v>0</v>
      </c>
    </row>
    <row r="10" spans="1:9">
      <c r="A10" s="3841"/>
      <c r="B10" s="3843" t="s">
        <v>2491</v>
      </c>
      <c r="C10" s="3843"/>
      <c r="D10" s="2529">
        <v>527</v>
      </c>
      <c r="E10" s="2529" t="e">
        <f>ROUND(D1*10000/D10/H9,0)</f>
        <v>#DIV/0!</v>
      </c>
      <c r="F10" s="2530"/>
      <c r="G10" s="2530"/>
      <c r="H10" s="2531"/>
      <c r="I10" s="2532">
        <f>SUM(I3:I9)</f>
        <v>0</v>
      </c>
    </row>
    <row r="11" spans="1:9" ht="14.25">
      <c r="A11" s="3841" t="s">
        <v>2492</v>
      </c>
      <c r="B11" s="3842" t="s">
        <v>2493</v>
      </c>
      <c r="C11" s="3842"/>
      <c r="D11" s="2525" t="s">
        <v>2494</v>
      </c>
      <c r="E11" s="2525" t="s">
        <v>2495</v>
      </c>
      <c r="F11" s="2526" t="s">
        <v>2496</v>
      </c>
      <c r="G11" s="2526" t="s">
        <v>2497</v>
      </c>
      <c r="H11" s="2533" t="s">
        <v>2498</v>
      </c>
      <c r="I11" s="2524" t="s">
        <v>2499</v>
      </c>
    </row>
    <row r="12" spans="1:9">
      <c r="A12" s="3841"/>
      <c r="B12" s="3842" t="s">
        <v>2500</v>
      </c>
      <c r="C12" s="3842"/>
      <c r="D12" s="2525"/>
      <c r="E12" s="2525"/>
      <c r="F12" s="2526"/>
      <c r="G12" s="2527"/>
      <c r="H12" s="2534"/>
      <c r="I12" s="2524">
        <f>ROUND(D12*E12*F12*G12/10000,0)</f>
        <v>0</v>
      </c>
    </row>
    <row r="13" spans="1:9">
      <c r="A13" s="3841"/>
      <c r="B13" s="3842" t="s">
        <v>2501</v>
      </c>
      <c r="C13" s="3842"/>
      <c r="D13" s="2525"/>
      <c r="E13" s="2525"/>
      <c r="F13" s="2526"/>
      <c r="G13" s="2527"/>
      <c r="H13" s="2534"/>
      <c r="I13" s="2524">
        <f>ROUND(D13*E13*F13*G13/10000,0)</f>
        <v>0</v>
      </c>
    </row>
    <row r="14" spans="1:9">
      <c r="A14" s="3841"/>
      <c r="B14" s="3842" t="s">
        <v>2502</v>
      </c>
      <c r="C14" s="3842"/>
      <c r="D14" s="2525"/>
      <c r="E14" s="2525"/>
      <c r="F14" s="2526"/>
      <c r="G14" s="2527"/>
      <c r="H14" s="2534"/>
      <c r="I14" s="2524">
        <f>ROUND(D14*E14*F14*G14/10000,0)</f>
        <v>0</v>
      </c>
    </row>
    <row r="15" spans="1:9">
      <c r="A15" s="3841"/>
      <c r="B15" s="3843" t="s">
        <v>2491</v>
      </c>
      <c r="C15" s="3843"/>
      <c r="D15" s="2529"/>
      <c r="E15" s="2529">
        <f>SUM(E12:E14)</f>
        <v>0</v>
      </c>
      <c r="F15" s="2530"/>
      <c r="G15" s="2527"/>
      <c r="H15" s="2534"/>
      <c r="I15" s="2535">
        <f>SUM(I12:I14)</f>
        <v>0</v>
      </c>
    </row>
    <row r="16" spans="1:9" ht="24">
      <c r="A16" s="3841" t="s">
        <v>2503</v>
      </c>
      <c r="B16" s="3842" t="s">
        <v>2504</v>
      </c>
      <c r="C16" s="3842"/>
      <c r="D16" s="2525" t="s">
        <v>2505</v>
      </c>
      <c r="E16" s="2536" t="s">
        <v>2506</v>
      </c>
      <c r="F16" s="2526" t="s">
        <v>2507</v>
      </c>
      <c r="G16" s="2527" t="s">
        <v>2497</v>
      </c>
      <c r="H16" s="2533" t="s">
        <v>2498</v>
      </c>
      <c r="I16" s="2524" t="s">
        <v>2499</v>
      </c>
    </row>
    <row r="17" spans="1:9" ht="14.25">
      <c r="A17" s="3841"/>
      <c r="B17" s="3842" t="s">
        <v>2508</v>
      </c>
      <c r="C17" s="3842"/>
      <c r="D17" s="2525"/>
      <c r="E17" s="2525"/>
      <c r="F17" s="2526"/>
      <c r="G17" s="2527"/>
      <c r="H17" s="2537"/>
      <c r="I17" s="2538">
        <f>ROUND(D17*E17*F17*G17/10000,0)</f>
        <v>0</v>
      </c>
    </row>
    <row r="18" spans="1:9" ht="14.25">
      <c r="A18" s="3841"/>
      <c r="B18" s="3842" t="s">
        <v>2509</v>
      </c>
      <c r="C18" s="3842"/>
      <c r="D18" s="2525"/>
      <c r="E18" s="2525"/>
      <c r="F18" s="2526"/>
      <c r="G18" s="2527"/>
      <c r="H18" s="2537"/>
      <c r="I18" s="2538">
        <f>ROUND(D18*E18*F18*G18/10000,0)</f>
        <v>0</v>
      </c>
    </row>
    <row r="19" spans="1:9" ht="14.25">
      <c r="A19" s="3841"/>
      <c r="B19" s="3842" t="s">
        <v>2510</v>
      </c>
      <c r="C19" s="3842"/>
      <c r="D19" s="2525"/>
      <c r="E19" s="2525"/>
      <c r="F19" s="2526"/>
      <c r="G19" s="2527"/>
      <c r="H19" s="2537"/>
      <c r="I19" s="2538">
        <f>ROUND(D19*E19*F19*G19/10000,0)</f>
        <v>0</v>
      </c>
    </row>
    <row r="20" spans="1:9">
      <c r="A20" s="3841"/>
      <c r="B20" s="3843" t="s">
        <v>2491</v>
      </c>
      <c r="C20" s="3843"/>
      <c r="D20" s="2529">
        <f>SUM(D17:D19)</f>
        <v>0</v>
      </c>
      <c r="E20" s="2529"/>
      <c r="F20" s="2530"/>
      <c r="G20" s="2527"/>
      <c r="H20" s="2534"/>
      <c r="I20" s="2535">
        <f>SUM(I17:I19)</f>
        <v>0</v>
      </c>
    </row>
    <row r="21" spans="1:9">
      <c r="A21" s="3841" t="s">
        <v>2511</v>
      </c>
      <c r="B21" s="3844"/>
      <c r="C21" s="3844"/>
      <c r="D21" s="3844"/>
      <c r="E21" s="3844"/>
      <c r="F21" s="3844"/>
      <c r="G21" s="3844"/>
      <c r="H21" s="2539">
        <v>0.1</v>
      </c>
      <c r="I21" s="2532">
        <f>ROUND(I10*H21,0)</f>
        <v>0</v>
      </c>
    </row>
    <row r="22" spans="1:9" ht="14.25">
      <c r="A22" s="3845" t="s">
        <v>2512</v>
      </c>
      <c r="B22" s="3846"/>
      <c r="C22" s="3847"/>
      <c r="D22" s="2540" t="s">
        <v>2513</v>
      </c>
      <c r="E22" s="2540" t="s">
        <v>2514</v>
      </c>
      <c r="F22" s="2541" t="s">
        <v>2515</v>
      </c>
      <c r="G22" s="2541" t="s">
        <v>2516</v>
      </c>
      <c r="H22" s="2533" t="s">
        <v>2517</v>
      </c>
      <c r="I22" s="2524" t="s">
        <v>2518</v>
      </c>
    </row>
    <row r="23" spans="1:9" ht="14.25" thickBot="1">
      <c r="A23" s="3848"/>
      <c r="B23" s="3849"/>
      <c r="C23" s="3850"/>
      <c r="D23" s="2542"/>
      <c r="E23" s="2542"/>
      <c r="F23" s="2542"/>
      <c r="G23" s="2543"/>
      <c r="H23" s="2544"/>
      <c r="I23" s="2545">
        <f>ROUND(E23*D23*F23*(1-G23)/10000,0)</f>
        <v>0</v>
      </c>
    </row>
    <row r="26" spans="1:9">
      <c r="A26" s="2546" t="s">
        <v>2519</v>
      </c>
      <c r="B26" s="2546"/>
      <c r="C26" s="2546"/>
      <c r="D26" s="2546"/>
      <c r="E26" s="3838">
        <f>C27-C30-C31-C32</f>
        <v>0</v>
      </c>
      <c r="F26" s="3838"/>
      <c r="G26" s="3838"/>
      <c r="H26" s="3059" t="s">
        <v>2847</v>
      </c>
    </row>
    <row r="27" spans="1:9">
      <c r="A27" s="2547">
        <v>1</v>
      </c>
      <c r="B27" s="2548" t="s">
        <v>2520</v>
      </c>
      <c r="C27" s="2548"/>
      <c r="D27" s="2548"/>
      <c r="E27" s="3839"/>
      <c r="F27" s="3839"/>
      <c r="G27" s="3839"/>
    </row>
    <row r="28" spans="1:9">
      <c r="A28" s="2549" t="s">
        <v>2521</v>
      </c>
      <c r="B28" s="2548" t="s">
        <v>2522</v>
      </c>
      <c r="C28" s="2548"/>
      <c r="D28" s="2548"/>
      <c r="E28" s="3839"/>
      <c r="F28" s="3839"/>
      <c r="G28" s="3839"/>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840"/>
      <c r="F32" s="3840"/>
      <c r="G32" s="3840"/>
    </row>
    <row r="33" spans="1:7" hidden="1">
      <c r="A33" s="3835" t="s">
        <v>2530</v>
      </c>
      <c r="B33" s="3836"/>
      <c r="C33" s="3836"/>
      <c r="D33" s="3837"/>
      <c r="E33" s="3838"/>
      <c r="F33" s="3838"/>
      <c r="G33" s="3838"/>
    </row>
    <row r="34" spans="1:7" hidden="1">
      <c r="A34" s="2551">
        <v>1</v>
      </c>
      <c r="B34" s="2548" t="s">
        <v>2531</v>
      </c>
      <c r="C34" s="2548"/>
      <c r="D34" s="2548"/>
      <c r="E34" s="3839"/>
      <c r="F34" s="3839"/>
      <c r="G34" s="3839"/>
    </row>
    <row r="35" spans="1:7" hidden="1">
      <c r="A35" s="2551">
        <v>2</v>
      </c>
      <c r="B35" s="2548" t="s">
        <v>2532</v>
      </c>
      <c r="C35" s="2548"/>
      <c r="D35" s="2548"/>
      <c r="E35" s="3839"/>
      <c r="F35" s="3839"/>
      <c r="G35" s="3839"/>
    </row>
    <row r="36" spans="1:7" hidden="1">
      <c r="A36" s="2551">
        <v>3</v>
      </c>
      <c r="B36" s="2548" t="s">
        <v>2533</v>
      </c>
      <c r="C36" s="2548"/>
      <c r="D36" s="2548"/>
      <c r="E36" s="3839"/>
      <c r="F36" s="3839"/>
      <c r="G36" s="3839"/>
    </row>
    <row r="37" spans="1:7" hidden="1">
      <c r="A37" s="2551">
        <v>4</v>
      </c>
      <c r="B37" s="2548" t="s">
        <v>2534</v>
      </c>
      <c r="C37" s="2548"/>
      <c r="D37" s="2548"/>
      <c r="E37" s="3839"/>
      <c r="F37" s="3839"/>
      <c r="G37" s="3839"/>
    </row>
    <row r="38" spans="1:7" hidden="1">
      <c r="A38" s="3835" t="s">
        <v>2535</v>
      </c>
      <c r="B38" s="3836"/>
      <c r="C38" s="3836"/>
      <c r="D38" s="3837"/>
      <c r="E38" s="3838"/>
      <c r="F38" s="3838"/>
      <c r="G38" s="38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9" t="s">
        <v>604</v>
      </c>
      <c r="B1" s="739"/>
      <c r="C1" s="2174"/>
      <c r="D1" s="2174"/>
      <c r="E1" s="2174"/>
      <c r="F1" s="2174"/>
      <c r="G1" s="2100"/>
    </row>
    <row r="2" spans="1:25" s="2051" customFormat="1" ht="18" customHeight="1">
      <c r="A2" s="421" t="s">
        <v>467</v>
      </c>
      <c r="B2" s="423">
        <f ca="1">C23</f>
        <v>4997</v>
      </c>
      <c r="C2" s="2100"/>
      <c r="D2" s="2100"/>
      <c r="E2" s="2100"/>
      <c r="F2" s="2100"/>
      <c r="G2" s="2100"/>
    </row>
    <row r="3" spans="1:25" s="2051" customFormat="1" ht="18" customHeight="1">
      <c r="A3" s="1371" t="s">
        <v>1684</v>
      </c>
      <c r="B3" s="423">
        <f ca="1">ROUND(B2*10000/'数据-汇总表'!E3,0)</f>
        <v>104</v>
      </c>
      <c r="C3" s="2100"/>
      <c r="D3" s="2100"/>
      <c r="E3" s="2100"/>
      <c r="F3" s="2100"/>
      <c r="G3" s="2100"/>
    </row>
    <row r="4" spans="1:25" s="2051" customFormat="1" ht="18" customHeight="1">
      <c r="A4" s="424" t="s">
        <v>468</v>
      </c>
      <c r="B4" s="425">
        <f ca="1">ROUND(B2*10000/'数据-汇总表'!D3,0)</f>
        <v>669</v>
      </c>
      <c r="C4" s="2053"/>
      <c r="D4" s="2100"/>
      <c r="E4" s="2100"/>
      <c r="F4" s="2100"/>
      <c r="G4" s="2100"/>
    </row>
    <row r="5" spans="1:25" s="2051" customFormat="1" ht="18" customHeight="1" thickBot="1">
      <c r="A5" s="427"/>
      <c r="B5" s="428">
        <f ca="1">ROUND(B2/('数据-汇总表'!D3/666.67),0)</f>
        <v>45</v>
      </c>
      <c r="C5" s="429" t="s">
        <v>469</v>
      </c>
      <c r="D5" s="2100"/>
      <c r="E5" s="2100"/>
      <c r="F5" s="2100"/>
      <c r="G5" s="2100"/>
    </row>
    <row r="6" spans="1:25" s="2175" customFormat="1" ht="13.5" customHeight="1">
      <c r="A6" s="740"/>
      <c r="B6" s="741" t="s">
        <v>605</v>
      </c>
      <c r="C6" s="742" t="s">
        <v>606</v>
      </c>
      <c r="D6" s="742" t="s">
        <v>607</v>
      </c>
      <c r="E6" s="743" t="s">
        <v>608</v>
      </c>
      <c r="F6" s="743" t="s">
        <v>609</v>
      </c>
      <c r="G6" s="744"/>
    </row>
    <row r="7" spans="1:25" s="2175" customFormat="1" ht="13.5" customHeight="1">
      <c r="A7" s="2485">
        <v>1</v>
      </c>
      <c r="B7" s="745" t="s">
        <v>610</v>
      </c>
      <c r="C7" s="746">
        <f>C8+C9</f>
        <v>0</v>
      </c>
      <c r="D7" s="746"/>
      <c r="E7" s="747"/>
      <c r="F7" s="747"/>
      <c r="G7" s="2495"/>
    </row>
    <row r="8" spans="1:25" s="2175" customFormat="1" ht="13.5" customHeight="1">
      <c r="A8" s="2485" t="s">
        <v>2442</v>
      </c>
      <c r="B8" s="2488" t="s">
        <v>2444</v>
      </c>
      <c r="C8" s="2489"/>
      <c r="D8" s="746"/>
      <c r="E8" s="747"/>
      <c r="F8" s="747"/>
      <c r="G8" s="748"/>
    </row>
    <row r="9" spans="1:25" s="2175" customFormat="1" ht="13.5" customHeight="1">
      <c r="A9" s="2485" t="s">
        <v>2443</v>
      </c>
      <c r="B9" s="2488" t="s">
        <v>2445</v>
      </c>
      <c r="C9" s="2489"/>
      <c r="D9" s="746"/>
      <c r="E9" s="747"/>
      <c r="F9" s="747"/>
      <c r="G9" s="748"/>
    </row>
    <row r="10" spans="1:25" s="2175" customFormat="1" ht="36">
      <c r="A10" s="2485">
        <v>2</v>
      </c>
      <c r="B10" s="745" t="s">
        <v>614</v>
      </c>
      <c r="C10" s="746">
        <f ca="1">C11+C14+C15</f>
        <v>5035</v>
      </c>
      <c r="D10" s="757">
        <f>'数据-汇总表'!E3</f>
        <v>479506</v>
      </c>
      <c r="E10" s="746">
        <f>'数据-取费表'!B31</f>
        <v>130</v>
      </c>
      <c r="F10" s="758"/>
      <c r="G10" s="756" t="s">
        <v>615</v>
      </c>
    </row>
    <row r="11" spans="1:25" s="2175" customFormat="1" ht="13.5" customHeight="1">
      <c r="A11" s="2485" t="s">
        <v>2442</v>
      </c>
      <c r="B11" s="749" t="s">
        <v>611</v>
      </c>
      <c r="C11" s="750">
        <f ca="1">'数据-取费表'!B29</f>
        <v>5035</v>
      </c>
      <c r="D11" s="751"/>
      <c r="E11" s="750"/>
      <c r="F11" s="752"/>
      <c r="G11" s="2494" t="s">
        <v>2453</v>
      </c>
    </row>
    <row r="12" spans="1:25" s="2175" customFormat="1" ht="13.5" customHeight="1">
      <c r="A12" s="2492" t="s">
        <v>2450</v>
      </c>
      <c r="B12" s="753" t="s">
        <v>612</v>
      </c>
      <c r="C12" s="754">
        <f>ROUND(D12*E12/10000,0)</f>
        <v>0</v>
      </c>
      <c r="D12" s="755">
        <f>'数据-汇总表'!E5</f>
        <v>0</v>
      </c>
      <c r="E12" s="754">
        <f>'数据-取费表'!B27</f>
        <v>105</v>
      </c>
      <c r="F12" s="752"/>
      <c r="G12" s="756"/>
    </row>
    <row r="13" spans="1:25" s="2175" customFormat="1" ht="13.5" customHeight="1">
      <c r="A13" s="2492" t="s">
        <v>2449</v>
      </c>
      <c r="B13" s="753" t="s">
        <v>613</v>
      </c>
      <c r="C13" s="754">
        <f>ROUND(D13*E13/10000,0)</f>
        <v>5035</v>
      </c>
      <c r="D13" s="755">
        <f>'数据-汇总表'!E6</f>
        <v>479506</v>
      </c>
      <c r="E13" s="754">
        <f>'数据-取费表'!B28</f>
        <v>105</v>
      </c>
      <c r="F13" s="752"/>
      <c r="G13" s="756"/>
    </row>
    <row r="14" spans="1:25" s="2175" customFormat="1" ht="13.5" customHeight="1">
      <c r="A14" s="2485" t="s">
        <v>2443</v>
      </c>
      <c r="B14" s="2491" t="s">
        <v>2446</v>
      </c>
      <c r="C14" s="2489"/>
      <c r="D14" s="755"/>
      <c r="E14" s="754"/>
      <c r="F14" s="2490"/>
      <c r="G14" s="2493" t="s">
        <v>2451</v>
      </c>
    </row>
    <row r="15" spans="1:25" s="2175" customFormat="1" ht="13.5" customHeight="1">
      <c r="A15" s="2485" t="s">
        <v>2448</v>
      </c>
      <c r="B15" s="2491" t="s">
        <v>2447</v>
      </c>
      <c r="C15" s="2489"/>
      <c r="D15" s="755"/>
      <c r="E15" s="754"/>
      <c r="F15" s="2490"/>
      <c r="G15" s="2493" t="s">
        <v>2452</v>
      </c>
    </row>
    <row r="16" spans="1:25" s="2176" customFormat="1" ht="48">
      <c r="A16" s="2485">
        <v>3</v>
      </c>
      <c r="B16" s="745" t="s">
        <v>616</v>
      </c>
      <c r="C16" s="2489"/>
      <c r="D16" s="757"/>
      <c r="E16" s="746"/>
      <c r="F16" s="758"/>
      <c r="G16" s="756"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617</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618</v>
      </c>
      <c r="C18" s="746">
        <f ca="1">ROUND((C7+C10+C16)*F18,0)</f>
        <v>957</v>
      </c>
      <c r="D18" s="759"/>
      <c r="E18" s="760"/>
      <c r="F18" s="758">
        <f>'数据-取费表'!Q16</f>
        <v>0.19</v>
      </c>
      <c r="G18" s="762" t="s">
        <v>619</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620</v>
      </c>
      <c r="C19" s="746">
        <f ca="1">C7+C10+C16+C17+C18</f>
        <v>5992</v>
      </c>
      <c r="D19" s="757"/>
      <c r="E19" s="746"/>
      <c r="F19" s="758"/>
      <c r="G19" s="762" t="s">
        <v>621</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622</v>
      </c>
      <c r="C20" s="746">
        <f ca="1">ROUND(C19*F20,0)</f>
        <v>0</v>
      </c>
      <c r="D20" s="757"/>
      <c r="E20" s="746"/>
      <c r="F20" s="1342"/>
      <c r="G20" s="762" t="s">
        <v>623</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624</v>
      </c>
      <c r="C21" s="746">
        <f ca="1">C19+C20</f>
        <v>5992</v>
      </c>
      <c r="D21" s="757"/>
      <c r="E21" s="746"/>
      <c r="F21" s="758"/>
      <c r="G21" s="762" t="s">
        <v>625</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626</v>
      </c>
      <c r="C22" s="746">
        <f ca="1">ROUND(C21*F22,0)</f>
        <v>4997</v>
      </c>
      <c r="D22" s="757"/>
      <c r="E22" s="746"/>
      <c r="F22" s="763">
        <f>'数据-取费表'!AP16</f>
        <v>0.83399999999999996</v>
      </c>
      <c r="G22" s="762" t="s">
        <v>627</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628</v>
      </c>
      <c r="C23" s="765">
        <f ca="1">C22</f>
        <v>4997</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A20" sqref="A20:XFD20"/>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466</v>
      </c>
      <c r="B1" s="2826"/>
      <c r="C1" s="2096"/>
      <c r="D1" s="2096"/>
      <c r="E1" s="2096"/>
      <c r="F1" s="2096"/>
      <c r="G1" s="2096"/>
      <c r="H1" s="2096"/>
      <c r="I1" s="2096"/>
      <c r="J1" s="2096"/>
      <c r="K1" s="420">
        <f>MATCH(B1,'数据-取费表'!A6:A16,0)+5</f>
        <v>10</v>
      </c>
    </row>
    <row r="2" spans="1:31" s="2033" customFormat="1" ht="18" customHeight="1">
      <c r="A2" s="2093" t="s">
        <v>467</v>
      </c>
      <c r="B2" s="2097">
        <f ca="1">C36</f>
        <v>244570</v>
      </c>
      <c r="C2" s="2096"/>
      <c r="D2" s="2096"/>
      <c r="E2" s="2096"/>
      <c r="F2" s="2096"/>
      <c r="G2" s="2096"/>
      <c r="H2" s="2096"/>
      <c r="I2" s="2096"/>
      <c r="J2" s="2096"/>
      <c r="K2" s="2096"/>
    </row>
    <row r="3" spans="1:31" s="2033" customFormat="1" ht="18" customHeight="1">
      <c r="A3" s="2098" t="s">
        <v>1683</v>
      </c>
      <c r="B3" s="2099">
        <f ca="1">ROUND(B2*10000/IF(B1="",'数据-汇总表'!E3,INDIRECT("'数据-取费表'!K"&amp;$K$1)),0)</f>
        <v>5100</v>
      </c>
      <c r="C3" s="2096"/>
      <c r="D3" s="2096"/>
      <c r="E3" s="2096"/>
      <c r="F3" s="2096"/>
      <c r="G3" s="2096"/>
      <c r="H3" s="2096"/>
      <c r="I3" s="2096"/>
      <c r="J3" s="2096"/>
      <c r="K3" s="2096"/>
    </row>
    <row r="4" spans="1:31" s="2033" customFormat="1" ht="18" customHeight="1">
      <c r="A4" s="424" t="s">
        <v>468</v>
      </c>
      <c r="B4" s="425">
        <f ca="1">ROUND(B2*10000/IF(B1="",'数据-汇总表'!D3,INDIRECT("'数据-取费表'!R"&amp;$K$1)),0)</f>
        <v>32755</v>
      </c>
      <c r="C4" s="426"/>
      <c r="D4" s="420"/>
      <c r="E4" s="420"/>
      <c r="F4" s="420"/>
      <c r="G4" s="420"/>
      <c r="H4" s="420"/>
      <c r="I4" s="420"/>
      <c r="J4" s="420"/>
      <c r="K4" s="420"/>
    </row>
    <row r="5" spans="1:31" s="2033" customFormat="1" ht="18" customHeight="1" thickBot="1">
      <c r="A5" s="427"/>
      <c r="B5" s="428">
        <f ca="1">ROUND(B2/(IF(B1="",'数据-汇总表'!D3,INDIRECT("'数据-取费表'!R"&amp;$K$1))/666.67),0)</f>
        <v>2184</v>
      </c>
      <c r="C5" s="429" t="s">
        <v>469</v>
      </c>
      <c r="D5" s="420"/>
      <c r="E5" s="420"/>
      <c r="F5" s="420"/>
      <c r="G5" s="420"/>
      <c r="H5" s="420"/>
      <c r="I5" s="420"/>
      <c r="J5" s="420"/>
      <c r="K5" s="420"/>
    </row>
    <row r="6" spans="1:31" s="2103" customFormat="1" ht="16.5" customHeight="1">
      <c r="A6" s="2845" t="s">
        <v>1841</v>
      </c>
      <c r="B6" s="2846"/>
      <c r="C6" s="2847">
        <f ca="1">SUM(C10:K10)</f>
        <v>591321</v>
      </c>
      <c r="D6" s="2846"/>
      <c r="E6" s="2846"/>
      <c r="F6" s="2846"/>
      <c r="G6" s="2846"/>
      <c r="H6" s="2846"/>
      <c r="I6" s="2846"/>
      <c r="J6" s="2846"/>
      <c r="K6" s="2848"/>
    </row>
    <row r="7" spans="1:31" s="2105" customFormat="1" ht="15">
      <c r="A7" s="2849" t="s">
        <v>470</v>
      </c>
      <c r="B7" s="2850" t="s">
        <v>471</v>
      </c>
      <c r="C7" s="434" t="s">
        <v>3206</v>
      </c>
      <c r="D7" s="434" t="s">
        <v>3476</v>
      </c>
      <c r="E7" s="434" t="s">
        <v>1678</v>
      </c>
      <c r="F7" s="434" t="s">
        <v>3479</v>
      </c>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1844</v>
      </c>
      <c r="B8" s="259" t="s">
        <v>472</v>
      </c>
      <c r="C8" s="2851">
        <f>典型户型修正!R28</f>
        <v>30190</v>
      </c>
      <c r="D8" s="2851">
        <f>典型户型修正!R22</f>
        <v>17578</v>
      </c>
      <c r="E8" s="2851">
        <f>'不动产比较法-办公'!B3</f>
        <v>15094</v>
      </c>
      <c r="F8" s="3564">
        <f ca="1">不动产收益法!C43</f>
        <v>2248</v>
      </c>
      <c r="G8" s="2851"/>
      <c r="H8" s="2851"/>
      <c r="I8" s="2851"/>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1845</v>
      </c>
      <c r="B9" s="259" t="s">
        <v>473</v>
      </c>
      <c r="C9" s="439">
        <f>SUMIF('数据-汇总表'!$C19:$C33,'剩余法-待开发'!C7,'数据-汇总表'!$E19:$E33)</f>
        <v>807</v>
      </c>
      <c r="D9" s="439">
        <f>SUMIF('数据-汇总表'!$C19:$C33,'剩余法-待开发'!D7,'数据-汇总表'!$E19:$E33)</f>
        <v>88331</v>
      </c>
      <c r="E9" s="439">
        <f>SUMIF('数据-汇总表'!$C19:$C33,'剩余法-待开发'!E7,'数据-汇总表'!$E19:$E33)</f>
        <v>273359</v>
      </c>
      <c r="F9" s="439">
        <f>SUMIF('数据-汇总表'!$C19:$C33,'剩余法-待开发'!F7,'数据-汇总表'!$E19:$E33)</f>
        <v>97995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1846</v>
      </c>
      <c r="B10" s="2839" t="s">
        <v>474</v>
      </c>
      <c r="C10" s="3044">
        <f>典型户型修正!S28</f>
        <v>2436</v>
      </c>
      <c r="D10" s="3044">
        <f>典型户型修正!S22-典型户型修正!S28</f>
        <v>154250</v>
      </c>
      <c r="E10" s="3044">
        <f>'不动产比较法-办公'!B2</f>
        <v>412608</v>
      </c>
      <c r="F10" s="3044">
        <f ca="1">不动产收益法!C40</f>
        <v>22027</v>
      </c>
      <c r="G10" s="3044"/>
      <c r="H10" s="3044"/>
      <c r="I10" s="2854"/>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1842</v>
      </c>
      <c r="B11" s="2846"/>
      <c r="C11" s="2846"/>
      <c r="D11" s="2846"/>
      <c r="E11" s="2846"/>
      <c r="F11" s="2846"/>
      <c r="G11" s="2846"/>
      <c r="H11" s="2846"/>
      <c r="I11" s="2846"/>
      <c r="J11" s="2846"/>
      <c r="K11" s="2848"/>
    </row>
    <row r="12" spans="1:31" s="2077" customFormat="1" ht="13.5" customHeight="1">
      <c r="A12" s="2857" t="s">
        <v>470</v>
      </c>
      <c r="B12" s="2829" t="s">
        <v>471</v>
      </c>
      <c r="C12" s="2858" t="s">
        <v>475</v>
      </c>
      <c r="D12" s="2825" t="s">
        <v>476</v>
      </c>
      <c r="E12" s="2825" t="s">
        <v>477</v>
      </c>
      <c r="F12" s="2825" t="s">
        <v>478</v>
      </c>
      <c r="G12" s="2829"/>
      <c r="H12" s="2830"/>
      <c r="I12" s="2830"/>
      <c r="J12" s="2830"/>
      <c r="K12" s="2831"/>
    </row>
    <row r="13" spans="1:31" s="2108" customFormat="1" ht="13.5" customHeight="1">
      <c r="A13" s="2859" t="s">
        <v>1847</v>
      </c>
      <c r="B13" s="2860" t="s">
        <v>479</v>
      </c>
      <c r="C13" s="448">
        <f ca="1">IF(B1="",'数据-取费表'!P16,INDIRECT("'数据-取费表'!p"&amp;$K$1)+INDIRECT("'数据-取费表'!t"&amp;$K$1))</f>
        <v>138818</v>
      </c>
      <c r="D13" s="2861"/>
      <c r="E13" s="2862"/>
      <c r="F13" s="2863"/>
      <c r="G13" s="2829"/>
      <c r="H13" s="2830"/>
      <c r="I13" s="2830"/>
      <c r="J13" s="2830"/>
      <c r="K13" s="2831"/>
    </row>
    <row r="14" spans="1:31" s="2108" customFormat="1" ht="13.5" customHeight="1">
      <c r="A14" s="2859" t="s">
        <v>1848</v>
      </c>
      <c r="B14" s="2860" t="s">
        <v>480</v>
      </c>
      <c r="C14" s="53">
        <f ca="1">ROUND(C13*F14,0)</f>
        <v>4165</v>
      </c>
      <c r="D14" s="2861"/>
      <c r="E14" s="2862"/>
      <c r="F14" s="2864">
        <f>'数据-取费表'!B33</f>
        <v>0.03</v>
      </c>
      <c r="G14" s="2829" t="s">
        <v>481</v>
      </c>
      <c r="H14" s="2830"/>
      <c r="I14" s="2830"/>
      <c r="J14" s="2830"/>
      <c r="K14" s="2831"/>
    </row>
    <row r="15" spans="1:31" s="2108" customFormat="1" ht="13.5" customHeight="1">
      <c r="A15" s="2859" t="s">
        <v>1849</v>
      </c>
      <c r="B15" s="2860" t="s">
        <v>482</v>
      </c>
      <c r="C15" s="53">
        <f ca="1">ROUND(IF(B1="",SUMIF('数据-取费表'!C:C,"住宅",'数据-取费表'!P:P)*F15,IF(INDIRECT("'数据-取费表'!c"&amp;$K$1)="住宅",INDIRECT("'数据-取费表'!P"&amp;$K$1)*F15,0)),0)</f>
        <v>0</v>
      </c>
      <c r="D15" s="2861"/>
      <c r="E15" s="2862"/>
      <c r="F15" s="2864">
        <f>'数据-取费表'!B34</f>
        <v>0</v>
      </c>
      <c r="G15" s="2829" t="s">
        <v>483</v>
      </c>
      <c r="H15" s="2830"/>
      <c r="I15" s="2830"/>
      <c r="J15" s="2830"/>
      <c r="K15" s="2831"/>
    </row>
    <row r="16" spans="1:31" s="2109" customFormat="1" ht="13.5" customHeight="1">
      <c r="A16" s="2859" t="s">
        <v>1850</v>
      </c>
      <c r="B16" s="2860" t="s">
        <v>484</v>
      </c>
      <c r="C16" s="53">
        <f ca="1">ROUND(D16*E16/10000,0)</f>
        <v>7193</v>
      </c>
      <c r="D16" s="2861">
        <f ca="1">IF(B1="",'数据-汇总表'!E3,INDIRECT("'数据-取费表'!K"&amp;$K$1)+INDIRECT("'数据-取费表'!S"&amp;$K$1))</f>
        <v>479506</v>
      </c>
      <c r="E16" s="53">
        <f>'数据-取费表'!B35</f>
        <v>150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1851</v>
      </c>
      <c r="B17" s="2860" t="s">
        <v>485</v>
      </c>
      <c r="C17" s="2865">
        <f ca="1">ROUND(C13*F17,0)</f>
        <v>2082</v>
      </c>
      <c r="D17" s="473"/>
      <c r="E17" s="2865"/>
      <c r="F17" s="2866">
        <f>'数据-取费表'!B36</f>
        <v>1.4999999999999999E-2</v>
      </c>
      <c r="G17" s="259" t="s">
        <v>486</v>
      </c>
      <c r="H17" s="2832"/>
      <c r="I17" s="2832"/>
      <c r="J17" s="2832"/>
      <c r="K17" s="277"/>
    </row>
    <row r="18" spans="1:14" s="2108" customFormat="1" ht="13.5" customHeight="1">
      <c r="A18" s="2867" t="s">
        <v>1852</v>
      </c>
      <c r="B18" s="2868" t="s">
        <v>487</v>
      </c>
      <c r="C18" s="2869">
        <f ca="1">SUM(C13:C17)</f>
        <v>152258</v>
      </c>
      <c r="D18" s="2870"/>
      <c r="E18" s="466"/>
      <c r="F18" s="466"/>
      <c r="G18" s="2833" t="s">
        <v>2432</v>
      </c>
      <c r="H18" s="2834"/>
      <c r="I18" s="2834"/>
      <c r="J18" s="2834"/>
      <c r="K18" s="2835"/>
    </row>
    <row r="19" spans="1:14" s="2108" customFormat="1" ht="13.5" customHeight="1">
      <c r="A19" s="2867" t="s">
        <v>1853</v>
      </c>
      <c r="B19" s="2868" t="s">
        <v>488</v>
      </c>
      <c r="C19" s="2825">
        <f ca="1">ROUND(D19*E19/10000,0)</f>
        <v>3357</v>
      </c>
      <c r="D19" s="2871">
        <f ca="1">D16</f>
        <v>479506</v>
      </c>
      <c r="E19" s="2825">
        <f>'数据-取费表'!B32</f>
        <v>70</v>
      </c>
      <c r="F19" s="466"/>
      <c r="G19" s="2829" t="s">
        <v>489</v>
      </c>
      <c r="H19" s="2830"/>
      <c r="I19" s="2834"/>
      <c r="J19" s="2834"/>
      <c r="K19" s="2835"/>
    </row>
    <row r="20" spans="1:14" s="2108" customFormat="1" ht="13.5" customHeight="1">
      <c r="A20" s="2867" t="s">
        <v>1854</v>
      </c>
      <c r="B20" s="2868" t="s">
        <v>490</v>
      </c>
      <c r="C20" s="2825">
        <f ca="1">C21+C22-IF(B1="",'数据-取费表'!B29,IF(G20="已全部缴纳",C21+C22,H20))</f>
        <v>0</v>
      </c>
      <c r="D20" s="2871"/>
      <c r="E20" s="2825"/>
      <c r="F20" s="2872"/>
      <c r="G20" s="3101" t="s">
        <v>3469</v>
      </c>
      <c r="H20" s="2827"/>
      <c r="I20" s="2828" t="s">
        <v>2655</v>
      </c>
      <c r="J20" s="2834"/>
      <c r="K20" s="2835"/>
    </row>
    <row r="21" spans="1:14" s="2108" customFormat="1" ht="13.5" customHeight="1">
      <c r="A21" s="2859" t="s">
        <v>1855</v>
      </c>
      <c r="B21" s="2860" t="s">
        <v>491</v>
      </c>
      <c r="C21" s="53">
        <f ca="1">ROUND(D21*E21/10000,0)</f>
        <v>0</v>
      </c>
      <c r="D21" s="2861">
        <f ca="1">IF(B1="",'数据-汇总表'!E5,IF(INDIRECT("'数据-取费表'!c"&amp;$K$1)="住宅",INDIRECT("'数据-取费表'!k"&amp;$K$1),0))</f>
        <v>0</v>
      </c>
      <c r="E21" s="53">
        <f>'数据-取费表'!B27</f>
        <v>105</v>
      </c>
      <c r="F21" s="2864"/>
      <c r="G21" s="26"/>
      <c r="H21" s="51"/>
      <c r="I21" s="51"/>
      <c r="J21" s="51"/>
      <c r="K21" s="2836"/>
    </row>
    <row r="22" spans="1:14" s="2108" customFormat="1" ht="13.5" customHeight="1">
      <c r="A22" s="2859" t="s">
        <v>1856</v>
      </c>
      <c r="B22" s="2860" t="s">
        <v>492</v>
      </c>
      <c r="C22" s="53">
        <f ca="1">ROUND(D22*E22/10000,0)</f>
        <v>5035</v>
      </c>
      <c r="D22" s="2861">
        <f ca="1">IF(B1="",'数据-汇总表'!E6,IF(INDIRECT("'数据-取费表'!c"&amp;$K$1)="住宅",INDIRECT("'数据-取费表'!s"&amp;$K$1),INDIRECT("'数据-取费表'!k"&amp;$K$1)+INDIRECT("'数据-取费表'!s"&amp;$K$1)))</f>
        <v>479506</v>
      </c>
      <c r="E22" s="53">
        <f>'数据-取费表'!B28</f>
        <v>105</v>
      </c>
      <c r="F22" s="2864"/>
      <c r="G22" s="26"/>
      <c r="H22" s="51"/>
      <c r="I22" s="51"/>
      <c r="J22" s="51"/>
      <c r="K22" s="2836"/>
    </row>
    <row r="23" spans="1:14" s="2108" customFormat="1" ht="13.5" customHeight="1">
      <c r="A23" s="2867" t="s">
        <v>1857</v>
      </c>
      <c r="B23" s="3050" t="s">
        <v>2838</v>
      </c>
      <c r="C23" s="2869">
        <f ca="1">ROUND((C18+C19+C20)*F23,0)</f>
        <v>3112</v>
      </c>
      <c r="D23" s="466"/>
      <c r="E23" s="466"/>
      <c r="F23" s="2873">
        <f>'数据-取费表'!B37</f>
        <v>0.02</v>
      </c>
      <c r="G23" s="2829" t="s">
        <v>2433</v>
      </c>
      <c r="H23" s="2830"/>
      <c r="I23" s="2830"/>
      <c r="J23" s="2830"/>
      <c r="K23" s="2831"/>
      <c r="L23" s="2110"/>
      <c r="M23" s="2110"/>
      <c r="N23" s="2110"/>
    </row>
    <row r="24" spans="1:14" s="2108" customFormat="1" ht="13.5" customHeight="1">
      <c r="A24" s="2867" t="s">
        <v>1858</v>
      </c>
      <c r="B24" s="3050" t="s">
        <v>2841</v>
      </c>
      <c r="C24" s="2869">
        <f ca="1">ROUND(C6*F24,0)</f>
        <v>17740</v>
      </c>
      <c r="D24" s="473"/>
      <c r="E24" s="471"/>
      <c r="F24" s="2873">
        <f>'数据-取费表'!B38</f>
        <v>0.03</v>
      </c>
      <c r="G24" s="2838" t="s">
        <v>499</v>
      </c>
      <c r="H24" s="2832"/>
      <c r="I24" s="2832"/>
      <c r="J24" s="2832"/>
      <c r="K24" s="277"/>
      <c r="L24" s="2110"/>
      <c r="M24" s="2110"/>
      <c r="N24" s="2110"/>
    </row>
    <row r="25" spans="1:14" s="2111" customFormat="1" ht="13.5" customHeight="1">
      <c r="A25" s="2867" t="s">
        <v>1859</v>
      </c>
      <c r="B25" s="3050" t="s">
        <v>2839</v>
      </c>
      <c r="C25" s="465">
        <f>ROUND(F25/(1+'数据-取费表'!C42),4)</f>
        <v>2.9000000000000001E-2</v>
      </c>
      <c r="D25" s="460" t="s">
        <v>2833</v>
      </c>
      <c r="E25" s="467"/>
      <c r="F25" s="2873">
        <f>'数据-取费表'!B48+'数据-取费表'!B49</f>
        <v>3.0499999999999999E-2</v>
      </c>
      <c r="G25" s="2837" t="s">
        <v>2290</v>
      </c>
      <c r="H25" s="2830"/>
      <c r="I25" s="2830"/>
      <c r="J25" s="2830"/>
      <c r="K25" s="2831"/>
    </row>
    <row r="26" spans="1:14" s="2110" customFormat="1" ht="13.5" customHeight="1">
      <c r="A26" s="2867" t="s">
        <v>1860</v>
      </c>
      <c r="B26" s="3051" t="s">
        <v>2840</v>
      </c>
      <c r="C26" s="2874">
        <f ca="1">C28</f>
        <v>12721</v>
      </c>
      <c r="D26" s="465">
        <f ca="1">C27</f>
        <v>0.1537</v>
      </c>
      <c r="E26" s="467" t="s">
        <v>495</v>
      </c>
      <c r="F26" s="469">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1855</v>
      </c>
      <c r="B27" s="2875" t="s">
        <v>496</v>
      </c>
      <c r="C27" s="2876">
        <f ca="1">ROUND(IF('数据-取费表'!B22&lt;=1,(1+C25)*F26*'数据-取费表'!B24,(1+C25)*(POWER((1+F26),'数据-取费表'!B24)-1)),4)</f>
        <v>0.1537</v>
      </c>
      <c r="D27" s="470"/>
      <c r="E27" s="471"/>
      <c r="F27" s="472"/>
      <c r="G27" s="2588" t="str">
        <f>IF('数据-取费表'!B22&lt;=1,"（1+取得税费率/(1+5%)）×年利率×建设期","（1+取得税费率）/(1+5%)×((1+年利率)^建设期-1)")</f>
        <v>（1+取得税费率）/(1+5%)×((1+年利率)^建设期-1)</v>
      </c>
      <c r="H27" s="2832"/>
      <c r="I27" s="2832"/>
      <c r="J27" s="2832"/>
      <c r="K27" s="277"/>
    </row>
    <row r="28" spans="1:14" s="2112" customFormat="1" ht="13.5" customHeight="1">
      <c r="A28" s="800" t="s">
        <v>1856</v>
      </c>
      <c r="B28" s="2875" t="s">
        <v>2842</v>
      </c>
      <c r="C28" s="2877">
        <f ca="1">ROUND(IF('数据-取费表'!B22&lt;=1,(C18+C19+C20+C23+C24)*F26*'数据-取费表'!B24/2,(C18+C19+C20+C23+C24)*(POWER((1+F26),'数据-取费表'!B24/2)-1)),0)</f>
        <v>12721</v>
      </c>
      <c r="D28" s="470"/>
      <c r="E28" s="471"/>
      <c r="F28" s="472"/>
      <c r="G28" s="2588" t="str">
        <f>IF('数据-取费表'!B22&lt;=1,"（1）-（4）项×年利率×建设期÷2","（1）-（4）项×((1+年利率)^(建设期÷2)-1)")</f>
        <v>（1）-（4）项×((1+年利率)^(建设期÷2)-1)</v>
      </c>
      <c r="H28" s="2832"/>
      <c r="I28" s="2832"/>
      <c r="J28" s="2832"/>
      <c r="K28" s="277"/>
    </row>
    <row r="29" spans="1:14" s="2112" customFormat="1" ht="13.5" customHeight="1">
      <c r="A29" s="2878" t="s">
        <v>1861</v>
      </c>
      <c r="B29" s="2868" t="s">
        <v>497</v>
      </c>
      <c r="C29" s="2869">
        <f ca="1">ROUND(C6*F29/(1+'数据-取费表'!C42),0)</f>
        <v>31537</v>
      </c>
      <c r="D29" s="466"/>
      <c r="E29" s="466"/>
      <c r="F29" s="3052">
        <f>'数据-取费表'!B41</f>
        <v>5.6000000000000001E-2</v>
      </c>
      <c r="G29" s="2838" t="s">
        <v>498</v>
      </c>
      <c r="H29" s="2830"/>
      <c r="I29" s="2830"/>
      <c r="J29" s="2830"/>
      <c r="K29" s="2831"/>
    </row>
    <row r="30" spans="1:14" s="2113" customFormat="1" ht="13.5" customHeight="1">
      <c r="A30" s="1627" t="s">
        <v>1862</v>
      </c>
      <c r="B30" s="2879" t="s">
        <v>500</v>
      </c>
      <c r="C30" s="2874">
        <f ca="1">C31</f>
        <v>220725</v>
      </c>
      <c r="D30" s="475">
        <f ca="1">C32</f>
        <v>0.1827</v>
      </c>
      <c r="E30" s="467" t="s">
        <v>495</v>
      </c>
      <c r="F30" s="469"/>
      <c r="G30" s="2829" t="s">
        <v>501</v>
      </c>
      <c r="H30" s="2830"/>
      <c r="I30" s="2830"/>
      <c r="J30" s="2830"/>
      <c r="K30" s="2831"/>
    </row>
    <row r="31" spans="1:14" s="2112" customFormat="1" ht="13.5" customHeight="1">
      <c r="A31" s="800" t="s">
        <v>1855</v>
      </c>
      <c r="B31" s="2875"/>
      <c r="C31" s="448">
        <f ca="1">C18+C19+C20+C23+C24+C26+C29</f>
        <v>220725</v>
      </c>
      <c r="D31" s="470"/>
      <c r="E31" s="471"/>
      <c r="F31" s="472"/>
      <c r="G31" s="259"/>
      <c r="H31" s="2832"/>
      <c r="I31" s="2832"/>
      <c r="J31" s="2832"/>
      <c r="K31" s="277"/>
    </row>
    <row r="32" spans="1:14" s="2112" customFormat="1" ht="13.5" customHeight="1">
      <c r="A32" s="800" t="s">
        <v>1856</v>
      </c>
      <c r="B32" s="2875"/>
      <c r="C32" s="53">
        <f ca="1">ROUND(C25+D26,4)</f>
        <v>0.1827</v>
      </c>
      <c r="D32" s="470"/>
      <c r="E32" s="471"/>
      <c r="F32" s="472"/>
      <c r="G32" s="259"/>
      <c r="H32" s="2832"/>
      <c r="I32" s="2832"/>
      <c r="J32" s="2832"/>
      <c r="K32" s="277"/>
    </row>
    <row r="33" spans="1:11" s="2114" customFormat="1" ht="13.5" customHeight="1">
      <c r="A33" s="3049" t="s">
        <v>2837</v>
      </c>
      <c r="B33" s="3047" t="s">
        <v>2835</v>
      </c>
      <c r="C33" s="476">
        <f ca="1">C35</f>
        <v>33529</v>
      </c>
      <c r="D33" s="465">
        <f ca="1">C34</f>
        <v>0.19550000000000001</v>
      </c>
      <c r="E33" s="467" t="s">
        <v>495</v>
      </c>
      <c r="F33" s="477">
        <f ca="1">IF(B1="",'数据-取费表'!Q16,INDIRECT("'数据-取费表'!q"&amp;$K$1))</f>
        <v>0.19</v>
      </c>
      <c r="G33" s="2833"/>
      <c r="H33" s="2834"/>
      <c r="I33" s="2834"/>
      <c r="J33" s="2834"/>
      <c r="K33" s="2835"/>
    </row>
    <row r="34" spans="1:11" s="2115" customFormat="1" ht="13.5" customHeight="1">
      <c r="A34" s="373" t="s">
        <v>1855</v>
      </c>
      <c r="B34" s="2880" t="s">
        <v>502</v>
      </c>
      <c r="C34" s="470">
        <f ca="1">ROUND((1+C25)*F33,4)</f>
        <v>0.19550000000000001</v>
      </c>
      <c r="D34" s="470"/>
      <c r="E34" s="471"/>
      <c r="F34" s="478"/>
      <c r="G34" s="259" t="s">
        <v>2291</v>
      </c>
      <c r="H34" s="2832"/>
      <c r="I34" s="2832"/>
      <c r="J34" s="2832"/>
      <c r="K34" s="277"/>
    </row>
    <row r="35" spans="1:11" s="2115" customFormat="1" ht="13.5" customHeight="1" thickBot="1">
      <c r="A35" s="1628" t="s">
        <v>1856</v>
      </c>
      <c r="B35" s="3048" t="s">
        <v>2843</v>
      </c>
      <c r="C35" s="1620">
        <f ca="1">ROUND((C18+C19+C20+C23+C24)*F33,0)</f>
        <v>33529</v>
      </c>
      <c r="D35" s="1621"/>
      <c r="E35" s="2881"/>
      <c r="F35" s="1622"/>
      <c r="G35" s="2839"/>
      <c r="H35" s="2840"/>
      <c r="I35" s="2840"/>
      <c r="J35" s="2840"/>
      <c r="K35" s="2841"/>
    </row>
    <row r="36" spans="1:11" s="2077" customFormat="1" ht="13.5" customHeight="1" thickBot="1">
      <c r="A36" s="282" t="s">
        <v>1843</v>
      </c>
      <c r="B36" s="2843"/>
      <c r="C36" s="2882">
        <f ca="1">ROUND((C6-C30-C33)/(1+D30+D33),0)</f>
        <v>244570</v>
      </c>
      <c r="D36" s="2843"/>
      <c r="E36" s="2843"/>
      <c r="F36" s="2843"/>
      <c r="G36" s="2842" t="s">
        <v>2844</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B15" sqref="B15"/>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39" t="s">
        <v>720</v>
      </c>
      <c r="C1" s="2640" t="s">
        <v>721</v>
      </c>
      <c r="D1" s="2641" t="s">
        <v>3319</v>
      </c>
      <c r="E1" s="2642"/>
      <c r="F1" s="2824"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8" t="e">
        <f>ROUND(B3*D3/10000,0)</f>
        <v>#DIV/0!</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5" customFormat="1" ht="28.5" customHeight="1" thickBot="1">
      <c r="A3" s="507" t="s">
        <v>520</v>
      </c>
      <c r="B3" s="848" t="e">
        <f>C49</f>
        <v>#DIV/0!</v>
      </c>
      <c r="C3" s="849" t="s">
        <v>723</v>
      </c>
      <c r="D3" s="848">
        <f>SUMIF('数据-汇总表'!$C19:$C33,D1,'数据-汇总表'!$E19:$E33)</f>
        <v>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10" t="s">
        <v>522</v>
      </c>
      <c r="B4" s="511"/>
      <c r="C4" s="3764" t="s">
        <v>523</v>
      </c>
      <c r="D4" s="3765"/>
      <c r="E4" s="3789" t="s">
        <v>524</v>
      </c>
      <c r="F4" s="3790"/>
      <c r="G4" s="3764" t="s">
        <v>525</v>
      </c>
      <c r="H4" s="3765"/>
      <c r="I4" s="3764" t="s">
        <v>526</v>
      </c>
      <c r="J4" s="3765"/>
      <c r="K4" s="850" t="s">
        <v>527</v>
      </c>
      <c r="L4" s="2125"/>
      <c r="M4" s="2126"/>
      <c r="N4" s="2126"/>
      <c r="O4" s="2126"/>
      <c r="P4" s="3766" t="s">
        <v>528</v>
      </c>
      <c r="Q4" s="3767"/>
      <c r="R4" s="3752" t="s">
        <v>524</v>
      </c>
      <c r="S4" s="3753"/>
      <c r="T4" s="3752" t="s">
        <v>525</v>
      </c>
      <c r="U4" s="3753"/>
      <c r="V4" s="3772" t="s">
        <v>526</v>
      </c>
      <c r="W4" s="3772"/>
      <c r="X4" s="1559"/>
      <c r="Y4" s="3752" t="s">
        <v>528</v>
      </c>
      <c r="Z4" s="3753"/>
      <c r="AA4" s="3747" t="s">
        <v>524</v>
      </c>
      <c r="AB4" s="3747" t="s">
        <v>525</v>
      </c>
      <c r="AC4" s="3747" t="s">
        <v>526</v>
      </c>
    </row>
    <row r="5" spans="1:29" ht="15">
      <c r="A5" s="513"/>
      <c r="B5" s="514"/>
      <c r="C5" s="3857" t="s">
        <v>3326</v>
      </c>
      <c r="D5" s="3776"/>
      <c r="E5" s="3856" t="s">
        <v>3327</v>
      </c>
      <c r="F5" s="3792"/>
      <c r="G5" s="3857" t="s">
        <v>3328</v>
      </c>
      <c r="H5" s="3776"/>
      <c r="I5" s="3857" t="s">
        <v>3349</v>
      </c>
      <c r="J5" s="3776"/>
      <c r="K5" s="851"/>
      <c r="L5" s="2125"/>
      <c r="M5" s="2126"/>
      <c r="N5" s="2126"/>
      <c r="O5" s="2126"/>
      <c r="P5" s="3768"/>
      <c r="Q5" s="3769"/>
      <c r="R5" s="3754"/>
      <c r="S5" s="3755"/>
      <c r="T5" s="3754"/>
      <c r="U5" s="3755"/>
      <c r="V5" s="3772"/>
      <c r="W5" s="3772"/>
      <c r="X5" s="1559"/>
      <c r="Y5" s="3754"/>
      <c r="Z5" s="3755"/>
      <c r="AA5" s="3748"/>
      <c r="AB5" s="3748"/>
      <c r="AC5" s="3748"/>
    </row>
    <row r="6" spans="1:29" ht="15.75" thickBot="1">
      <c r="A6" s="515"/>
      <c r="B6" s="516"/>
      <c r="C6" s="3773" t="s">
        <v>2933</v>
      </c>
      <c r="D6" s="3774"/>
      <c r="E6" s="3793" t="s">
        <v>2933</v>
      </c>
      <c r="F6" s="3794"/>
      <c r="G6" s="3773" t="s">
        <v>2933</v>
      </c>
      <c r="H6" s="3774"/>
      <c r="I6" s="3773" t="s">
        <v>2933</v>
      </c>
      <c r="J6" s="3774"/>
      <c r="K6" s="851" t="s">
        <v>529</v>
      </c>
      <c r="L6" s="2125"/>
      <c r="M6" s="2126"/>
      <c r="N6" s="2126"/>
      <c r="O6" s="2126"/>
      <c r="P6" s="3770"/>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v>43221</v>
      </c>
      <c r="F7" s="520">
        <f>SUMIF(58:58,YEAR(E7)&amp;"-"&amp;MONTH(E7),59:59)</f>
        <v>0</v>
      </c>
      <c r="G7" s="521">
        <v>43221</v>
      </c>
      <c r="H7" s="518">
        <f>SUMIF(58:58,YEAR(G7)&amp;"-"&amp;MONTH(G7),59:59)</f>
        <v>0</v>
      </c>
      <c r="I7" s="521">
        <v>43221</v>
      </c>
      <c r="J7" s="518">
        <f>SUMIF(58:58,YEAR(I7)&amp;"-"&amp;MONTH(I7),59:59)</f>
        <v>0</v>
      </c>
      <c r="K7" s="852"/>
      <c r="L7" s="2127"/>
      <c r="M7" s="2128"/>
      <c r="N7" s="2128"/>
      <c r="O7" s="2128"/>
      <c r="P7" s="3750" t="s">
        <v>531</v>
      </c>
      <c r="Q7" s="3759"/>
      <c r="R7" s="1560" t="s">
        <v>13</v>
      </c>
      <c r="S7" s="1561">
        <f t="shared" ref="S7:S15" si="0">F7</f>
        <v>0</v>
      </c>
      <c r="T7" s="1560" t="s">
        <v>13</v>
      </c>
      <c r="U7" s="1561">
        <f t="shared" ref="U7:U15" si="1">H7</f>
        <v>0</v>
      </c>
      <c r="V7" s="1560" t="s">
        <v>13</v>
      </c>
      <c r="W7" s="1561">
        <f t="shared" ref="W7:W15" si="2">J7</f>
        <v>0</v>
      </c>
      <c r="X7" s="1562"/>
      <c r="Y7" s="3750" t="s">
        <v>531</v>
      </c>
      <c r="Z7" s="3751"/>
      <c r="AA7" s="1563" t="e">
        <f>D7/F7</f>
        <v>#DIV/0!</v>
      </c>
      <c r="AB7" s="1563" t="e">
        <f>D7/H7</f>
        <v>#DIV/0!</v>
      </c>
      <c r="AC7" s="1563" t="e">
        <f>D7/J7</f>
        <v>#DIV/0!</v>
      </c>
    </row>
    <row r="8" spans="1:29" s="1213" customFormat="1" ht="15.75" thickBot="1">
      <c r="A8" s="2929"/>
      <c r="B8" s="2936" t="s">
        <v>532</v>
      </c>
      <c r="C8" s="523" t="s">
        <v>577</v>
      </c>
      <c r="D8" s="518">
        <v>100</v>
      </c>
      <c r="E8" s="3518" t="s">
        <v>3350</v>
      </c>
      <c r="F8" s="520">
        <f>SUMIF(61:61,E8,62:62)-SUMIF(61:61,C8,62:62)+100</f>
        <v>100</v>
      </c>
      <c r="G8" s="3502" t="s">
        <v>3350</v>
      </c>
      <c r="H8" s="518">
        <f>SUMIF(61:61,G8,62:62)-SUMIF(61:61,C8,62:62)+100</f>
        <v>100</v>
      </c>
      <c r="I8" s="3518" t="s">
        <v>3350</v>
      </c>
      <c r="J8" s="518">
        <f>SUMIF(61:61,I8,62:62)-SUMIF(61:61,C8,62:62)+100</f>
        <v>100</v>
      </c>
      <c r="K8" s="852"/>
      <c r="L8" s="2127"/>
      <c r="M8" s="2128"/>
      <c r="N8" s="2128"/>
      <c r="O8" s="2128"/>
      <c r="P8" s="3750" t="s">
        <v>534</v>
      </c>
      <c r="Q8" s="3751"/>
      <c r="R8" s="1560" t="s">
        <v>13</v>
      </c>
      <c r="S8" s="1561">
        <f t="shared" si="0"/>
        <v>100</v>
      </c>
      <c r="T8" s="1560" t="s">
        <v>13</v>
      </c>
      <c r="U8" s="1561">
        <f t="shared" si="1"/>
        <v>100</v>
      </c>
      <c r="V8" s="1560" t="s">
        <v>13</v>
      </c>
      <c r="W8" s="1561">
        <f t="shared" si="2"/>
        <v>100</v>
      </c>
      <c r="X8" s="1562"/>
      <c r="Y8" s="3750" t="s">
        <v>534</v>
      </c>
      <c r="Z8" s="3751"/>
      <c r="AA8" s="1563">
        <f t="shared" ref="AA8:AA46" si="3">D8/F8</f>
        <v>1</v>
      </c>
      <c r="AB8" s="1563">
        <f t="shared" ref="AB8:AB46" si="4">D8/H8</f>
        <v>1</v>
      </c>
      <c r="AC8" s="1563">
        <f t="shared" ref="AC8:AC46" si="5">D8/J8</f>
        <v>1</v>
      </c>
    </row>
    <row r="9" spans="1:29" s="1213" customFormat="1" ht="15">
      <c r="A9" s="2930"/>
      <c r="B9" s="2937" t="s">
        <v>2760</v>
      </c>
      <c r="C9" s="3503" t="s">
        <v>3351</v>
      </c>
      <c r="D9" s="252">
        <v>100</v>
      </c>
      <c r="E9" s="3505" t="s">
        <v>3351</v>
      </c>
      <c r="F9" s="856">
        <f>SUMIF(63:63,E9,64:64)-SUMIF(63:63,C9,64:64)+100</f>
        <v>100</v>
      </c>
      <c r="G9" s="3504" t="s">
        <v>3351</v>
      </c>
      <c r="H9" s="252">
        <f>SUMIF(63:63,G9,64:64)-SUMIF(63:63,C9,64:64)+100</f>
        <v>100</v>
      </c>
      <c r="I9" s="3504" t="s">
        <v>3352</v>
      </c>
      <c r="J9" s="252">
        <f>SUMIF(63:63,I9,64:64)-SUMIF(63:63,C9,64:64)+100</f>
        <v>100</v>
      </c>
      <c r="K9" s="852"/>
      <c r="L9" s="2127"/>
      <c r="M9" s="2128"/>
      <c r="N9" s="2128"/>
      <c r="O9" s="2129"/>
      <c r="P9" s="3758" t="s">
        <v>536</v>
      </c>
      <c r="Q9" s="1144" t="str">
        <f t="shared" ref="Q9:Q15" si="6">B9</f>
        <v>用途</v>
      </c>
      <c r="R9" s="1560" t="s">
        <v>8</v>
      </c>
      <c r="S9" s="1561">
        <f t="shared" si="0"/>
        <v>100</v>
      </c>
      <c r="T9" s="1560" t="s">
        <v>8</v>
      </c>
      <c r="U9" s="1561">
        <f t="shared" si="1"/>
        <v>100</v>
      </c>
      <c r="V9" s="1560" t="s">
        <v>8</v>
      </c>
      <c r="W9" s="1561">
        <f t="shared" si="2"/>
        <v>100</v>
      </c>
      <c r="X9" s="1562"/>
      <c r="Y9" s="3715"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3550" t="s">
        <v>3331</v>
      </c>
      <c r="F10" s="860">
        <f>SUMIF(65:65,E10,66:66)-SUMIF(65:65,C10,66:66)+100</f>
        <v>100</v>
      </c>
      <c r="G10" s="858" t="s">
        <v>3331</v>
      </c>
      <c r="H10" s="253">
        <f>SUMIF(65:65,G10,66:66)-SUMIF(65:65,C10,66:66)+100</f>
        <v>100</v>
      </c>
      <c r="I10" s="858" t="s">
        <v>3331</v>
      </c>
      <c r="J10" s="253">
        <f>SUMIF(65:65,I10,66:66)-SUMIF(65:65,C10,66:66)+100</f>
        <v>100</v>
      </c>
      <c r="K10" s="861">
        <v>2</v>
      </c>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2"/>
      <c r="B11" s="2936"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2"/>
      <c r="M11" s="2126"/>
      <c r="N11" s="2126"/>
      <c r="O11" s="2133"/>
      <c r="P11" s="3758"/>
      <c r="Q11" s="1144" t="str">
        <f t="shared" si="6"/>
        <v>容积率</v>
      </c>
      <c r="R11" s="1560" t="s">
        <v>11</v>
      </c>
      <c r="S11" s="1561">
        <f t="shared" si="0"/>
        <v>100</v>
      </c>
      <c r="T11" s="1560" t="s">
        <v>11</v>
      </c>
      <c r="U11" s="1561">
        <f t="shared" si="1"/>
        <v>100</v>
      </c>
      <c r="V11" s="1560" t="s">
        <v>11</v>
      </c>
      <c r="W11" s="1561">
        <f t="shared" si="2"/>
        <v>100</v>
      </c>
      <c r="X11" s="1562"/>
      <c r="Y11" s="3715"/>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860">
        <f>SUMIF(70:70,E12,71:71)-SUMIF(70:70,C12,71:71)+100</f>
        <v>100</v>
      </c>
      <c r="G12" s="526"/>
      <c r="H12" s="253">
        <f>SUMIF(70:70,G12,71:71)-SUMIF(70:70,C12,71:71)+100</f>
        <v>100</v>
      </c>
      <c r="I12" s="526"/>
      <c r="J12" s="253">
        <f>SUMIF(70:70,I12,71:71)-SUMIF(70:70,C12,71:71)+100</f>
        <v>100</v>
      </c>
      <c r="K12" s="862"/>
      <c r="L12" s="2127"/>
      <c r="M12" s="2128"/>
      <c r="N12" s="2128"/>
      <c r="O12" s="2129"/>
      <c r="P12" s="3758"/>
      <c r="Q12" s="1144">
        <f t="shared" si="6"/>
        <v>111</v>
      </c>
      <c r="R12" s="1560" t="s">
        <v>11</v>
      </c>
      <c r="S12" s="1561">
        <f t="shared" si="0"/>
        <v>100</v>
      </c>
      <c r="T12" s="1560" t="s">
        <v>11</v>
      </c>
      <c r="U12" s="1561">
        <f t="shared" si="1"/>
        <v>100</v>
      </c>
      <c r="V12" s="1560" t="s">
        <v>11</v>
      </c>
      <c r="W12" s="1561">
        <f t="shared" si="2"/>
        <v>100</v>
      </c>
      <c r="X12" s="1562"/>
      <c r="Y12" s="3715"/>
      <c r="Z12" s="1143">
        <f t="shared" si="7"/>
        <v>111</v>
      </c>
      <c r="AA12" s="1563">
        <f>D12/F12</f>
        <v>1</v>
      </c>
      <c r="AB12" s="1563">
        <f>D12/H12</f>
        <v>1</v>
      </c>
      <c r="AC12" s="1563">
        <f>D12/J12</f>
        <v>1</v>
      </c>
    </row>
    <row r="13" spans="1:29" ht="15">
      <c r="A13" s="2933"/>
      <c r="B13" s="2939">
        <v>111</v>
      </c>
      <c r="C13" s="537"/>
      <c r="D13" s="538">
        <v>100</v>
      </c>
      <c r="E13" s="537"/>
      <c r="F13" s="860">
        <f>SUMIF(72:72,E13,73:73)-SUMIF(72:72,C13,73:73)+100</f>
        <v>100</v>
      </c>
      <c r="G13" s="537"/>
      <c r="H13" s="538">
        <f>SUMIF(72:72,G13,73:73)-SUMIF(72:72,C13,73:73)+100</f>
        <v>100</v>
      </c>
      <c r="I13" s="537"/>
      <c r="J13" s="538">
        <f>SUMIF(72:72,I13,73:73)-SUMIF(72:72,C13,73:73)+100</f>
        <v>100</v>
      </c>
      <c r="K13" s="862"/>
      <c r="L13" s="2134"/>
      <c r="M13" s="2126"/>
      <c r="N13" s="2126"/>
      <c r="O13" s="2133"/>
      <c r="P13" s="3758"/>
      <c r="Q13" s="1144">
        <f t="shared" si="6"/>
        <v>111</v>
      </c>
      <c r="R13" s="1560" t="s">
        <v>11</v>
      </c>
      <c r="S13" s="1561">
        <f t="shared" si="0"/>
        <v>100</v>
      </c>
      <c r="T13" s="1560" t="s">
        <v>11</v>
      </c>
      <c r="U13" s="1561">
        <f t="shared" si="1"/>
        <v>100</v>
      </c>
      <c r="V13" s="1560" t="s">
        <v>11</v>
      </c>
      <c r="W13" s="1561">
        <f t="shared" si="2"/>
        <v>100</v>
      </c>
      <c r="X13" s="1562"/>
      <c r="Y13" s="3715"/>
      <c r="Z13" s="1143">
        <f t="shared" si="7"/>
        <v>111</v>
      </c>
      <c r="AA13" s="1563">
        <f t="shared" si="3"/>
        <v>1</v>
      </c>
      <c r="AB13" s="1563">
        <f t="shared" si="4"/>
        <v>1</v>
      </c>
      <c r="AC13" s="1563">
        <f t="shared" si="5"/>
        <v>1</v>
      </c>
    </row>
    <row r="14" spans="1:29" ht="15.75" thickBot="1">
      <c r="A14" s="2934"/>
      <c r="B14" s="2940">
        <v>111</v>
      </c>
      <c r="C14" s="543"/>
      <c r="D14" s="544">
        <v>100</v>
      </c>
      <c r="E14" s="543"/>
      <c r="F14" s="863">
        <f>SUMIF(74:74,E14,75:75)-SUMIF(74:74,C14,75:75)+100</f>
        <v>100</v>
      </c>
      <c r="G14" s="543"/>
      <c r="H14" s="544">
        <f>SUMIF(74:74,G14,75:75)-SUMIF(74:74,C14,75:75)+100</f>
        <v>100</v>
      </c>
      <c r="I14" s="543"/>
      <c r="J14" s="544">
        <f>SUMIF(74:74,I14,75:75)-SUMIF(74:74,C14,75:75)+100</f>
        <v>100</v>
      </c>
      <c r="K14" s="862"/>
      <c r="L14" s="2134"/>
      <c r="M14" s="2126"/>
      <c r="N14" s="2126"/>
      <c r="O14" s="2133"/>
      <c r="P14" s="3758"/>
      <c r="Q14" s="1144">
        <f t="shared" si="6"/>
        <v>111</v>
      </c>
      <c r="R14" s="1560" t="s">
        <v>11</v>
      </c>
      <c r="S14" s="1561">
        <f t="shared" si="0"/>
        <v>100</v>
      </c>
      <c r="T14" s="1560" t="s">
        <v>11</v>
      </c>
      <c r="U14" s="1561">
        <f t="shared" si="1"/>
        <v>100</v>
      </c>
      <c r="V14" s="1560" t="s">
        <v>11</v>
      </c>
      <c r="W14" s="1561">
        <f t="shared" si="2"/>
        <v>100</v>
      </c>
      <c r="X14" s="1562"/>
      <c r="Y14" s="3715"/>
      <c r="Z14" s="1143">
        <f t="shared" si="7"/>
        <v>111</v>
      </c>
      <c r="AA14" s="1563">
        <f t="shared" si="3"/>
        <v>1</v>
      </c>
      <c r="AB14" s="1563">
        <f t="shared" si="4"/>
        <v>1</v>
      </c>
      <c r="AC14" s="1563">
        <f t="shared" si="5"/>
        <v>1</v>
      </c>
    </row>
    <row r="15" spans="1:29" ht="99.75">
      <c r="A15" s="2926" t="s">
        <v>2758</v>
      </c>
      <c r="B15" s="3545" t="s">
        <v>295</v>
      </c>
      <c r="C15" s="864" t="str">
        <f>估价对象房地状况!C3</f>
        <v>估价对象位于太湖商圈，周边办公楼项目较多（无锡金融中心等），入驻率较高，办公集聚程度较好</v>
      </c>
      <c r="D15" s="547">
        <v>100</v>
      </c>
      <c r="E15" s="3522" t="s">
        <v>3471</v>
      </c>
      <c r="F15" s="549">
        <f>SUMIF(76:76,E16,77:77)-SUMIF(76:76,C16,77:77)+100</f>
        <v>100</v>
      </c>
      <c r="G15" s="3523" t="s">
        <v>3471</v>
      </c>
      <c r="H15" s="547">
        <f>SUMIF(76:76,G16,77:77)-SUMIF(76:76,C16,77:77)+100</f>
        <v>100</v>
      </c>
      <c r="I15" s="3522" t="s">
        <v>3474</v>
      </c>
      <c r="J15" s="547">
        <f>SUMIF(76:76,I16,77:77)-SUMIF(76:76,C16,77:77)+100</f>
        <v>100</v>
      </c>
      <c r="K15" s="865">
        <v>2</v>
      </c>
      <c r="L15" s="2134"/>
      <c r="M15" s="2126"/>
      <c r="N15" s="2126"/>
      <c r="O15" s="2133"/>
      <c r="P15" s="3760" t="s">
        <v>541</v>
      </c>
      <c r="Q15" s="1564" t="str">
        <f t="shared" si="6"/>
        <v>居住社区成熟度</v>
      </c>
      <c r="R15" s="1565" t="s">
        <v>11</v>
      </c>
      <c r="S15" s="1566">
        <f t="shared" si="0"/>
        <v>100</v>
      </c>
      <c r="T15" s="1565" t="s">
        <v>11</v>
      </c>
      <c r="U15" s="1566">
        <f t="shared" si="1"/>
        <v>100</v>
      </c>
      <c r="V15" s="1565" t="s">
        <v>11</v>
      </c>
      <c r="W15" s="1566">
        <f t="shared" si="2"/>
        <v>100</v>
      </c>
      <c r="X15" s="1559"/>
      <c r="Y15" s="3760" t="s">
        <v>541</v>
      </c>
      <c r="Z15" s="1567" t="str">
        <f t="shared" si="7"/>
        <v>居住社区成熟度</v>
      </c>
      <c r="AA15" s="1568">
        <f t="shared" si="3"/>
        <v>1</v>
      </c>
      <c r="AB15" s="1568">
        <f t="shared" si="4"/>
        <v>1</v>
      </c>
      <c r="AC15" s="1568">
        <f t="shared" si="5"/>
        <v>1</v>
      </c>
    </row>
    <row r="16" spans="1:29" ht="15">
      <c r="A16" s="530"/>
      <c r="B16" s="866"/>
      <c r="C16" s="3499" t="s">
        <v>3353</v>
      </c>
      <c r="D16" s="553"/>
      <c r="E16" s="3494" t="s">
        <v>3353</v>
      </c>
      <c r="F16" s="555"/>
      <c r="G16" s="3493" t="s">
        <v>3353</v>
      </c>
      <c r="H16" s="557"/>
      <c r="I16" s="3494" t="s">
        <v>3288</v>
      </c>
      <c r="J16" s="553"/>
      <c r="K16" s="867"/>
      <c r="L16" s="2134"/>
      <c r="M16" s="2126"/>
      <c r="N16" s="2126"/>
      <c r="O16" s="2133"/>
      <c r="P16" s="3761"/>
      <c r="Q16" s="1564"/>
      <c r="R16" s="1565"/>
      <c r="S16" s="1566"/>
      <c r="T16" s="1565"/>
      <c r="U16" s="1566"/>
      <c r="V16" s="1565"/>
      <c r="W16" s="1566"/>
      <c r="X16" s="1559"/>
      <c r="Y16" s="3761"/>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3410</v>
      </c>
      <c r="F17" s="561">
        <f>SUMIF(78:78,E18,79:79)-SUMIF(78:78,C18,79:79)+100</f>
        <v>100</v>
      </c>
      <c r="G17" s="562" t="s">
        <v>3410</v>
      </c>
      <c r="H17" s="563">
        <f>SUMIF(78:78,G18,79:79)-SUMIF(78:78,C18,79:79)+100</f>
        <v>100</v>
      </c>
      <c r="I17" s="560" t="s">
        <v>3411</v>
      </c>
      <c r="J17" s="563">
        <f>SUMIF(78:78,I18,79:79)-SUMIF(78:78,C18,79:79)+100</f>
        <v>100</v>
      </c>
      <c r="K17" s="865">
        <v>2</v>
      </c>
      <c r="L17" s="2134"/>
      <c r="M17" s="2126"/>
      <c r="N17" s="2126"/>
      <c r="O17" s="2133"/>
      <c r="P17" s="3761"/>
      <c r="Q17" s="1564" t="str">
        <f>B17</f>
        <v>交通便捷度</v>
      </c>
      <c r="R17" s="1565" t="s">
        <v>11</v>
      </c>
      <c r="S17" s="1566">
        <f>F17</f>
        <v>100</v>
      </c>
      <c r="T17" s="1565" t="s">
        <v>11</v>
      </c>
      <c r="U17" s="1566">
        <f>H17</f>
        <v>100</v>
      </c>
      <c r="V17" s="1565" t="s">
        <v>11</v>
      </c>
      <c r="W17" s="1566">
        <f>J17</f>
        <v>100</v>
      </c>
      <c r="X17" s="1559"/>
      <c r="Y17" s="3761"/>
      <c r="Z17" s="1567" t="str">
        <f>Q17</f>
        <v>交通便捷度</v>
      </c>
      <c r="AA17" s="1568">
        <f t="shared" si="3"/>
        <v>1</v>
      </c>
      <c r="AB17" s="1568">
        <f t="shared" si="4"/>
        <v>1</v>
      </c>
      <c r="AC17" s="1568">
        <f t="shared" si="5"/>
        <v>1</v>
      </c>
    </row>
    <row r="18" spans="1:29" ht="15">
      <c r="A18" s="530"/>
      <c r="B18" s="592"/>
      <c r="C18" s="3506" t="s">
        <v>3353</v>
      </c>
      <c r="D18" s="557"/>
      <c r="E18" s="3507" t="s">
        <v>3353</v>
      </c>
      <c r="F18" s="561"/>
      <c r="G18" s="3508" t="s">
        <v>3353</v>
      </c>
      <c r="H18" s="553"/>
      <c r="I18" s="3507" t="s">
        <v>3353</v>
      </c>
      <c r="J18" s="553"/>
      <c r="K18" s="867"/>
      <c r="L18" s="2134"/>
      <c r="M18" s="2126"/>
      <c r="N18" s="2126"/>
      <c r="O18" s="2133"/>
      <c r="P18" s="3761"/>
      <c r="Q18" s="1564"/>
      <c r="R18" s="1565"/>
      <c r="S18" s="1566"/>
      <c r="T18" s="1565"/>
      <c r="U18" s="1566"/>
      <c r="V18" s="1565"/>
      <c r="W18" s="1566"/>
      <c r="X18" s="1559"/>
      <c r="Y18" s="3761"/>
      <c r="Z18" s="1567"/>
      <c r="AA18" s="1568">
        <v>1</v>
      </c>
      <c r="AB18" s="1568">
        <v>1</v>
      </c>
      <c r="AC18" s="1568">
        <v>1</v>
      </c>
    </row>
    <row r="19" spans="1:29" ht="48" customHeight="1">
      <c r="A19" s="530"/>
      <c r="B19" s="2616" t="s">
        <v>2550</v>
      </c>
      <c r="C19" s="869" t="str">
        <f>估价对象房地状况!C7</f>
        <v>估价对象所在区域内有农业银行、无锡市第二中医医院、无锡金桥双语实验学校，公共配套设施水平较好</v>
      </c>
      <c r="D19" s="563">
        <v>100</v>
      </c>
      <c r="E19" s="3524" t="s">
        <v>3413</v>
      </c>
      <c r="F19" s="568">
        <f>SUMIF(80:80,E20,81:81)-SUMIF(80:80,C20,81:81)+100</f>
        <v>100</v>
      </c>
      <c r="G19" s="3525" t="s">
        <v>3413</v>
      </c>
      <c r="H19" s="557">
        <f>SUMIF(80:80,G20,81:81)-SUMIF(80:80,C20,81:81)+100</f>
        <v>100</v>
      </c>
      <c r="I19" s="3524" t="s">
        <v>3412</v>
      </c>
      <c r="J19" s="557">
        <f>SUMIF(80:80,I20,81:81)-SUMIF(80:80,C20,81:81)+100</f>
        <v>100</v>
      </c>
      <c r="K19" s="865">
        <v>2</v>
      </c>
      <c r="L19" s="2134"/>
      <c r="M19" s="2126"/>
      <c r="N19" s="2126"/>
      <c r="O19" s="2133"/>
      <c r="P19" s="3761"/>
      <c r="Q19" s="1564" t="str">
        <f>B19</f>
        <v>公共配套设施</v>
      </c>
      <c r="R19" s="1565" t="s">
        <v>11</v>
      </c>
      <c r="S19" s="1566">
        <f>F19</f>
        <v>100</v>
      </c>
      <c r="T19" s="1565" t="s">
        <v>11</v>
      </c>
      <c r="U19" s="1566">
        <f>H19</f>
        <v>100</v>
      </c>
      <c r="V19" s="1565" t="s">
        <v>11</v>
      </c>
      <c r="W19" s="1566">
        <f>J19</f>
        <v>100</v>
      </c>
      <c r="X19" s="1559"/>
      <c r="Y19" s="3761"/>
      <c r="Z19" s="1567" t="str">
        <f>Q19</f>
        <v>公共配套设施</v>
      </c>
      <c r="AA19" s="1568">
        <f t="shared" si="3"/>
        <v>1</v>
      </c>
      <c r="AB19" s="1568">
        <f t="shared" si="4"/>
        <v>1</v>
      </c>
      <c r="AC19" s="1568">
        <f t="shared" si="5"/>
        <v>1</v>
      </c>
    </row>
    <row r="20" spans="1:29" ht="15">
      <c r="A20" s="530"/>
      <c r="B20" s="592"/>
      <c r="C20" s="3499" t="s">
        <v>3353</v>
      </c>
      <c r="D20" s="553"/>
      <c r="E20" s="3494" t="s">
        <v>3353</v>
      </c>
      <c r="F20" s="555"/>
      <c r="G20" s="3493" t="s">
        <v>3353</v>
      </c>
      <c r="H20" s="553"/>
      <c r="I20" s="3494" t="s">
        <v>3353</v>
      </c>
      <c r="J20" s="553"/>
      <c r="K20" s="867"/>
      <c r="L20" s="2134"/>
      <c r="M20" s="2126"/>
      <c r="N20" s="2126"/>
      <c r="O20" s="2133"/>
      <c r="P20" s="3761"/>
      <c r="Q20" s="1564"/>
      <c r="R20" s="1565"/>
      <c r="S20" s="1566"/>
      <c r="T20" s="1565"/>
      <c r="U20" s="1566"/>
      <c r="V20" s="1565"/>
      <c r="W20" s="1566"/>
      <c r="X20" s="1559"/>
      <c r="Y20" s="3761"/>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4"/>
      <c r="M21" s="2126"/>
      <c r="N21" s="2126"/>
      <c r="O21" s="2133"/>
      <c r="P21" s="3761"/>
      <c r="Q21" s="2595" t="str">
        <f>B21</f>
        <v>基础设施水平</v>
      </c>
      <c r="R21" s="1565" t="s">
        <v>11</v>
      </c>
      <c r="S21" s="1566">
        <f>F21</f>
        <v>100</v>
      </c>
      <c r="T21" s="1565" t="s">
        <v>11</v>
      </c>
      <c r="U21" s="1566">
        <f>H21</f>
        <v>100</v>
      </c>
      <c r="V21" s="1565" t="s">
        <v>11</v>
      </c>
      <c r="W21" s="1566">
        <f>J21</f>
        <v>100</v>
      </c>
      <c r="X21" s="2597"/>
      <c r="Y21" s="3761"/>
      <c r="Z21" s="2596" t="str">
        <f>Q21</f>
        <v>基础设施水平</v>
      </c>
      <c r="AA21" s="1568">
        <f t="shared" ref="AA21" si="8">D21/F21</f>
        <v>1</v>
      </c>
      <c r="AB21" s="1568">
        <f t="shared" ref="AB21" si="9">D21/H21</f>
        <v>1</v>
      </c>
      <c r="AC21" s="1568">
        <f t="shared" ref="AC21" si="10">D21/J21</f>
        <v>1</v>
      </c>
    </row>
    <row r="22" spans="1:29" ht="15">
      <c r="A22" s="530"/>
      <c r="B22" s="915"/>
      <c r="C22" s="3506" t="s">
        <v>3355</v>
      </c>
      <c r="D22" s="553"/>
      <c r="E22" s="3499" t="s">
        <v>3355</v>
      </c>
      <c r="F22" s="555"/>
      <c r="G22" s="3499" t="s">
        <v>3355</v>
      </c>
      <c r="H22" s="553"/>
      <c r="I22" s="3499" t="s">
        <v>3355</v>
      </c>
      <c r="J22" s="553"/>
      <c r="K22" s="2615"/>
      <c r="L22" s="2134"/>
      <c r="M22" s="2126"/>
      <c r="N22" s="2126"/>
      <c r="O22" s="2133"/>
      <c r="P22" s="3761"/>
      <c r="Q22" s="2595"/>
      <c r="R22" s="1565"/>
      <c r="S22" s="1566"/>
      <c r="T22" s="1565"/>
      <c r="U22" s="1566"/>
      <c r="V22" s="1565"/>
      <c r="W22" s="1566"/>
      <c r="X22" s="2597"/>
      <c r="Y22" s="3761"/>
      <c r="Z22" s="2596"/>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6" t="s">
        <v>3443</v>
      </c>
      <c r="F23" s="561">
        <f>SUMIF(84:84,E24,85:85)-SUMIF(84:84,C24,85:85)+100</f>
        <v>100</v>
      </c>
      <c r="G23" s="3527" t="s">
        <v>3443</v>
      </c>
      <c r="H23" s="557">
        <f>SUMIF(84:84,G24,85:85)-SUMIF(84:84,C24,85:85)+100</f>
        <v>100</v>
      </c>
      <c r="I23" s="3526" t="s">
        <v>3453</v>
      </c>
      <c r="J23" s="557">
        <f>SUMIF(84:84,I24,85:85)-SUMIF(84:84,C24,85:85)+100</f>
        <v>100</v>
      </c>
      <c r="K23" s="865">
        <v>2</v>
      </c>
      <c r="L23" s="2134"/>
      <c r="M23" s="2126"/>
      <c r="N23" s="2126"/>
      <c r="O23" s="2133"/>
      <c r="P23" s="3761"/>
      <c r="Q23" s="1564" t="str">
        <f>B23</f>
        <v>自然及人文环境</v>
      </c>
      <c r="R23" s="1565" t="s">
        <v>11</v>
      </c>
      <c r="S23" s="1566">
        <f>F23</f>
        <v>100</v>
      </c>
      <c r="T23" s="1565" t="s">
        <v>11</v>
      </c>
      <c r="U23" s="1566">
        <f>H23</f>
        <v>100</v>
      </c>
      <c r="V23" s="1565" t="s">
        <v>11</v>
      </c>
      <c r="W23" s="1566">
        <f>J23</f>
        <v>100</v>
      </c>
      <c r="X23" s="1559"/>
      <c r="Y23" s="3761"/>
      <c r="Z23" s="1567" t="str">
        <f>Q23</f>
        <v>自然及人文环境</v>
      </c>
      <c r="AA23" s="1568">
        <f t="shared" si="3"/>
        <v>1</v>
      </c>
      <c r="AB23" s="1568">
        <f t="shared" si="4"/>
        <v>1</v>
      </c>
      <c r="AC23" s="1568">
        <f t="shared" si="5"/>
        <v>1</v>
      </c>
    </row>
    <row r="24" spans="1:29" ht="15">
      <c r="A24" s="530"/>
      <c r="B24" s="592"/>
      <c r="C24" s="3499" t="s">
        <v>3287</v>
      </c>
      <c r="D24" s="553"/>
      <c r="E24" s="3494" t="s">
        <v>3287</v>
      </c>
      <c r="F24" s="555"/>
      <c r="G24" s="3493" t="s">
        <v>3287</v>
      </c>
      <c r="H24" s="553"/>
      <c r="I24" s="3494" t="s">
        <v>3287</v>
      </c>
      <c r="J24" s="553"/>
      <c r="K24" s="867"/>
      <c r="L24" s="2134"/>
      <c r="M24" s="2126"/>
      <c r="N24" s="2126"/>
      <c r="O24" s="2133"/>
      <c r="P24" s="3761"/>
      <c r="Q24" s="1564"/>
      <c r="R24" s="1565"/>
      <c r="S24" s="1566"/>
      <c r="T24" s="1565"/>
      <c r="U24" s="1566"/>
      <c r="V24" s="1565"/>
      <c r="W24" s="1566"/>
      <c r="X24" s="1559"/>
      <c r="Y24" s="3761"/>
      <c r="Z24" s="1567"/>
      <c r="AA24" s="1568">
        <v>1</v>
      </c>
      <c r="AB24" s="1568">
        <v>1</v>
      </c>
      <c r="AC24" s="1568">
        <v>1</v>
      </c>
    </row>
    <row r="25" spans="1:29" ht="15">
      <c r="A25" s="530"/>
      <c r="B25" s="1887"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4"/>
      <c r="M25" s="2126"/>
      <c r="N25" s="2126"/>
      <c r="O25" s="2133"/>
      <c r="P25" s="3761"/>
      <c r="Q25" s="1564" t="str">
        <f t="shared" ref="Q25:Q46" si="11">B25</f>
        <v>楼层-1</v>
      </c>
      <c r="R25" s="1565" t="s">
        <v>11</v>
      </c>
      <c r="S25" s="1566">
        <f>F25</f>
        <v>100</v>
      </c>
      <c r="T25" s="1565" t="s">
        <v>11</v>
      </c>
      <c r="U25" s="1566">
        <f>H25</f>
        <v>100</v>
      </c>
      <c r="V25" s="1565" t="s">
        <v>11</v>
      </c>
      <c r="W25" s="1566">
        <f>J25</f>
        <v>100</v>
      </c>
      <c r="X25" s="1559"/>
      <c r="Y25" s="3761"/>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4"/>
      <c r="M26" s="2126"/>
      <c r="N26" s="2126"/>
      <c r="O26" s="2133"/>
      <c r="P26" s="3761"/>
      <c r="Q26" s="1564" t="str">
        <f t="shared" si="11"/>
        <v>朝向</v>
      </c>
      <c r="R26" s="1565" t="s">
        <v>11</v>
      </c>
      <c r="S26" s="1566">
        <f>F26</f>
        <v>100</v>
      </c>
      <c r="T26" s="1565" t="s">
        <v>11</v>
      </c>
      <c r="U26" s="1566">
        <f>H26</f>
        <v>100</v>
      </c>
      <c r="V26" s="1565" t="s">
        <v>11</v>
      </c>
      <c r="W26" s="1566">
        <f>J26</f>
        <v>100</v>
      </c>
      <c r="X26" s="1559"/>
      <c r="Y26" s="3761"/>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7"/>
      <c r="M27" s="2128"/>
      <c r="N27" s="2128"/>
      <c r="O27" s="2129"/>
      <c r="P27" s="3761"/>
      <c r="Q27" s="1144" t="str">
        <f t="shared" si="11"/>
        <v>道路级别</v>
      </c>
      <c r="R27" s="1560" t="s">
        <v>11</v>
      </c>
      <c r="S27" s="1561">
        <f>F27</f>
        <v>100</v>
      </c>
      <c r="T27" s="1560" t="s">
        <v>11</v>
      </c>
      <c r="U27" s="1561">
        <f>H27</f>
        <v>100</v>
      </c>
      <c r="V27" s="1560" t="s">
        <v>11</v>
      </c>
      <c r="W27" s="1561">
        <f>J27</f>
        <v>100</v>
      </c>
      <c r="X27" s="1562"/>
      <c r="Y27" s="3761"/>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4"/>
      <c r="M28" s="2126"/>
      <c r="N28" s="2126"/>
      <c r="O28" s="2133"/>
      <c r="P28" s="3761"/>
      <c r="Q28" s="1564">
        <f t="shared" si="11"/>
        <v>111</v>
      </c>
      <c r="R28" s="1565" t="s">
        <v>11</v>
      </c>
      <c r="S28" s="1566">
        <f t="shared" ref="S28:S46" si="12">F28</f>
        <v>100</v>
      </c>
      <c r="T28" s="1565" t="s">
        <v>11</v>
      </c>
      <c r="U28" s="1566">
        <f t="shared" ref="U28:U46" si="13">H28</f>
        <v>100</v>
      </c>
      <c r="V28" s="1565" t="s">
        <v>11</v>
      </c>
      <c r="W28" s="1566">
        <f t="shared" ref="W28:W46" si="14">J28</f>
        <v>100</v>
      </c>
      <c r="X28" s="1559"/>
      <c r="Y28" s="3761"/>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4"/>
      <c r="M29" s="2126"/>
      <c r="N29" s="2126"/>
      <c r="O29" s="2133"/>
      <c r="P29" s="3761"/>
      <c r="Q29" s="1564">
        <f t="shared" si="11"/>
        <v>111</v>
      </c>
      <c r="R29" s="1565" t="s">
        <v>11</v>
      </c>
      <c r="S29" s="1566">
        <f t="shared" si="12"/>
        <v>100</v>
      </c>
      <c r="T29" s="1565" t="s">
        <v>11</v>
      </c>
      <c r="U29" s="1566">
        <f t="shared" si="13"/>
        <v>100</v>
      </c>
      <c r="V29" s="1565" t="s">
        <v>11</v>
      </c>
      <c r="W29" s="1566">
        <f t="shared" si="14"/>
        <v>100</v>
      </c>
      <c r="X29" s="1559"/>
      <c r="Y29" s="3761"/>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4"/>
      <c r="M30" s="2126"/>
      <c r="N30" s="2126"/>
      <c r="O30" s="2133"/>
      <c r="P30" s="3761"/>
      <c r="Q30" s="1564">
        <f t="shared" si="11"/>
        <v>111</v>
      </c>
      <c r="R30" s="1565" t="s">
        <v>11</v>
      </c>
      <c r="S30" s="1566">
        <f t="shared" si="12"/>
        <v>100</v>
      </c>
      <c r="T30" s="1565" t="s">
        <v>11</v>
      </c>
      <c r="U30" s="1566">
        <f t="shared" si="13"/>
        <v>100</v>
      </c>
      <c r="V30" s="1565" t="s">
        <v>11</v>
      </c>
      <c r="W30" s="1566">
        <f t="shared" si="14"/>
        <v>100</v>
      </c>
      <c r="X30" s="1559"/>
      <c r="Y30" s="3761"/>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4"/>
      <c r="M31" s="2126"/>
      <c r="N31" s="2126"/>
      <c r="O31" s="2133"/>
      <c r="P31" s="3761"/>
      <c r="Q31" s="1564">
        <f t="shared" si="11"/>
        <v>111</v>
      </c>
      <c r="R31" s="1565" t="s">
        <v>11</v>
      </c>
      <c r="S31" s="1566">
        <f t="shared" si="12"/>
        <v>100</v>
      </c>
      <c r="T31" s="1565" t="s">
        <v>11</v>
      </c>
      <c r="U31" s="1566">
        <f t="shared" si="13"/>
        <v>100</v>
      </c>
      <c r="V31" s="1565" t="s">
        <v>11</v>
      </c>
      <c r="W31" s="1566">
        <f t="shared" si="14"/>
        <v>100</v>
      </c>
      <c r="X31" s="1559"/>
      <c r="Y31" s="3761"/>
      <c r="Z31" s="1567">
        <f t="shared" si="15"/>
        <v>111</v>
      </c>
      <c r="AA31" s="1568">
        <f t="shared" si="3"/>
        <v>1</v>
      </c>
      <c r="AB31" s="1568">
        <f t="shared" si="4"/>
        <v>1</v>
      </c>
      <c r="AC31" s="1568">
        <f t="shared" si="5"/>
        <v>1</v>
      </c>
    </row>
    <row r="32" spans="1:29" ht="15">
      <c r="A32" s="2924" t="s">
        <v>2759</v>
      </c>
      <c r="B32" s="172" t="s">
        <v>726</v>
      </c>
      <c r="C32" s="3510" t="s">
        <v>3356</v>
      </c>
      <c r="D32" s="594">
        <v>100</v>
      </c>
      <c r="E32" s="3519" t="s">
        <v>3356</v>
      </c>
      <c r="F32" s="572">
        <f>SUMIF(100:100,E32,101:101)-SUMIF(100:100,C32,101:101)+100</f>
        <v>100</v>
      </c>
      <c r="G32" s="3510" t="s">
        <v>3356</v>
      </c>
      <c r="H32" s="594">
        <f>SUMIF(100:100,G32,101:101)-SUMIF(100:100,C32,101:101)+100</f>
        <v>100</v>
      </c>
      <c r="I32" s="3519" t="s">
        <v>3356</v>
      </c>
      <c r="J32" s="538">
        <f>SUMIF(100:100,I32,101:101)-SUMIF(100:100,C32,101:101)+100</f>
        <v>100</v>
      </c>
      <c r="K32" s="861">
        <v>2</v>
      </c>
      <c r="L32" s="2134"/>
      <c r="M32" s="2126"/>
      <c r="N32" s="2126"/>
      <c r="O32" s="2133"/>
      <c r="P32" s="3762" t="s">
        <v>551</v>
      </c>
      <c r="Q32" s="1564" t="str">
        <f t="shared" si="11"/>
        <v>建筑类型</v>
      </c>
      <c r="R32" s="1565" t="s">
        <v>11</v>
      </c>
      <c r="S32" s="1566">
        <f t="shared" si="12"/>
        <v>100</v>
      </c>
      <c r="T32" s="1565" t="s">
        <v>11</v>
      </c>
      <c r="U32" s="1566">
        <f t="shared" si="13"/>
        <v>100</v>
      </c>
      <c r="V32" s="1565" t="s">
        <v>11</v>
      </c>
      <c r="W32" s="1566">
        <f t="shared" si="14"/>
        <v>100</v>
      </c>
      <c r="X32" s="1559"/>
      <c r="Y32" s="3763"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2"/>
      <c r="M33" s="2163"/>
      <c r="N33" s="2163"/>
      <c r="O33" s="2135"/>
      <c r="P33" s="3763"/>
      <c r="Q33" s="1597" t="str">
        <f t="shared" si="11"/>
        <v>项目建筑规模</v>
      </c>
      <c r="R33" s="1569" t="s">
        <v>11</v>
      </c>
      <c r="S33" s="1570">
        <f t="shared" si="12"/>
        <v>100</v>
      </c>
      <c r="T33" s="1569" t="s">
        <v>11</v>
      </c>
      <c r="U33" s="1570">
        <f t="shared" si="13"/>
        <v>100</v>
      </c>
      <c r="V33" s="1569" t="s">
        <v>11</v>
      </c>
      <c r="W33" s="1570">
        <f t="shared" si="14"/>
        <v>100</v>
      </c>
      <c r="X33" s="1571"/>
      <c r="Y33" s="3763"/>
      <c r="Z33" s="1572" t="str">
        <f t="shared" si="15"/>
        <v>项目建筑规模</v>
      </c>
      <c r="AA33" s="1568">
        <f t="shared" si="3"/>
        <v>1</v>
      </c>
      <c r="AB33" s="1568">
        <f t="shared" si="4"/>
        <v>1</v>
      </c>
      <c r="AC33" s="1568">
        <f t="shared" si="5"/>
        <v>1</v>
      </c>
    </row>
    <row r="34" spans="1:29" ht="15">
      <c r="A34" s="591"/>
      <c r="B34" s="525" t="s">
        <v>728</v>
      </c>
      <c r="C34" s="3511" t="s">
        <v>3357</v>
      </c>
      <c r="D34" s="538">
        <v>100</v>
      </c>
      <c r="E34" s="3512" t="s">
        <v>3357</v>
      </c>
      <c r="F34" s="572">
        <f>SUMIF(105:105,E34,106:106)-SUMIF(105:105,C34,106:106)+100</f>
        <v>100</v>
      </c>
      <c r="G34" s="3511" t="s">
        <v>3357</v>
      </c>
      <c r="H34" s="538">
        <f>SUMIF(105:105,G34,106:106)-SUMIF(105:105,C34,106:106)+100</f>
        <v>100</v>
      </c>
      <c r="I34" s="3512" t="s">
        <v>3357</v>
      </c>
      <c r="J34" s="538">
        <f>SUMIF(105:105,I34,106:106)-SUMIF(105:105,C34,106:106)+100</f>
        <v>100</v>
      </c>
      <c r="K34" s="861">
        <v>2</v>
      </c>
      <c r="L34" s="2134"/>
      <c r="M34" s="2126"/>
      <c r="N34" s="2126"/>
      <c r="O34" s="2133"/>
      <c r="P34" s="3763"/>
      <c r="Q34" s="1564" t="str">
        <f t="shared" si="11"/>
        <v>建筑结构</v>
      </c>
      <c r="R34" s="1565" t="s">
        <v>11</v>
      </c>
      <c r="S34" s="1566">
        <f t="shared" si="12"/>
        <v>100</v>
      </c>
      <c r="T34" s="1565" t="s">
        <v>11</v>
      </c>
      <c r="U34" s="1566">
        <f t="shared" si="13"/>
        <v>100</v>
      </c>
      <c r="V34" s="1565" t="s">
        <v>11</v>
      </c>
      <c r="W34" s="1566">
        <f t="shared" si="14"/>
        <v>100</v>
      </c>
      <c r="X34" s="1559"/>
      <c r="Y34" s="3763"/>
      <c r="Z34" s="1567" t="str">
        <f t="shared" si="15"/>
        <v>建筑结构</v>
      </c>
      <c r="AA34" s="1568">
        <f t="shared" si="3"/>
        <v>1</v>
      </c>
      <c r="AB34" s="1568">
        <f t="shared" si="4"/>
        <v>1</v>
      </c>
      <c r="AC34" s="1568">
        <f t="shared" si="5"/>
        <v>1</v>
      </c>
    </row>
    <row r="35" spans="1:29" ht="15">
      <c r="A35" s="591"/>
      <c r="B35" s="525" t="s">
        <v>729</v>
      </c>
      <c r="C35" s="3495" t="s">
        <v>3353</v>
      </c>
      <c r="D35" s="538">
        <v>100</v>
      </c>
      <c r="E35" s="3520" t="s">
        <v>3353</v>
      </c>
      <c r="F35" s="572">
        <f>SUMIF(107:107,E35,108:108)-SUMIF(107:107,C35,108:108)+100</f>
        <v>100</v>
      </c>
      <c r="G35" s="3495" t="s">
        <v>3353</v>
      </c>
      <c r="H35" s="538">
        <f>SUMIF(107:107,G35,108:108)-SUMIF(107:107,C35,108:108)+100</f>
        <v>100</v>
      </c>
      <c r="I35" s="3520" t="s">
        <v>3353</v>
      </c>
      <c r="J35" s="538">
        <f>SUMIF(107:107,I35,108:108)-SUMIF(107:107,C35,108:108)+100</f>
        <v>100</v>
      </c>
      <c r="K35" s="861">
        <v>2</v>
      </c>
      <c r="L35" s="2134"/>
      <c r="M35" s="2126"/>
      <c r="N35" s="2126"/>
      <c r="O35" s="2133"/>
      <c r="P35" s="3763"/>
      <c r="Q35" s="1564" t="str">
        <f t="shared" si="11"/>
        <v>建筑品质</v>
      </c>
      <c r="R35" s="1565" t="s">
        <v>11</v>
      </c>
      <c r="S35" s="1566">
        <f t="shared" si="12"/>
        <v>100</v>
      </c>
      <c r="T35" s="1565" t="s">
        <v>11</v>
      </c>
      <c r="U35" s="1566">
        <f t="shared" si="13"/>
        <v>100</v>
      </c>
      <c r="V35" s="1565" t="s">
        <v>11</v>
      </c>
      <c r="W35" s="1566">
        <f t="shared" si="14"/>
        <v>100</v>
      </c>
      <c r="X35" s="1559"/>
      <c r="Y35" s="3763"/>
      <c r="Z35" s="1567" t="str">
        <f t="shared" si="15"/>
        <v>建筑品质</v>
      </c>
      <c r="AA35" s="1568">
        <f t="shared" si="3"/>
        <v>1</v>
      </c>
      <c r="AB35" s="1568">
        <f t="shared" si="4"/>
        <v>1</v>
      </c>
      <c r="AC35" s="1568">
        <f t="shared" si="5"/>
        <v>1</v>
      </c>
    </row>
    <row r="36" spans="1:29" ht="15">
      <c r="A36" s="591"/>
      <c r="B36" s="525" t="s">
        <v>730</v>
      </c>
      <c r="C36" s="3495" t="s">
        <v>3358</v>
      </c>
      <c r="D36" s="538">
        <v>100</v>
      </c>
      <c r="E36" s="3520" t="s">
        <v>3358</v>
      </c>
      <c r="F36" s="572">
        <f>SUMIF(109:109,E36,110:110)-SUMIF(109:109,C36,110:110)+100</f>
        <v>100</v>
      </c>
      <c r="G36" s="3495" t="s">
        <v>3358</v>
      </c>
      <c r="H36" s="538">
        <f>SUMIF(109:109,G36,110:110)-SUMIF(109:109,C36,110:110)+100</f>
        <v>100</v>
      </c>
      <c r="I36" s="3520" t="s">
        <v>3358</v>
      </c>
      <c r="J36" s="538">
        <f>SUMIF(109:109,I36,110:110)-SUMIF(109:109,C36,110:110)+100</f>
        <v>100</v>
      </c>
      <c r="K36" s="861">
        <v>2</v>
      </c>
      <c r="L36" s="2134"/>
      <c r="M36" s="2126"/>
      <c r="N36" s="2126"/>
      <c r="O36" s="2133"/>
      <c r="P36" s="3763"/>
      <c r="Q36" s="1564" t="str">
        <f t="shared" si="11"/>
        <v>公共部分装修</v>
      </c>
      <c r="R36" s="1565" t="s">
        <v>11</v>
      </c>
      <c r="S36" s="1566">
        <f t="shared" si="12"/>
        <v>100</v>
      </c>
      <c r="T36" s="1565" t="s">
        <v>11</v>
      </c>
      <c r="U36" s="1566">
        <f t="shared" si="13"/>
        <v>100</v>
      </c>
      <c r="V36" s="1565" t="s">
        <v>11</v>
      </c>
      <c r="W36" s="1566">
        <f t="shared" si="14"/>
        <v>100</v>
      </c>
      <c r="X36" s="1559"/>
      <c r="Y36" s="3763"/>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7"/>
      <c r="M37" s="2128"/>
      <c r="N37" s="2128"/>
      <c r="O37" s="2129"/>
      <c r="P37" s="3763"/>
      <c r="Q37" s="1144" t="str">
        <f t="shared" si="11"/>
        <v>成新度</v>
      </c>
      <c r="R37" s="1560" t="s">
        <v>11</v>
      </c>
      <c r="S37" s="1561">
        <f t="shared" si="12"/>
        <v>100</v>
      </c>
      <c r="T37" s="1560" t="s">
        <v>11</v>
      </c>
      <c r="U37" s="1561">
        <f t="shared" si="13"/>
        <v>100</v>
      </c>
      <c r="V37" s="1560" t="s">
        <v>11</v>
      </c>
      <c r="W37" s="1561">
        <f t="shared" si="14"/>
        <v>100</v>
      </c>
      <c r="X37" s="1562"/>
      <c r="Y37" s="3763"/>
      <c r="Z37" s="1143" t="str">
        <f t="shared" si="15"/>
        <v>成新度</v>
      </c>
      <c r="AA37" s="1563">
        <f t="shared" si="3"/>
        <v>1</v>
      </c>
      <c r="AB37" s="1563">
        <f t="shared" si="4"/>
        <v>1</v>
      </c>
      <c r="AC37" s="1563">
        <f t="shared" si="5"/>
        <v>1</v>
      </c>
    </row>
    <row r="38" spans="1:29" ht="15">
      <c r="A38" s="591"/>
      <c r="B38" s="525" t="s">
        <v>732</v>
      </c>
      <c r="C38" s="3495" t="s">
        <v>3359</v>
      </c>
      <c r="D38" s="538">
        <v>100</v>
      </c>
      <c r="E38" s="3520" t="s">
        <v>3359</v>
      </c>
      <c r="F38" s="572">
        <f>SUMIF(114:114,E38,115:115)-SUMIF(114:114,C38,115:115)+100</f>
        <v>100</v>
      </c>
      <c r="G38" s="3495" t="s">
        <v>3359</v>
      </c>
      <c r="H38" s="538">
        <f>SUMIF(114:114,G38,115:115)-SUMIF(114:114,C38,115:115)+100</f>
        <v>100</v>
      </c>
      <c r="I38" s="3520" t="s">
        <v>3359</v>
      </c>
      <c r="J38" s="538">
        <f>SUMIF(114:114,I38,115:115)-SUMIF(114:114,C38,115:115)+100</f>
        <v>100</v>
      </c>
      <c r="K38" s="861">
        <v>2</v>
      </c>
      <c r="L38" s="2134"/>
      <c r="M38" s="2126"/>
      <c r="N38" s="2126"/>
      <c r="O38" s="2133"/>
      <c r="P38" s="3763" t="s">
        <v>551</v>
      </c>
      <c r="Q38" s="1564" t="str">
        <f t="shared" si="11"/>
        <v>物业管理</v>
      </c>
      <c r="R38" s="1565" t="s">
        <v>11</v>
      </c>
      <c r="S38" s="1566">
        <f t="shared" si="12"/>
        <v>100</v>
      </c>
      <c r="T38" s="1565" t="s">
        <v>11</v>
      </c>
      <c r="U38" s="1566">
        <f t="shared" si="13"/>
        <v>100</v>
      </c>
      <c r="V38" s="1565" t="s">
        <v>11</v>
      </c>
      <c r="W38" s="1566">
        <f t="shared" si="14"/>
        <v>100</v>
      </c>
      <c r="X38" s="1559"/>
      <c r="Y38" s="3763" t="s">
        <v>551</v>
      </c>
      <c r="Z38" s="1567" t="str">
        <f t="shared" si="15"/>
        <v>物业管理</v>
      </c>
      <c r="AA38" s="1568">
        <f t="shared" si="3"/>
        <v>1</v>
      </c>
      <c r="AB38" s="1568">
        <f t="shared" si="4"/>
        <v>1</v>
      </c>
      <c r="AC38" s="1568">
        <f t="shared" si="5"/>
        <v>1</v>
      </c>
    </row>
    <row r="39" spans="1:29" ht="15">
      <c r="A39" s="591"/>
      <c r="B39" s="1887" t="s">
        <v>2568</v>
      </c>
      <c r="C39" s="3495" t="s">
        <v>3355</v>
      </c>
      <c r="D39" s="538">
        <v>100</v>
      </c>
      <c r="E39" s="3520" t="s">
        <v>3355</v>
      </c>
      <c r="F39" s="572">
        <f>SUMIF(116:116,E39,117:117)-SUMIF(116:116,C39,117:117)+100</f>
        <v>100</v>
      </c>
      <c r="G39" s="3495" t="s">
        <v>3355</v>
      </c>
      <c r="H39" s="538">
        <f>SUMIF(116:116,G39,117:117)-SUMIF(116:116,C39,117:117)+100</f>
        <v>100</v>
      </c>
      <c r="I39" s="3520" t="s">
        <v>3355</v>
      </c>
      <c r="J39" s="538">
        <f>SUMIF(116:116,I39,117:117)-SUMIF(116:116,C39,117:117)+100</f>
        <v>100</v>
      </c>
      <c r="K39" s="861">
        <v>2</v>
      </c>
      <c r="L39" s="2134"/>
      <c r="M39" s="2126"/>
      <c r="N39" s="2126"/>
      <c r="O39" s="2133"/>
      <c r="P39" s="3763"/>
      <c r="Q39" s="1564" t="str">
        <f t="shared" si="11"/>
        <v>市政基础设施</v>
      </c>
      <c r="R39" s="1565" t="s">
        <v>11</v>
      </c>
      <c r="S39" s="1566">
        <f t="shared" si="12"/>
        <v>100</v>
      </c>
      <c r="T39" s="1565" t="s">
        <v>11</v>
      </c>
      <c r="U39" s="1566">
        <f t="shared" si="13"/>
        <v>100</v>
      </c>
      <c r="V39" s="1565" t="s">
        <v>11</v>
      </c>
      <c r="W39" s="1566">
        <f t="shared" si="14"/>
        <v>100</v>
      </c>
      <c r="X39" s="1559"/>
      <c r="Y39" s="3763"/>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4"/>
      <c r="M40" s="2126"/>
      <c r="N40" s="2126"/>
      <c r="O40" s="2133"/>
      <c r="P40" s="3763"/>
      <c r="Q40" s="1564" t="str">
        <f t="shared" si="11"/>
        <v>房型</v>
      </c>
      <c r="R40" s="1565" t="s">
        <v>11</v>
      </c>
      <c r="S40" s="1566">
        <f t="shared" si="12"/>
        <v>100</v>
      </c>
      <c r="T40" s="1565" t="s">
        <v>11</v>
      </c>
      <c r="U40" s="1566">
        <f t="shared" si="13"/>
        <v>100</v>
      </c>
      <c r="V40" s="1565" t="s">
        <v>11</v>
      </c>
      <c r="W40" s="1566">
        <f t="shared" si="14"/>
        <v>100</v>
      </c>
      <c r="X40" s="1559"/>
      <c r="Y40" s="3763"/>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2"/>
      <c r="M41" s="2163"/>
      <c r="N41" s="2163"/>
      <c r="O41" s="2135"/>
      <c r="P41" s="3763"/>
      <c r="Q41" s="1597" t="str">
        <f t="shared" si="11"/>
        <v>单套/主力户型建筑面积</v>
      </c>
      <c r="R41" s="1569" t="s">
        <v>11</v>
      </c>
      <c r="S41" s="1570">
        <f t="shared" si="12"/>
        <v>100</v>
      </c>
      <c r="T41" s="1569" t="s">
        <v>11</v>
      </c>
      <c r="U41" s="1570">
        <f t="shared" si="13"/>
        <v>100</v>
      </c>
      <c r="V41" s="1569" t="s">
        <v>11</v>
      </c>
      <c r="W41" s="1570">
        <f t="shared" si="14"/>
        <v>100</v>
      </c>
      <c r="X41" s="1571"/>
      <c r="Y41" s="3763"/>
      <c r="Z41" s="1572" t="str">
        <f t="shared" si="15"/>
        <v>单套/主力户型建筑面积</v>
      </c>
      <c r="AA41" s="1568">
        <f t="shared" si="3"/>
        <v>1</v>
      </c>
      <c r="AB41" s="1568">
        <f t="shared" si="4"/>
        <v>1</v>
      </c>
      <c r="AC41" s="1568">
        <f t="shared" si="5"/>
        <v>1</v>
      </c>
    </row>
    <row r="42" spans="1:29" ht="15">
      <c r="A42" s="591"/>
      <c r="B42" s="525" t="s">
        <v>735</v>
      </c>
      <c r="C42" s="3549" t="s">
        <v>3473</v>
      </c>
      <c r="D42" s="538">
        <v>100</v>
      </c>
      <c r="E42" s="3520" t="s">
        <v>3358</v>
      </c>
      <c r="F42" s="572">
        <f>SUMIF(122:122,E42,123:123)-SUMIF(122:122,C42,123:123)+100</f>
        <v>100</v>
      </c>
      <c r="G42" s="3495" t="s">
        <v>3360</v>
      </c>
      <c r="H42" s="538">
        <f>SUMIF(122:122,G42,123:123)-SUMIF(122:122,C42,123:123)+100</f>
        <v>94</v>
      </c>
      <c r="I42" s="3520" t="s">
        <v>3361</v>
      </c>
      <c r="J42" s="538">
        <f>SUMIF(122:122,I42,123:123)-SUMIF(122:122,C42,123:123)+100</f>
        <v>94</v>
      </c>
      <c r="K42" s="861">
        <v>2</v>
      </c>
      <c r="L42" s="2134"/>
      <c r="M42" s="2126"/>
      <c r="N42" s="2126"/>
      <c r="O42" s="2133"/>
      <c r="P42" s="3763"/>
      <c r="Q42" s="1564" t="str">
        <f t="shared" si="11"/>
        <v>内部装修</v>
      </c>
      <c r="R42" s="1565" t="s">
        <v>11</v>
      </c>
      <c r="S42" s="1566">
        <f t="shared" si="12"/>
        <v>100</v>
      </c>
      <c r="T42" s="1565" t="s">
        <v>11</v>
      </c>
      <c r="U42" s="1566">
        <f t="shared" si="13"/>
        <v>94</v>
      </c>
      <c r="V42" s="1565" t="s">
        <v>11</v>
      </c>
      <c r="W42" s="1566">
        <f t="shared" si="14"/>
        <v>94</v>
      </c>
      <c r="X42" s="1559"/>
      <c r="Y42" s="3763"/>
      <c r="Z42" s="1567" t="str">
        <f t="shared" si="15"/>
        <v>内部装修</v>
      </c>
      <c r="AA42" s="1568">
        <f t="shared" si="3"/>
        <v>1</v>
      </c>
      <c r="AB42" s="1568">
        <f t="shared" si="4"/>
        <v>1.0638297872340425</v>
      </c>
      <c r="AC42" s="1568">
        <f t="shared" si="5"/>
        <v>1.0638297872340425</v>
      </c>
    </row>
    <row r="43" spans="1:29" ht="27">
      <c r="A43" s="591"/>
      <c r="B43" s="525" t="s">
        <v>736</v>
      </c>
      <c r="C43" s="3495" t="s">
        <v>3353</v>
      </c>
      <c r="D43" s="538">
        <v>100</v>
      </c>
      <c r="E43" s="3520" t="s">
        <v>3353</v>
      </c>
      <c r="F43" s="572">
        <f>SUMIF(124:124,E43,125:125)-SUMIF(124:124,C43,125:125)+100</f>
        <v>100</v>
      </c>
      <c r="G43" s="3495" t="s">
        <v>3353</v>
      </c>
      <c r="H43" s="538">
        <f>SUMIF(124:124,G43,125:125)-SUMIF(124:124,C43,125:125)+100</f>
        <v>100</v>
      </c>
      <c r="I43" s="3520" t="s">
        <v>3353</v>
      </c>
      <c r="J43" s="538">
        <f>SUMIF(124:124,I43,125:125)-SUMIF(124:124,C43,125:125)+100</f>
        <v>100</v>
      </c>
      <c r="K43" s="861">
        <v>2</v>
      </c>
      <c r="L43" s="2134"/>
      <c r="M43" s="2126"/>
      <c r="N43" s="2126"/>
      <c r="O43" s="2133"/>
      <c r="P43" s="3763"/>
      <c r="Q43" s="1564" t="str">
        <f t="shared" si="11"/>
        <v>内部装修维护情况</v>
      </c>
      <c r="R43" s="1565" t="s">
        <v>11</v>
      </c>
      <c r="S43" s="1566">
        <f t="shared" si="12"/>
        <v>100</v>
      </c>
      <c r="T43" s="1565" t="s">
        <v>11</v>
      </c>
      <c r="U43" s="1566">
        <f t="shared" si="13"/>
        <v>100</v>
      </c>
      <c r="V43" s="1565" t="s">
        <v>11</v>
      </c>
      <c r="W43" s="1566">
        <f t="shared" si="14"/>
        <v>100</v>
      </c>
      <c r="X43" s="1559"/>
      <c r="Y43" s="3763"/>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7"/>
      <c r="M44" s="2128"/>
      <c r="N44" s="2128"/>
      <c r="O44" s="2129"/>
      <c r="P44" s="3763"/>
      <c r="Q44" s="1144">
        <f t="shared" si="11"/>
        <v>111</v>
      </c>
      <c r="R44" s="1560" t="s">
        <v>11</v>
      </c>
      <c r="S44" s="1561">
        <f t="shared" si="12"/>
        <v>100</v>
      </c>
      <c r="T44" s="1560" t="s">
        <v>11</v>
      </c>
      <c r="U44" s="1561">
        <f t="shared" si="13"/>
        <v>100</v>
      </c>
      <c r="V44" s="1560" t="s">
        <v>11</v>
      </c>
      <c r="W44" s="1561">
        <f t="shared" si="14"/>
        <v>100</v>
      </c>
      <c r="X44" s="1562"/>
      <c r="Y44" s="3763"/>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4"/>
      <c r="M45" s="2126"/>
      <c r="N45" s="2126"/>
      <c r="O45" s="2133"/>
      <c r="P45" s="3763"/>
      <c r="Q45" s="1564">
        <f t="shared" si="11"/>
        <v>111</v>
      </c>
      <c r="R45" s="1565" t="s">
        <v>11</v>
      </c>
      <c r="S45" s="1566">
        <f t="shared" si="12"/>
        <v>100</v>
      </c>
      <c r="T45" s="1565" t="s">
        <v>11</v>
      </c>
      <c r="U45" s="1566">
        <f t="shared" si="13"/>
        <v>100</v>
      </c>
      <c r="V45" s="1565" t="s">
        <v>11</v>
      </c>
      <c r="W45" s="1566">
        <f t="shared" si="14"/>
        <v>100</v>
      </c>
      <c r="X45" s="1559"/>
      <c r="Y45" s="3763"/>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4"/>
      <c r="M46" s="2126"/>
      <c r="N46" s="2126"/>
      <c r="O46" s="2133"/>
      <c r="P46" s="3860"/>
      <c r="Q46" s="1564">
        <f t="shared" si="11"/>
        <v>1</v>
      </c>
      <c r="R46" s="1565" t="s">
        <v>10</v>
      </c>
      <c r="S46" s="1566">
        <f t="shared" si="12"/>
        <v>100</v>
      </c>
      <c r="T46" s="1565" t="s">
        <v>10</v>
      </c>
      <c r="U46" s="1566">
        <f t="shared" si="13"/>
        <v>100</v>
      </c>
      <c r="V46" s="1565" t="s">
        <v>10</v>
      </c>
      <c r="W46" s="1566">
        <f t="shared" si="14"/>
        <v>100</v>
      </c>
      <c r="X46" s="1559"/>
      <c r="Y46" s="3860"/>
      <c r="Z46" s="1567">
        <f t="shared" si="15"/>
        <v>1</v>
      </c>
      <c r="AA46" s="1568">
        <f t="shared" si="3"/>
        <v>1</v>
      </c>
      <c r="AB46" s="1568">
        <f t="shared" si="4"/>
        <v>1</v>
      </c>
      <c r="AC46" s="1568">
        <f t="shared" si="5"/>
        <v>1</v>
      </c>
    </row>
    <row r="47" spans="1:29" ht="15">
      <c r="A47" s="604" t="s">
        <v>737</v>
      </c>
      <c r="B47" s="880"/>
      <c r="C47" s="2643" t="s">
        <v>9</v>
      </c>
      <c r="D47" s="2644"/>
      <c r="E47" s="2645">
        <f>17000*B46</f>
        <v>17000</v>
      </c>
      <c r="F47" s="2646"/>
      <c r="G47" s="2647">
        <f>14000*B46</f>
        <v>14000</v>
      </c>
      <c r="H47" s="2648"/>
      <c r="I47" s="2645">
        <f>13500*B46</f>
        <v>13500</v>
      </c>
      <c r="J47" s="2648"/>
      <c r="K47" s="1598"/>
      <c r="L47" s="2136"/>
      <c r="M47" s="2137"/>
      <c r="N47" s="2126"/>
      <c r="O47" s="2137"/>
      <c r="P47" s="3758" t="str">
        <f>A47</f>
        <v>成交单价（元/平方米）</v>
      </c>
      <c r="Q47" s="3758"/>
      <c r="R47" s="3859">
        <f>E47</f>
        <v>17000</v>
      </c>
      <c r="S47" s="3859"/>
      <c r="T47" s="3859">
        <f>G47</f>
        <v>14000</v>
      </c>
      <c r="U47" s="3859"/>
      <c r="V47" s="3859">
        <f>I47</f>
        <v>13500</v>
      </c>
      <c r="W47" s="3859"/>
      <c r="X47" s="1551"/>
      <c r="Y47" s="1573"/>
      <c r="Z47" s="1551"/>
      <c r="AA47" s="1551"/>
      <c r="AB47" s="1551"/>
      <c r="AC47" s="1551"/>
    </row>
    <row r="48" spans="1:29" ht="15.75" thickBot="1">
      <c r="A48" s="612" t="s">
        <v>2764</v>
      </c>
      <c r="B48" s="881"/>
      <c r="C48" s="2649" t="e">
        <f>R49</f>
        <v>#DIV/0!</v>
      </c>
      <c r="D48" s="2650"/>
      <c r="E48" s="2651" t="e">
        <f>R48</f>
        <v>#DIV/0!</v>
      </c>
      <c r="F48" s="2651"/>
      <c r="G48" s="2649" t="e">
        <f>T48</f>
        <v>#DIV/0!</v>
      </c>
      <c r="H48" s="2650"/>
      <c r="I48" s="2651" t="e">
        <f>V48</f>
        <v>#DIV/0!</v>
      </c>
      <c r="J48" s="2650"/>
      <c r="K48" s="1599"/>
      <c r="L48" s="2136"/>
      <c r="M48" s="2137"/>
      <c r="N48" s="2137"/>
      <c r="O48" s="2137"/>
      <c r="P48" s="3758" t="str">
        <f>A48</f>
        <v>比较价格（元/平方米）</v>
      </c>
      <c r="Q48" s="3758"/>
      <c r="R48" s="3859" t="e">
        <f>IF(F1="售价",ROUND(PRODUCT(R47,AA7:AA46),0),ROUND(PRODUCT(R47,AA7:AA46),1))</f>
        <v>#DIV/0!</v>
      </c>
      <c r="S48" s="3859"/>
      <c r="T48" s="3859" t="e">
        <f>IF(F1="售价",ROUND(PRODUCT(T47,AB7:AB46),0),ROUND(PRODUCT(T47,AB7:AB46),1))</f>
        <v>#DIV/0!</v>
      </c>
      <c r="U48" s="3859"/>
      <c r="V48" s="3859" t="e">
        <f>IF(F1="售价",ROUND(PRODUCT(V47,AC7:AC46),0),ROUND(PRODUCT(V47,AC7:AC46),1))</f>
        <v>#DIV/0!</v>
      </c>
      <c r="W48" s="3859"/>
      <c r="X48" s="1551"/>
      <c r="Y48" s="1551"/>
      <c r="Z48" s="1551"/>
      <c r="AA48" s="1551"/>
      <c r="AB48" s="1551"/>
      <c r="AC48" s="1551"/>
    </row>
    <row r="49" spans="1:29" ht="15.75" thickBot="1">
      <c r="A49" s="618" t="s">
        <v>2935</v>
      </c>
      <c r="B49" s="619"/>
      <c r="C49" s="2652" t="e">
        <f>R49</f>
        <v>#DIV/0!</v>
      </c>
      <c r="D49" s="2652"/>
      <c r="E49" s="2652"/>
      <c r="F49" s="2652"/>
      <c r="G49" s="2652"/>
      <c r="H49" s="2652"/>
      <c r="I49" s="2652"/>
      <c r="J49" s="2652"/>
      <c r="K49" s="1600"/>
      <c r="L49" s="2136"/>
      <c r="M49" s="2137"/>
      <c r="N49" s="2137"/>
      <c r="O49" s="2137"/>
      <c r="P49" s="3779" t="str">
        <f>A49</f>
        <v>估价对象XX用房的比较价格（楼面单价，元/平方米）</v>
      </c>
      <c r="Q49" s="3780"/>
      <c r="R49" s="3858" t="e">
        <f>IF(F1="售价",ROUND(AVERAGE(R48:V48),0),ROUND(AVERAGE(R48:V48),1))</f>
        <v>#DIV/0!</v>
      </c>
      <c r="S49" s="3858"/>
      <c r="T49" s="3858"/>
      <c r="U49" s="3858"/>
      <c r="V49" s="3858"/>
      <c r="W49" s="3858"/>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21" t="str">
        <f>YEAR(C7)&amp;"-"&amp;MONTH(C7)</f>
        <v>2018-6</v>
      </c>
      <c r="D58" s="2821">
        <f>EDATE(C58,-1)</f>
        <v>43221</v>
      </c>
      <c r="E58" s="2821">
        <f t="shared" ref="E58:O58" si="16">EDATE(D58,-1)</f>
        <v>43191</v>
      </c>
      <c r="F58" s="2821">
        <f t="shared" si="16"/>
        <v>43160</v>
      </c>
      <c r="G58" s="2821">
        <f t="shared" si="16"/>
        <v>43132</v>
      </c>
      <c r="H58" s="2821">
        <f t="shared" si="16"/>
        <v>43101</v>
      </c>
      <c r="I58" s="2821">
        <f t="shared" si="16"/>
        <v>43070</v>
      </c>
      <c r="J58" s="2821">
        <f t="shared" si="16"/>
        <v>43040</v>
      </c>
      <c r="K58" s="2821">
        <f t="shared" si="16"/>
        <v>43009</v>
      </c>
      <c r="L58" s="2821">
        <f t="shared" si="16"/>
        <v>42979</v>
      </c>
      <c r="M58" s="2821">
        <f t="shared" si="16"/>
        <v>42948</v>
      </c>
      <c r="N58" s="2821">
        <f t="shared" si="16"/>
        <v>42917</v>
      </c>
      <c r="O58" s="2821">
        <f t="shared" si="16"/>
        <v>42887</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578</v>
      </c>
      <c r="B63" s="662" t="s">
        <v>535</v>
      </c>
      <c r="C63" s="701" t="str">
        <f>C9</f>
        <v>公寓</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2</v>
      </c>
      <c r="E68" s="539">
        <v>3</v>
      </c>
      <c r="F68" s="539">
        <v>4</v>
      </c>
      <c r="G68" s="539"/>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98</v>
      </c>
      <c r="E79" s="676">
        <f>D79-$K17</f>
        <v>96</v>
      </c>
      <c r="F79" s="676">
        <f>E79-$K17</f>
        <v>94</v>
      </c>
      <c r="G79" s="676">
        <f>F79-$K17</f>
        <v>92</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98</v>
      </c>
      <c r="E81" s="676">
        <f>D81-$K19</f>
        <v>96</v>
      </c>
      <c r="F81" s="676">
        <f>E81-$K19</f>
        <v>94</v>
      </c>
      <c r="G81" s="676">
        <f>F81-$K19</f>
        <v>92</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98</v>
      </c>
      <c r="E85" s="676">
        <f>D85-$K23</f>
        <v>96</v>
      </c>
      <c r="F85" s="676">
        <f>E85-$K23</f>
        <v>94</v>
      </c>
      <c r="G85" s="676">
        <f>F85-$K23</f>
        <v>92</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1888" t="s">
        <v>2258</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
        <v>747</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748</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727">
        <v>0</v>
      </c>
      <c r="D103" s="727">
        <v>100</v>
      </c>
      <c r="E103" s="727">
        <v>200</v>
      </c>
      <c r="F103" s="727">
        <v>300</v>
      </c>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751</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752</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8"/>
      <c r="O110" s="2158"/>
      <c r="P110" s="2157"/>
      <c r="Q110" s="2150"/>
      <c r="R110" s="2137"/>
      <c r="S110" s="2137"/>
      <c r="T110" s="2137"/>
      <c r="U110" s="2137"/>
      <c r="V110" s="2137"/>
      <c r="W110" s="2137"/>
      <c r="X110" s="2137"/>
      <c r="Y110" s="2137"/>
      <c r="Z110" s="2137"/>
      <c r="AA110" s="2137"/>
      <c r="AB110" s="2137"/>
      <c r="AC110" s="2137"/>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2" customFormat="1">
      <c r="A112" s="725"/>
      <c r="B112" s="678"/>
      <c r="C112" s="887">
        <v>0.5</v>
      </c>
      <c r="D112" s="887">
        <v>0.6</v>
      </c>
      <c r="E112" s="887">
        <v>0.7</v>
      </c>
      <c r="F112" s="887">
        <v>0.8</v>
      </c>
      <c r="G112" s="887">
        <v>0.9</v>
      </c>
      <c r="H112" s="887">
        <v>1.0001</v>
      </c>
      <c r="I112" s="887"/>
      <c r="J112" s="888"/>
      <c r="K112" s="888"/>
      <c r="L112" s="889"/>
      <c r="M112" s="890"/>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2560</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755</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8"/>
      <c r="O119" s="2158"/>
      <c r="P119" s="2157"/>
      <c r="Q119" s="2150"/>
      <c r="R119" s="2137"/>
      <c r="S119" s="2137"/>
      <c r="T119" s="2137"/>
      <c r="U119" s="2137"/>
      <c r="V119" s="2137"/>
      <c r="W119" s="2137"/>
      <c r="X119" s="2137"/>
      <c r="Y119" s="2137"/>
      <c r="Z119" s="2137"/>
      <c r="AA119" s="2137"/>
      <c r="AB119" s="2137"/>
      <c r="AC119" s="2137"/>
    </row>
    <row r="120" spans="1:29" s="1332" customFormat="1" ht="28.5" thickTop="1">
      <c r="A120" s="725"/>
      <c r="B120" s="670" t="s">
        <v>734</v>
      </c>
      <c r="C120" s="685"/>
      <c r="D120" s="685"/>
      <c r="E120" s="685"/>
      <c r="F120" s="685"/>
      <c r="G120" s="685"/>
      <c r="H120" s="685"/>
      <c r="I120" s="685"/>
      <c r="J120" s="685"/>
      <c r="K120" s="685"/>
      <c r="L120" s="883"/>
      <c r="M120" s="884"/>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3482" t="s">
        <v>3358</v>
      </c>
      <c r="D122" s="3482" t="s">
        <v>3362</v>
      </c>
      <c r="E122" s="3482" t="s">
        <v>3363</v>
      </c>
      <c r="F122" s="3521" t="s">
        <v>3360</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2259</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2260</v>
      </c>
      <c r="C137" s="1911"/>
      <c r="D137" s="1911"/>
      <c r="E137" s="1911"/>
      <c r="F137" s="1911"/>
      <c r="G137" s="1912"/>
      <c r="H137" s="1913"/>
      <c r="I137" s="1914" t="s">
        <v>2261</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2262</v>
      </c>
      <c r="D138" s="1917" t="s">
        <v>2263</v>
      </c>
      <c r="E138" s="1918" t="s">
        <v>2264</v>
      </c>
      <c r="F138" s="1919" t="s">
        <v>2265</v>
      </c>
      <c r="G138" s="1917" t="s">
        <v>2266</v>
      </c>
      <c r="H138" s="1920" t="s">
        <v>2267</v>
      </c>
      <c r="I138" s="1921"/>
      <c r="J138" s="1917" t="s">
        <v>2268</v>
      </c>
      <c r="K138" s="1920" t="s">
        <v>2269</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2270</v>
      </c>
      <c r="E139" s="1891">
        <v>100</v>
      </c>
      <c r="F139" s="1892">
        <v>102.5</v>
      </c>
      <c r="G139" s="1922" t="s">
        <v>2271</v>
      </c>
      <c r="H139" s="1893">
        <v>105</v>
      </c>
      <c r="I139" s="1923" t="s">
        <v>2272</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2273</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2274</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2275</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2276</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2277</v>
      </c>
      <c r="E144" s="1897">
        <v>102</v>
      </c>
      <c r="F144" s="1903">
        <v>100</v>
      </c>
      <c r="G144" s="1926" t="s">
        <v>2277</v>
      </c>
      <c r="H144" s="1899">
        <v>105</v>
      </c>
      <c r="I144" s="1925" t="s">
        <v>2276</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2278</v>
      </c>
      <c r="C145" s="1904">
        <f>ROUND(MAX(C139:C144)/MIN(C139:C144)-1,3)</f>
        <v>7.2999999999999995E-2</v>
      </c>
      <c r="D145" s="1928"/>
      <c r="E145" s="1928"/>
      <c r="F145" s="1929" t="s">
        <v>2279</v>
      </c>
      <c r="G145" s="1930"/>
      <c r="H145" s="1931"/>
      <c r="I145" s="1932" t="s">
        <v>2276</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2288</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2289</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Normal="100" workbookViewId="0">
      <selection activeCell="C34" sqref="C34"/>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4" t="s">
        <v>3340</v>
      </c>
      <c r="G1" s="1593" t="s">
        <v>722</v>
      </c>
      <c r="H1" s="504"/>
      <c r="I1" s="504"/>
      <c r="J1" s="504"/>
      <c r="K1" s="505"/>
      <c r="L1" s="1554"/>
      <c r="M1" s="1555"/>
      <c r="N1" s="1555"/>
      <c r="O1" s="1555"/>
      <c r="P1" s="2199"/>
      <c r="Q1" s="1556"/>
      <c r="R1" s="1556"/>
      <c r="S1" s="1556"/>
      <c r="T1" s="1556"/>
      <c r="U1" s="1556"/>
      <c r="V1" s="1556"/>
      <c r="W1" s="1556"/>
      <c r="X1" s="1556"/>
      <c r="Y1" s="1556"/>
      <c r="Z1" s="1556"/>
      <c r="AA1" s="1556"/>
      <c r="AB1" s="1556"/>
      <c r="AC1" s="1557"/>
    </row>
    <row r="2" spans="1:29" s="1329" customFormat="1" ht="28.5" customHeight="1">
      <c r="A2" s="421" t="s">
        <v>467</v>
      </c>
      <c r="B2" s="847">
        <f>ROUND(B3*D3/10000,0)</f>
        <v>412608</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9" customFormat="1" ht="28.5" customHeight="1" thickBot="1">
      <c r="A3" s="507" t="s">
        <v>520</v>
      </c>
      <c r="B3" s="508">
        <f>C50</f>
        <v>15094</v>
      </c>
      <c r="C3" s="849" t="s">
        <v>723</v>
      </c>
      <c r="D3" s="848">
        <f>SUMIF('数据-汇总表'!$C19:$C33,D1,'数据-汇总表'!$E19:$E33)</f>
        <v>273359</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10" t="s">
        <v>522</v>
      </c>
      <c r="B4" s="511"/>
      <c r="C4" s="3764" t="s">
        <v>523</v>
      </c>
      <c r="D4" s="3765"/>
      <c r="E4" s="3789" t="s">
        <v>524</v>
      </c>
      <c r="F4" s="3790"/>
      <c r="G4" s="3764" t="s">
        <v>525</v>
      </c>
      <c r="H4" s="3765"/>
      <c r="I4" s="3764" t="s">
        <v>526</v>
      </c>
      <c r="J4" s="3765"/>
      <c r="K4" s="512" t="s">
        <v>527</v>
      </c>
      <c r="L4" s="2125"/>
      <c r="M4" s="2126"/>
      <c r="N4" s="2126"/>
      <c r="O4" s="2126"/>
      <c r="P4" s="3861" t="s">
        <v>528</v>
      </c>
      <c r="Q4" s="3767"/>
      <c r="R4" s="3752" t="s">
        <v>524</v>
      </c>
      <c r="S4" s="3753"/>
      <c r="T4" s="3752" t="s">
        <v>525</v>
      </c>
      <c r="U4" s="3753"/>
      <c r="V4" s="3772" t="s">
        <v>526</v>
      </c>
      <c r="W4" s="3772"/>
      <c r="X4" s="1559"/>
      <c r="Y4" s="3752" t="s">
        <v>528</v>
      </c>
      <c r="Z4" s="3753"/>
      <c r="AA4" s="3747" t="s">
        <v>524</v>
      </c>
      <c r="AB4" s="3747" t="s">
        <v>525</v>
      </c>
      <c r="AC4" s="3747" t="s">
        <v>526</v>
      </c>
    </row>
    <row r="5" spans="1:29" ht="15">
      <c r="A5" s="513"/>
      <c r="B5" s="514"/>
      <c r="C5" s="3857" t="s">
        <v>3326</v>
      </c>
      <c r="D5" s="3776"/>
      <c r="E5" s="3856" t="s">
        <v>3327</v>
      </c>
      <c r="F5" s="3792"/>
      <c r="G5" s="3857" t="s">
        <v>3328</v>
      </c>
      <c r="H5" s="3776"/>
      <c r="I5" s="3857" t="s">
        <v>3364</v>
      </c>
      <c r="J5" s="3776"/>
      <c r="K5" s="512"/>
      <c r="L5" s="2125"/>
      <c r="M5" s="2126"/>
      <c r="N5" s="2126"/>
      <c r="O5" s="2126"/>
      <c r="P5" s="3862"/>
      <c r="Q5" s="3769"/>
      <c r="R5" s="3754"/>
      <c r="S5" s="3755"/>
      <c r="T5" s="3754"/>
      <c r="U5" s="3755"/>
      <c r="V5" s="3772"/>
      <c r="W5" s="3772"/>
      <c r="X5" s="1559"/>
      <c r="Y5" s="3754"/>
      <c r="Z5" s="3755"/>
      <c r="AA5" s="3748"/>
      <c r="AB5" s="3748"/>
      <c r="AC5" s="3748"/>
    </row>
    <row r="6" spans="1:29" ht="15.75" thickBot="1">
      <c r="A6" s="515"/>
      <c r="B6" s="516"/>
      <c r="C6" s="3773" t="s">
        <v>2933</v>
      </c>
      <c r="D6" s="3774"/>
      <c r="E6" s="3793" t="s">
        <v>2933</v>
      </c>
      <c r="F6" s="3794"/>
      <c r="G6" s="3773" t="s">
        <v>2933</v>
      </c>
      <c r="H6" s="3774"/>
      <c r="I6" s="3773" t="s">
        <v>2933</v>
      </c>
      <c r="J6" s="3774"/>
      <c r="K6" s="512" t="s">
        <v>529</v>
      </c>
      <c r="L6" s="2125"/>
      <c r="M6" s="2126"/>
      <c r="N6" s="2126"/>
      <c r="O6" s="2126"/>
      <c r="P6" s="3863"/>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v>43252</v>
      </c>
      <c r="F7" s="520">
        <f>SUMIF(59:59,YEAR(E7)&amp;"-"&amp;MONTH(E7),60:60)</f>
        <v>100</v>
      </c>
      <c r="G7" s="519">
        <v>43252</v>
      </c>
      <c r="H7" s="518">
        <f>SUMIF(59:59,YEAR(G7)&amp;"-"&amp;MONTH(G7),60:60)</f>
        <v>100</v>
      </c>
      <c r="I7" s="519">
        <v>43252</v>
      </c>
      <c r="J7" s="518">
        <f>SUMIF(59:59,YEAR(I7)&amp;"-"&amp;MONTH(I7),60:60)</f>
        <v>100</v>
      </c>
      <c r="K7" s="522"/>
      <c r="L7" s="2127"/>
      <c r="M7" s="2128"/>
      <c r="N7" s="2128"/>
      <c r="O7" s="2128"/>
      <c r="P7" s="3759" t="s">
        <v>531</v>
      </c>
      <c r="Q7" s="3759"/>
      <c r="R7" s="1560" t="s">
        <v>8</v>
      </c>
      <c r="S7" s="1561">
        <f t="shared" ref="S7:S15" si="0">F7</f>
        <v>100</v>
      </c>
      <c r="T7" s="1560" t="s">
        <v>8</v>
      </c>
      <c r="U7" s="1561">
        <f t="shared" ref="U7:U15" si="1">H7</f>
        <v>100</v>
      </c>
      <c r="V7" s="1560" t="s">
        <v>8</v>
      </c>
      <c r="W7" s="1561">
        <f t="shared" ref="W7:W15" si="2">J7</f>
        <v>100</v>
      </c>
      <c r="X7" s="1562"/>
      <c r="Y7" s="3750" t="s">
        <v>531</v>
      </c>
      <c r="Z7" s="3751"/>
      <c r="AA7" s="1563">
        <f>D7/F7</f>
        <v>1</v>
      </c>
      <c r="AB7" s="1563">
        <f>D7/H7</f>
        <v>1</v>
      </c>
      <c r="AC7" s="1563">
        <f>D7/J7</f>
        <v>1</v>
      </c>
    </row>
    <row r="8" spans="1:29" s="1213" customFormat="1" ht="15.75" thickBot="1">
      <c r="A8" s="2929"/>
      <c r="B8" s="2936" t="s">
        <v>532</v>
      </c>
      <c r="C8" s="523" t="s">
        <v>577</v>
      </c>
      <c r="D8" s="518">
        <v>100</v>
      </c>
      <c r="E8" s="3502" t="s">
        <v>3365</v>
      </c>
      <c r="F8" s="520">
        <f>SUMIF(62:62,E8,63:63)-SUMIF(62:62,C8,63:63)+100</f>
        <v>100</v>
      </c>
      <c r="G8" s="3502" t="s">
        <v>3365</v>
      </c>
      <c r="H8" s="518">
        <f>SUMIF(62:62,G8,63:63)-SUMIF(62:62,C8,63:63)+100</f>
        <v>100</v>
      </c>
      <c r="I8" s="3502" t="s">
        <v>3365</v>
      </c>
      <c r="J8" s="518">
        <f>SUMIF(62:62,I8,63:63)-SUMIF(62:62,C8,63:63)+100</f>
        <v>100</v>
      </c>
      <c r="K8" s="522"/>
      <c r="L8" s="2127"/>
      <c r="M8" s="2128"/>
      <c r="N8" s="2128"/>
      <c r="O8" s="2128"/>
      <c r="P8" s="3759" t="s">
        <v>534</v>
      </c>
      <c r="Q8" s="3751"/>
      <c r="R8" s="1560" t="s">
        <v>8</v>
      </c>
      <c r="S8" s="1561">
        <f t="shared" si="0"/>
        <v>100</v>
      </c>
      <c r="T8" s="1560" t="s">
        <v>8</v>
      </c>
      <c r="U8" s="1561">
        <f t="shared" si="1"/>
        <v>100</v>
      </c>
      <c r="V8" s="1560" t="s">
        <v>8</v>
      </c>
      <c r="W8" s="1561">
        <f t="shared" si="2"/>
        <v>100</v>
      </c>
      <c r="X8" s="1562"/>
      <c r="Y8" s="3750" t="s">
        <v>534</v>
      </c>
      <c r="Z8" s="3751"/>
      <c r="AA8" s="1563">
        <f t="shared" ref="AA8:AA47" si="3">D8/F8</f>
        <v>1</v>
      </c>
      <c r="AB8" s="1563">
        <f t="shared" ref="AB8:AB47" si="4">D8/H8</f>
        <v>1</v>
      </c>
      <c r="AC8" s="1563">
        <f t="shared" ref="AC8:AC47" si="5">D8/J8</f>
        <v>1</v>
      </c>
    </row>
    <row r="9" spans="1:29" s="1213" customFormat="1" ht="15">
      <c r="A9" s="2930"/>
      <c r="B9" s="2937" t="s">
        <v>2760</v>
      </c>
      <c r="C9" s="3503" t="s">
        <v>3366</v>
      </c>
      <c r="D9" s="252">
        <v>100</v>
      </c>
      <c r="E9" s="3504" t="s">
        <v>3366</v>
      </c>
      <c r="F9" s="252">
        <f>SUMIF(64:64,E9,65:65)-SUMIF(64:64,C9,65:65)+100</f>
        <v>100</v>
      </c>
      <c r="G9" s="3505" t="s">
        <v>3366</v>
      </c>
      <c r="H9" s="252">
        <f>SUMIF(64:64,G9,65:65)-SUMIF(64:64,C9,65:65)+100</f>
        <v>100</v>
      </c>
      <c r="I9" s="3505" t="s">
        <v>3366</v>
      </c>
      <c r="J9" s="252">
        <f>SUMIF(64:64,I9,65:65)-SUMIF(64:64,C9,65:65)+100</f>
        <v>100</v>
      </c>
      <c r="K9" s="522"/>
      <c r="L9" s="2127"/>
      <c r="M9" s="2128"/>
      <c r="N9" s="2128"/>
      <c r="O9" s="2128"/>
      <c r="P9" s="3758" t="s">
        <v>536</v>
      </c>
      <c r="Q9" s="1144" t="str">
        <f t="shared" ref="Q9:Q15" si="6">B9</f>
        <v>用途</v>
      </c>
      <c r="R9" s="1560" t="s">
        <v>8</v>
      </c>
      <c r="S9" s="1561">
        <f t="shared" si="0"/>
        <v>100</v>
      </c>
      <c r="T9" s="1560" t="s">
        <v>8</v>
      </c>
      <c r="U9" s="1561">
        <f t="shared" si="1"/>
        <v>100</v>
      </c>
      <c r="V9" s="1560" t="s">
        <v>8</v>
      </c>
      <c r="W9" s="1561">
        <f t="shared" si="2"/>
        <v>100</v>
      </c>
      <c r="X9" s="1562"/>
      <c r="Y9" s="3715"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3551" t="s">
        <v>3331</v>
      </c>
      <c r="F10" s="253">
        <f>SUMIF(66:66,E10,67:67)-SUMIF(66:66,C10,67:67)+100</f>
        <v>100</v>
      </c>
      <c r="G10" s="859" t="s">
        <v>3331</v>
      </c>
      <c r="H10" s="253">
        <f>SUMIF(66:66,G10,67:67)-SUMIF(66:66,C10,67:67)+100</f>
        <v>100</v>
      </c>
      <c r="I10" s="858" t="s">
        <v>3331</v>
      </c>
      <c r="J10" s="253">
        <f>SUMIF(66:66,I10,67:67)-SUMIF(66:66,C10,67:67)+100</f>
        <v>100</v>
      </c>
      <c r="K10" s="581">
        <v>2</v>
      </c>
      <c r="L10" s="2130"/>
      <c r="M10" s="2170"/>
      <c r="N10" s="2170"/>
      <c r="O10" s="2170"/>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2"/>
      <c r="M11" s="2126"/>
      <c r="N11" s="2126"/>
      <c r="O11" s="2126"/>
      <c r="P11" s="3758"/>
      <c r="Q11" s="1144" t="str">
        <f t="shared" si="6"/>
        <v>容积率</v>
      </c>
      <c r="R11" s="1560" t="s">
        <v>8</v>
      </c>
      <c r="S11" s="1561">
        <f t="shared" si="0"/>
        <v>100</v>
      </c>
      <c r="T11" s="1560" t="s">
        <v>8</v>
      </c>
      <c r="U11" s="1561">
        <f t="shared" si="1"/>
        <v>100</v>
      </c>
      <c r="V11" s="1560" t="s">
        <v>8</v>
      </c>
      <c r="W11" s="1561">
        <f t="shared" si="2"/>
        <v>100</v>
      </c>
      <c r="X11" s="1562"/>
      <c r="Y11" s="3715"/>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253">
        <f>SUMIF(71:71,E12,72:72)-SUMIF(71:71,C12,72:72)+100</f>
        <v>100</v>
      </c>
      <c r="G12" s="903"/>
      <c r="H12" s="253">
        <f>SUMIF(71:71,G12,72:72)-SUMIF(71:71,C12,72:72)+100</f>
        <v>100</v>
      </c>
      <c r="I12" s="526"/>
      <c r="J12" s="253">
        <f>SUMIF(71:71,I12,72:72)-SUMIF(71:71,C12,72:72)+100</f>
        <v>100</v>
      </c>
      <c r="K12" s="578"/>
      <c r="L12" s="2127"/>
      <c r="M12" s="2128"/>
      <c r="N12" s="2128"/>
      <c r="O12" s="2128"/>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
      <c r="A13" s="2933"/>
      <c r="B13" s="2939">
        <v>111</v>
      </c>
      <c r="C13" s="537"/>
      <c r="D13" s="538">
        <v>100</v>
      </c>
      <c r="E13" s="526"/>
      <c r="F13" s="253">
        <f>SUMIF(73:73,E13,74:74)-SUMIF(73:73,C13,74:74)+100</f>
        <v>100</v>
      </c>
      <c r="G13" s="903"/>
      <c r="H13" s="538">
        <f>SUMIF(73:73,G13,74:74)-SUMIF(73:73,C13,74:74)+100</f>
        <v>100</v>
      </c>
      <c r="I13" s="526"/>
      <c r="J13" s="538">
        <f>SUMIF(73:73,I13,74:74)-SUMIF(73:73,C13,74:74)+100</f>
        <v>100</v>
      </c>
      <c r="K13" s="578"/>
      <c r="L13" s="2134"/>
      <c r="M13" s="2126"/>
      <c r="N13" s="2126"/>
      <c r="O13" s="2126"/>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5.75" thickBot="1">
      <c r="A14" s="2934"/>
      <c r="B14" s="2940">
        <v>111</v>
      </c>
      <c r="C14" s="543"/>
      <c r="D14" s="544">
        <v>100</v>
      </c>
      <c r="E14" s="904"/>
      <c r="F14" s="544">
        <f>SUMIF(75:75,E14,76:76)-SUMIF(75:75,C14,76:76)+100</f>
        <v>100</v>
      </c>
      <c r="G14" s="903"/>
      <c r="H14" s="544">
        <f>SUMIF(75:75,G14,76:76)-SUMIF(75:75,C14,76:76)+100</f>
        <v>100</v>
      </c>
      <c r="I14" s="526"/>
      <c r="J14" s="544">
        <f>SUMIF(75:75,I14,76:76)-SUMIF(75:75,C14,76:76)+100</f>
        <v>100</v>
      </c>
      <c r="K14" s="578"/>
      <c r="L14" s="2134"/>
      <c r="M14" s="2126"/>
      <c r="N14" s="2126"/>
      <c r="O14" s="2126"/>
      <c r="P14" s="3758"/>
      <c r="Q14" s="1144">
        <f t="shared" si="6"/>
        <v>111</v>
      </c>
      <c r="R14" s="1560" t="s">
        <v>8</v>
      </c>
      <c r="S14" s="1561">
        <f t="shared" si="0"/>
        <v>100</v>
      </c>
      <c r="T14" s="1560" t="s">
        <v>8</v>
      </c>
      <c r="U14" s="1561">
        <f t="shared" si="1"/>
        <v>100</v>
      </c>
      <c r="V14" s="1560" t="s">
        <v>8</v>
      </c>
      <c r="W14" s="1561">
        <f t="shared" si="2"/>
        <v>100</v>
      </c>
      <c r="X14" s="1562"/>
      <c r="Y14" s="3715"/>
      <c r="Z14" s="1143">
        <f t="shared" si="7"/>
        <v>111</v>
      </c>
      <c r="AA14" s="1563">
        <f t="shared" si="3"/>
        <v>1</v>
      </c>
      <c r="AB14" s="1563">
        <f t="shared" si="4"/>
        <v>1</v>
      </c>
      <c r="AC14" s="1563">
        <f t="shared" si="5"/>
        <v>1</v>
      </c>
    </row>
    <row r="15" spans="1:29" ht="99.75">
      <c r="A15" s="2926" t="s">
        <v>2758</v>
      </c>
      <c r="B15" s="545" t="s">
        <v>543</v>
      </c>
      <c r="C15" s="546" t="str">
        <f>估价对象房地状况!C5</f>
        <v>估价对象位于太湖商圈，周边办公楼项目较多（无锡金融中心等），入驻率较高，办公集聚程度较好</v>
      </c>
      <c r="D15" s="547">
        <v>100</v>
      </c>
      <c r="E15" s="3523" t="s">
        <v>3414</v>
      </c>
      <c r="F15" s="547">
        <f>SUMIF(77:77,E16,78:78)-SUMIF(77:77,C16,78:78)+100</f>
        <v>100</v>
      </c>
      <c r="G15" s="3522" t="s">
        <v>3414</v>
      </c>
      <c r="H15" s="547">
        <f>SUMIF(77:77,G16,78:78)-SUMIF(77:77,C16,78:78)+100</f>
        <v>100</v>
      </c>
      <c r="I15" s="3522" t="s">
        <v>3415</v>
      </c>
      <c r="J15" s="547">
        <f>SUMIF(77:77,I16,78:78)-SUMIF(77:77,C16,78:78)+100</f>
        <v>100</v>
      </c>
      <c r="K15" s="891"/>
      <c r="L15" s="2134"/>
      <c r="M15" s="2126"/>
      <c r="N15" s="2126"/>
      <c r="O15" s="2126"/>
      <c r="P15" s="3760" t="s">
        <v>541</v>
      </c>
      <c r="Q15" s="1564" t="str">
        <f t="shared" si="6"/>
        <v>办公集聚程度</v>
      </c>
      <c r="R15" s="1565" t="s">
        <v>8</v>
      </c>
      <c r="S15" s="1566">
        <f t="shared" si="0"/>
        <v>100</v>
      </c>
      <c r="T15" s="1565" t="s">
        <v>8</v>
      </c>
      <c r="U15" s="1566">
        <f t="shared" si="1"/>
        <v>100</v>
      </c>
      <c r="V15" s="1565" t="s">
        <v>8</v>
      </c>
      <c r="W15" s="1566">
        <f t="shared" si="2"/>
        <v>100</v>
      </c>
      <c r="X15" s="1559"/>
      <c r="Y15" s="3760" t="s">
        <v>541</v>
      </c>
      <c r="Z15" s="1567" t="str">
        <f t="shared" si="7"/>
        <v>办公集聚程度</v>
      </c>
      <c r="AA15" s="1568">
        <f t="shared" si="3"/>
        <v>1</v>
      </c>
      <c r="AB15" s="1568">
        <f t="shared" si="4"/>
        <v>1</v>
      </c>
      <c r="AC15" s="1568">
        <f t="shared" si="5"/>
        <v>1</v>
      </c>
    </row>
    <row r="16" spans="1:29" ht="15">
      <c r="A16" s="530"/>
      <c r="B16" s="551"/>
      <c r="C16" s="3492" t="s">
        <v>3367</v>
      </c>
      <c r="D16" s="553"/>
      <c r="E16" s="3499" t="s">
        <v>3367</v>
      </c>
      <c r="F16" s="553"/>
      <c r="G16" s="3492" t="s">
        <v>3367</v>
      </c>
      <c r="H16" s="557"/>
      <c r="I16" s="3499" t="s">
        <v>3367</v>
      </c>
      <c r="J16" s="553"/>
      <c r="K16" s="892"/>
      <c r="L16" s="2134"/>
      <c r="M16" s="2126"/>
      <c r="N16" s="2126"/>
      <c r="O16" s="2126"/>
      <c r="P16" s="3761"/>
      <c r="Q16" s="1564"/>
      <c r="R16" s="1565"/>
      <c r="S16" s="1566"/>
      <c r="T16" s="1565"/>
      <c r="U16" s="1566"/>
      <c r="V16" s="1565"/>
      <c r="W16" s="1566"/>
      <c r="X16" s="1559"/>
      <c r="Y16" s="3761"/>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3417</v>
      </c>
      <c r="F17" s="557">
        <f>SUMIF(79:79,E18,80:80)-SUMIF(79:79,C18,80:80)+100</f>
        <v>100</v>
      </c>
      <c r="G17" s="560" t="s">
        <v>3417</v>
      </c>
      <c r="H17" s="563">
        <f>SUMIF(79:79,G18,80:80)-SUMIF(79:79,C18,80:80)+100</f>
        <v>100</v>
      </c>
      <c r="I17" s="560" t="s">
        <v>3416</v>
      </c>
      <c r="J17" s="563">
        <f>SUMIF(79:79,I18,80:80)-SUMIF(79:79,C18,80:80)+100</f>
        <v>100</v>
      </c>
      <c r="K17" s="891"/>
      <c r="L17" s="2134"/>
      <c r="M17" s="2126"/>
      <c r="N17" s="2126"/>
      <c r="O17" s="2126"/>
      <c r="P17" s="3761"/>
      <c r="Q17" s="1564" t="str">
        <f>B17</f>
        <v>交通便捷度</v>
      </c>
      <c r="R17" s="1565" t="s">
        <v>8</v>
      </c>
      <c r="S17" s="1566">
        <f>F17</f>
        <v>100</v>
      </c>
      <c r="T17" s="1565" t="s">
        <v>8</v>
      </c>
      <c r="U17" s="1566">
        <f>H17</f>
        <v>100</v>
      </c>
      <c r="V17" s="1565" t="s">
        <v>8</v>
      </c>
      <c r="W17" s="1566">
        <f>J17</f>
        <v>100</v>
      </c>
      <c r="X17" s="1559"/>
      <c r="Y17" s="3761"/>
      <c r="Z17" s="1567" t="str">
        <f>Q17</f>
        <v>交通便捷度</v>
      </c>
      <c r="AA17" s="1568">
        <f t="shared" si="3"/>
        <v>1</v>
      </c>
      <c r="AB17" s="1568">
        <f t="shared" si="4"/>
        <v>1</v>
      </c>
      <c r="AC17" s="1568">
        <f t="shared" si="5"/>
        <v>1</v>
      </c>
    </row>
    <row r="18" spans="1:29" ht="15">
      <c r="A18" s="530"/>
      <c r="B18" s="564"/>
      <c r="C18" s="3500" t="s">
        <v>3367</v>
      </c>
      <c r="D18" s="557"/>
      <c r="E18" s="3508" t="s">
        <v>3367</v>
      </c>
      <c r="F18" s="557"/>
      <c r="G18" s="3507" t="s">
        <v>3367</v>
      </c>
      <c r="H18" s="553"/>
      <c r="I18" s="3507" t="s">
        <v>3367</v>
      </c>
      <c r="J18" s="553"/>
      <c r="K18" s="892"/>
      <c r="L18" s="2134"/>
      <c r="M18" s="2126"/>
      <c r="N18" s="2126"/>
      <c r="O18" s="2126"/>
      <c r="P18" s="3761"/>
      <c r="Q18" s="1564"/>
      <c r="R18" s="1565"/>
      <c r="S18" s="1566"/>
      <c r="T18" s="1565"/>
      <c r="U18" s="1566"/>
      <c r="V18" s="1565"/>
      <c r="W18" s="1566"/>
      <c r="X18" s="1559"/>
      <c r="Y18" s="3761"/>
      <c r="Z18" s="1567"/>
      <c r="AA18" s="1568">
        <v>1</v>
      </c>
      <c r="AB18" s="1568">
        <v>1</v>
      </c>
      <c r="AC18" s="1568">
        <v>1</v>
      </c>
    </row>
    <row r="19" spans="1:29" ht="99.75">
      <c r="A19" s="530"/>
      <c r="B19" s="2619" t="s">
        <v>2550</v>
      </c>
      <c r="C19" s="570" t="str">
        <f>估价对象房地状况!C7</f>
        <v>估价对象所在区域内有农业银行、无锡市第二中医医院、无锡金桥双语实验学校，公共配套设施水平较好</v>
      </c>
      <c r="D19" s="563">
        <v>100</v>
      </c>
      <c r="E19" s="3525" t="s">
        <v>3418</v>
      </c>
      <c r="F19" s="563">
        <f>SUMIF(81:81,E20,82:82)-SUMIF(81:81,C20,82:82)+100</f>
        <v>100</v>
      </c>
      <c r="G19" s="3524" t="s">
        <v>3418</v>
      </c>
      <c r="H19" s="557">
        <f>SUMIF(81:81,G20,82:82)-SUMIF(81:81,C20,82:82)+100</f>
        <v>100</v>
      </c>
      <c r="I19" s="3524" t="s">
        <v>3451</v>
      </c>
      <c r="J19" s="557">
        <f>SUMIF(81:81,I20,82:82)-SUMIF(81:81,C20,82:82)+100</f>
        <v>100</v>
      </c>
      <c r="K19" s="891"/>
      <c r="L19" s="2134"/>
      <c r="M19" s="2126"/>
      <c r="N19" s="2126"/>
      <c r="O19" s="2126"/>
      <c r="P19" s="3761"/>
      <c r="Q19" s="1564" t="str">
        <f>B19</f>
        <v>公共配套设施</v>
      </c>
      <c r="R19" s="1565" t="s">
        <v>8</v>
      </c>
      <c r="S19" s="1566">
        <f>F19</f>
        <v>100</v>
      </c>
      <c r="T19" s="1565" t="s">
        <v>8</v>
      </c>
      <c r="U19" s="1566">
        <f>H19</f>
        <v>100</v>
      </c>
      <c r="V19" s="1565" t="s">
        <v>8</v>
      </c>
      <c r="W19" s="1566">
        <f>J19</f>
        <v>100</v>
      </c>
      <c r="X19" s="1559"/>
      <c r="Y19" s="3761"/>
      <c r="Z19" s="1567" t="str">
        <f>Q19</f>
        <v>公共配套设施</v>
      </c>
      <c r="AA19" s="1568">
        <f t="shared" si="3"/>
        <v>1</v>
      </c>
      <c r="AB19" s="1568">
        <f t="shared" si="4"/>
        <v>1</v>
      </c>
      <c r="AC19" s="1568">
        <f t="shared" si="5"/>
        <v>1</v>
      </c>
    </row>
    <row r="20" spans="1:29" ht="15">
      <c r="A20" s="530"/>
      <c r="B20" s="564"/>
      <c r="C20" s="3492" t="s">
        <v>3367</v>
      </c>
      <c r="D20" s="553"/>
      <c r="E20" s="3493" t="s">
        <v>3367</v>
      </c>
      <c r="F20" s="553"/>
      <c r="G20" s="3494" t="s">
        <v>3367</v>
      </c>
      <c r="H20" s="553"/>
      <c r="I20" s="3494" t="s">
        <v>3367</v>
      </c>
      <c r="J20" s="553"/>
      <c r="K20" s="892"/>
      <c r="L20" s="2134"/>
      <c r="M20" s="2126"/>
      <c r="N20" s="2126"/>
      <c r="O20" s="2126"/>
      <c r="P20" s="3761"/>
      <c r="Q20" s="1564"/>
      <c r="R20" s="1565"/>
      <c r="S20" s="1566"/>
      <c r="T20" s="1565"/>
      <c r="U20" s="1566"/>
      <c r="V20" s="1565"/>
      <c r="W20" s="1566"/>
      <c r="X20" s="1559"/>
      <c r="Y20" s="3761"/>
      <c r="Z20" s="1567"/>
      <c r="AA20" s="1568">
        <v>1</v>
      </c>
      <c r="AB20" s="1568">
        <v>1</v>
      </c>
      <c r="AC20" s="1568">
        <v>1</v>
      </c>
    </row>
    <row r="21" spans="1:29" ht="42.75">
      <c r="A21" s="530"/>
      <c r="B21" s="2607"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4"/>
      <c r="M21" s="2126"/>
      <c r="N21" s="2126"/>
      <c r="O21" s="2126"/>
      <c r="P21" s="3761"/>
      <c r="Q21" s="2595" t="str">
        <f>B21</f>
        <v>基础设施水平</v>
      </c>
      <c r="R21" s="1565" t="s">
        <v>8</v>
      </c>
      <c r="S21" s="1566">
        <f>F21</f>
        <v>100</v>
      </c>
      <c r="T21" s="1565" t="s">
        <v>8</v>
      </c>
      <c r="U21" s="1566">
        <f>H21</f>
        <v>100</v>
      </c>
      <c r="V21" s="1565" t="s">
        <v>8</v>
      </c>
      <c r="W21" s="1566">
        <f>J21</f>
        <v>100</v>
      </c>
      <c r="X21" s="2597"/>
      <c r="Y21" s="3761"/>
      <c r="Z21" s="2596" t="str">
        <f>Q21</f>
        <v>基础设施水平</v>
      </c>
      <c r="AA21" s="1568">
        <f t="shared" ref="AA21" si="8">D21/F21</f>
        <v>1</v>
      </c>
      <c r="AB21" s="1568">
        <f t="shared" ref="AB21" si="9">D21/H21</f>
        <v>1</v>
      </c>
      <c r="AC21" s="1568">
        <f t="shared" ref="AC21" si="10">D21/J21</f>
        <v>1</v>
      </c>
    </row>
    <row r="22" spans="1:29" ht="15">
      <c r="A22" s="530"/>
      <c r="B22" s="575"/>
      <c r="C22" s="3500" t="s">
        <v>3368</v>
      </c>
      <c r="D22" s="553"/>
      <c r="E22" s="3499" t="s">
        <v>3368</v>
      </c>
      <c r="F22" s="553"/>
      <c r="G22" s="3492" t="s">
        <v>3369</v>
      </c>
      <c r="H22" s="553"/>
      <c r="I22" s="3492" t="s">
        <v>3368</v>
      </c>
      <c r="J22" s="553"/>
      <c r="K22" s="2618"/>
      <c r="L22" s="2134"/>
      <c r="M22" s="2126"/>
      <c r="N22" s="2126"/>
      <c r="O22" s="2126"/>
      <c r="P22" s="3761"/>
      <c r="Q22" s="2595"/>
      <c r="R22" s="1565"/>
      <c r="S22" s="1566"/>
      <c r="T22" s="1565"/>
      <c r="U22" s="1566"/>
      <c r="V22" s="1565"/>
      <c r="W22" s="1566"/>
      <c r="X22" s="2597"/>
      <c r="Y22" s="3761"/>
      <c r="Z22" s="2596"/>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7" t="s">
        <v>3445</v>
      </c>
      <c r="F23" s="557">
        <f>SUMIF(85:85,E24,86:86)-SUMIF(85:85,C24,86:86)+100</f>
        <v>100</v>
      </c>
      <c r="G23" s="3526" t="s">
        <v>3445</v>
      </c>
      <c r="H23" s="557">
        <f>SUMIF(85:85,G24,86:86)-SUMIF(85:85,C24,86:86)+100</f>
        <v>100</v>
      </c>
      <c r="I23" s="3526" t="s">
        <v>3446</v>
      </c>
      <c r="J23" s="557">
        <f>SUMIF(85:85,I24,86:86)-SUMIF(85:85,C24,86:86)+100</f>
        <v>100</v>
      </c>
      <c r="K23" s="891"/>
      <c r="L23" s="2134"/>
      <c r="M23" s="2126"/>
      <c r="N23" s="2126"/>
      <c r="O23" s="2126"/>
      <c r="P23" s="3761"/>
      <c r="Q23" s="1564" t="str">
        <f>B23</f>
        <v>环境质量</v>
      </c>
      <c r="R23" s="1565" t="s">
        <v>8</v>
      </c>
      <c r="S23" s="1566">
        <f>F23</f>
        <v>100</v>
      </c>
      <c r="T23" s="1565" t="s">
        <v>8</v>
      </c>
      <c r="U23" s="1566">
        <f>H23</f>
        <v>100</v>
      </c>
      <c r="V23" s="1565" t="s">
        <v>8</v>
      </c>
      <c r="W23" s="1566">
        <f>J23</f>
        <v>100</v>
      </c>
      <c r="X23" s="1559"/>
      <c r="Y23" s="3761"/>
      <c r="Z23" s="1567" t="str">
        <f>Q23</f>
        <v>环境质量</v>
      </c>
      <c r="AA23" s="1568">
        <f t="shared" si="3"/>
        <v>1</v>
      </c>
      <c r="AB23" s="1568">
        <f t="shared" si="4"/>
        <v>1</v>
      </c>
      <c r="AC23" s="1568">
        <f t="shared" si="5"/>
        <v>1</v>
      </c>
    </row>
    <row r="24" spans="1:29" ht="15">
      <c r="A24" s="530"/>
      <c r="B24" s="575"/>
      <c r="C24" s="3492" t="s">
        <v>3444</v>
      </c>
      <c r="D24" s="553"/>
      <c r="E24" s="3493" t="s">
        <v>3444</v>
      </c>
      <c r="F24" s="553"/>
      <c r="G24" s="3494" t="s">
        <v>3444</v>
      </c>
      <c r="H24" s="553"/>
      <c r="I24" s="3494" t="s">
        <v>3444</v>
      </c>
      <c r="J24" s="553"/>
      <c r="K24" s="892"/>
      <c r="L24" s="2134"/>
      <c r="M24" s="2126"/>
      <c r="N24" s="2126"/>
      <c r="O24" s="2126"/>
      <c r="P24" s="3761"/>
      <c r="Q24" s="1564"/>
      <c r="R24" s="1565"/>
      <c r="S24" s="1566"/>
      <c r="T24" s="1565"/>
      <c r="U24" s="1566"/>
      <c r="V24" s="1565"/>
      <c r="W24" s="1566"/>
      <c r="X24" s="1559"/>
      <c r="Y24" s="3761"/>
      <c r="Z24" s="1567"/>
      <c r="AA24" s="1568">
        <v>1</v>
      </c>
      <c r="AB24" s="1568">
        <v>1</v>
      </c>
      <c r="AC24" s="1568">
        <v>1</v>
      </c>
    </row>
    <row r="25" spans="1:29" ht="27.75">
      <c r="A25" s="513"/>
      <c r="B25" s="558" t="s">
        <v>549</v>
      </c>
      <c r="C25" s="905" t="s">
        <v>3381</v>
      </c>
      <c r="D25" s="538">
        <v>100</v>
      </c>
      <c r="E25" s="537" t="s">
        <v>3381</v>
      </c>
      <c r="F25" s="538">
        <f>SUMIF(87:87,E26,88:88)-SUMIF(87:87,C26,88:88)+100</f>
        <v>100</v>
      </c>
      <c r="G25" s="905" t="s">
        <v>3381</v>
      </c>
      <c r="H25" s="538">
        <f>SUMIF(87:87,G26,88:88)-SUMIF(87:87,C26,88:88)+100</f>
        <v>100</v>
      </c>
      <c r="I25" s="3541" t="s">
        <v>3452</v>
      </c>
      <c r="J25" s="538">
        <f>SUMIF(87:87,I26,88:88)-SUMIF(87:87,C26,88:88)+100</f>
        <v>102</v>
      </c>
      <c r="K25" s="891">
        <v>2</v>
      </c>
      <c r="L25" s="2134"/>
      <c r="M25" s="2126"/>
      <c r="N25" s="2126"/>
      <c r="O25" s="2126"/>
      <c r="P25" s="3761"/>
      <c r="Q25" s="1564" t="str">
        <f>B25</f>
        <v>毗邻道路的类型与等级</v>
      </c>
      <c r="R25" s="1565" t="s">
        <v>8</v>
      </c>
      <c r="S25" s="1566">
        <f>F25</f>
        <v>100</v>
      </c>
      <c r="T25" s="1565" t="s">
        <v>8</v>
      </c>
      <c r="U25" s="1566">
        <f>H25</f>
        <v>100</v>
      </c>
      <c r="V25" s="1565" t="s">
        <v>8</v>
      </c>
      <c r="W25" s="1566">
        <f>J25</f>
        <v>102</v>
      </c>
      <c r="X25" s="1559"/>
      <c r="Y25" s="3761"/>
      <c r="Z25" s="1567" t="str">
        <f>Q25</f>
        <v>毗邻道路的类型与等级</v>
      </c>
      <c r="AA25" s="1568">
        <f t="shared" si="3"/>
        <v>1</v>
      </c>
      <c r="AB25" s="1568">
        <f t="shared" si="4"/>
        <v>1</v>
      </c>
      <c r="AC25" s="1568">
        <f t="shared" si="5"/>
        <v>0.98039215686274506</v>
      </c>
    </row>
    <row r="26" spans="1:29" ht="15">
      <c r="A26" s="513"/>
      <c r="B26" s="564"/>
      <c r="C26" s="3528" t="s">
        <v>3378</v>
      </c>
      <c r="D26" s="538"/>
      <c r="E26" s="3509" t="s">
        <v>3378</v>
      </c>
      <c r="F26" s="538"/>
      <c r="G26" s="3528" t="s">
        <v>3378</v>
      </c>
      <c r="H26" s="538"/>
      <c r="I26" s="580" t="s">
        <v>3376</v>
      </c>
      <c r="J26" s="538"/>
      <c r="K26" s="892"/>
      <c r="L26" s="2134"/>
      <c r="M26" s="2126"/>
      <c r="N26" s="2126"/>
      <c r="O26" s="2126"/>
      <c r="P26" s="3761"/>
      <c r="Q26" s="1564"/>
      <c r="R26" s="1565"/>
      <c r="S26" s="1566"/>
      <c r="T26" s="1565"/>
      <c r="U26" s="1566"/>
      <c r="V26" s="1565"/>
      <c r="W26" s="1566"/>
      <c r="X26" s="1559"/>
      <c r="Y26" s="3761"/>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4"/>
      <c r="M27" s="2126"/>
      <c r="N27" s="2126"/>
      <c r="O27" s="2126"/>
      <c r="P27" s="3761"/>
      <c r="Q27" s="1564" t="str">
        <f t="shared" ref="Q27:Q47" si="11">B27</f>
        <v>楼层</v>
      </c>
      <c r="R27" s="1565" t="s">
        <v>8</v>
      </c>
      <c r="S27" s="1566">
        <f>F27</f>
        <v>100</v>
      </c>
      <c r="T27" s="1565" t="s">
        <v>8</v>
      </c>
      <c r="U27" s="1566">
        <f>H27</f>
        <v>100</v>
      </c>
      <c r="V27" s="1565" t="s">
        <v>8</v>
      </c>
      <c r="W27" s="1566">
        <f>J27</f>
        <v>100</v>
      </c>
      <c r="X27" s="1559"/>
      <c r="Y27" s="3761"/>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7"/>
      <c r="M28" s="2128"/>
      <c r="N28" s="2128"/>
      <c r="O28" s="2128"/>
      <c r="P28" s="3761"/>
      <c r="Q28" s="1144" t="str">
        <f t="shared" si="11"/>
        <v>朝向</v>
      </c>
      <c r="R28" s="1560" t="s">
        <v>8</v>
      </c>
      <c r="S28" s="1561">
        <f>F28</f>
        <v>100</v>
      </c>
      <c r="T28" s="1560" t="s">
        <v>8</v>
      </c>
      <c r="U28" s="1561">
        <f>H28</f>
        <v>100</v>
      </c>
      <c r="V28" s="1560" t="s">
        <v>8</v>
      </c>
      <c r="W28" s="1561">
        <f>J28</f>
        <v>100</v>
      </c>
      <c r="X28" s="1562"/>
      <c r="Y28" s="3761"/>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4"/>
      <c r="M29" s="2126"/>
      <c r="N29" s="2126"/>
      <c r="O29" s="2126"/>
      <c r="P29" s="3761"/>
      <c r="Q29" s="1564">
        <f t="shared" si="11"/>
        <v>111</v>
      </c>
      <c r="R29" s="1565" t="s">
        <v>8</v>
      </c>
      <c r="S29" s="1566">
        <f t="shared" ref="S29:S47" si="12">F29</f>
        <v>100</v>
      </c>
      <c r="T29" s="1565" t="s">
        <v>8</v>
      </c>
      <c r="U29" s="1566">
        <f t="shared" ref="U29:U47" si="13">H29</f>
        <v>100</v>
      </c>
      <c r="V29" s="1565" t="s">
        <v>8</v>
      </c>
      <c r="W29" s="1566">
        <f t="shared" ref="W29:W47" si="14">J29</f>
        <v>100</v>
      </c>
      <c r="X29" s="1559"/>
      <c r="Y29" s="3761"/>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4"/>
      <c r="M30" s="2126"/>
      <c r="N30" s="2126"/>
      <c r="O30" s="2126"/>
      <c r="P30" s="3761"/>
      <c r="Q30" s="1564">
        <f t="shared" si="11"/>
        <v>111</v>
      </c>
      <c r="R30" s="1565" t="s">
        <v>8</v>
      </c>
      <c r="S30" s="1566">
        <f t="shared" si="12"/>
        <v>100</v>
      </c>
      <c r="T30" s="1565" t="s">
        <v>8</v>
      </c>
      <c r="U30" s="1566">
        <f t="shared" si="13"/>
        <v>100</v>
      </c>
      <c r="V30" s="1565" t="s">
        <v>8</v>
      </c>
      <c r="W30" s="1566">
        <f t="shared" si="14"/>
        <v>100</v>
      </c>
      <c r="X30" s="1559"/>
      <c r="Y30" s="3761"/>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4"/>
      <c r="M31" s="2126"/>
      <c r="N31" s="2126"/>
      <c r="O31" s="2126"/>
      <c r="P31" s="3761"/>
      <c r="Q31" s="1564">
        <f t="shared" si="11"/>
        <v>111</v>
      </c>
      <c r="R31" s="1565" t="s">
        <v>8</v>
      </c>
      <c r="S31" s="1566">
        <f t="shared" si="12"/>
        <v>100</v>
      </c>
      <c r="T31" s="1565" t="s">
        <v>8</v>
      </c>
      <c r="U31" s="1566">
        <f t="shared" si="13"/>
        <v>100</v>
      </c>
      <c r="V31" s="1565" t="s">
        <v>8</v>
      </c>
      <c r="W31" s="1566">
        <f t="shared" si="14"/>
        <v>100</v>
      </c>
      <c r="X31" s="1559"/>
      <c r="Y31" s="3761"/>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4"/>
      <c r="M32" s="2126"/>
      <c r="N32" s="2126"/>
      <c r="O32" s="2126"/>
      <c r="P32" s="3761"/>
      <c r="Q32" s="1564">
        <f t="shared" si="11"/>
        <v>111</v>
      </c>
      <c r="R32" s="1565" t="s">
        <v>8</v>
      </c>
      <c r="S32" s="1566">
        <f t="shared" si="12"/>
        <v>100</v>
      </c>
      <c r="T32" s="1565" t="s">
        <v>8</v>
      </c>
      <c r="U32" s="1566">
        <f t="shared" si="13"/>
        <v>100</v>
      </c>
      <c r="V32" s="1565" t="s">
        <v>8</v>
      </c>
      <c r="W32" s="1566">
        <f t="shared" si="14"/>
        <v>100</v>
      </c>
      <c r="X32" s="1559"/>
      <c r="Y32" s="3761"/>
      <c r="Z32" s="1567">
        <f t="shared" si="15"/>
        <v>111</v>
      </c>
      <c r="AA32" s="1568">
        <f t="shared" si="3"/>
        <v>1</v>
      </c>
      <c r="AB32" s="1568">
        <f t="shared" si="4"/>
        <v>1</v>
      </c>
      <c r="AC32" s="1568">
        <f t="shared" si="5"/>
        <v>1</v>
      </c>
    </row>
    <row r="33" spans="1:29" ht="15">
      <c r="A33" s="2924" t="s">
        <v>2759</v>
      </c>
      <c r="B33" s="172" t="s">
        <v>781</v>
      </c>
      <c r="C33" s="3529" t="s">
        <v>3370</v>
      </c>
      <c r="D33" s="594">
        <v>100</v>
      </c>
      <c r="E33" s="3529" t="s">
        <v>3370</v>
      </c>
      <c r="F33" s="572">
        <f>SUMIF(101:101,E33,102:102)-SUMIF(101:101,C33,102:102)+100</f>
        <v>100</v>
      </c>
      <c r="G33" s="3529" t="s">
        <v>3371</v>
      </c>
      <c r="H33" s="538">
        <f>SUMIF(101:101,G33,102:102)-SUMIF(101:101,C33,102:102)+100</f>
        <v>100</v>
      </c>
      <c r="I33" s="3529" t="s">
        <v>3370</v>
      </c>
      <c r="J33" s="594">
        <f>SUMIF(101:101,I33,102:102)-SUMIF(101:101,C33,102:102)+100</f>
        <v>100</v>
      </c>
      <c r="K33" s="581"/>
      <c r="L33" s="2134"/>
      <c r="M33" s="2126"/>
      <c r="N33" s="2126"/>
      <c r="O33" s="2126"/>
      <c r="P33" s="3762" t="s">
        <v>551</v>
      </c>
      <c r="Q33" s="1564" t="str">
        <f t="shared" si="11"/>
        <v>建筑类型</v>
      </c>
      <c r="R33" s="1565" t="s">
        <v>8</v>
      </c>
      <c r="S33" s="1566">
        <f t="shared" si="12"/>
        <v>100</v>
      </c>
      <c r="T33" s="1565" t="s">
        <v>8</v>
      </c>
      <c r="U33" s="1566">
        <f t="shared" si="13"/>
        <v>100</v>
      </c>
      <c r="V33" s="1565" t="s">
        <v>8</v>
      </c>
      <c r="W33" s="1566">
        <f t="shared" si="14"/>
        <v>100</v>
      </c>
      <c r="X33" s="1559"/>
      <c r="Y33" s="3763" t="s">
        <v>551</v>
      </c>
      <c r="Z33" s="1567" t="str">
        <f t="shared" si="15"/>
        <v>建筑类型</v>
      </c>
      <c r="AA33" s="1568">
        <f t="shared" si="3"/>
        <v>1</v>
      </c>
      <c r="AB33" s="1568">
        <f t="shared" si="4"/>
        <v>1</v>
      </c>
      <c r="AC33" s="1568">
        <f t="shared" si="5"/>
        <v>1</v>
      </c>
    </row>
    <row r="34" spans="1:29" s="1332" customFormat="1" ht="15">
      <c r="A34" s="600"/>
      <c r="B34" s="356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2"/>
      <c r="M34" s="2163"/>
      <c r="N34" s="2163"/>
      <c r="O34" s="2163"/>
      <c r="P34" s="3763"/>
      <c r="Q34" s="1597" t="str">
        <f t="shared" si="11"/>
        <v>项目建筑规模</v>
      </c>
      <c r="R34" s="1569" t="s">
        <v>8</v>
      </c>
      <c r="S34" s="1570">
        <f t="shared" si="12"/>
        <v>100</v>
      </c>
      <c r="T34" s="1569" t="s">
        <v>8</v>
      </c>
      <c r="U34" s="1570">
        <f t="shared" si="13"/>
        <v>100</v>
      </c>
      <c r="V34" s="1569" t="s">
        <v>8</v>
      </c>
      <c r="W34" s="1570">
        <f t="shared" si="14"/>
        <v>100</v>
      </c>
      <c r="X34" s="1571"/>
      <c r="Y34" s="3763"/>
      <c r="Z34" s="1572" t="str">
        <f t="shared" si="15"/>
        <v>项目建筑规模</v>
      </c>
      <c r="AA34" s="1568">
        <f t="shared" si="3"/>
        <v>1</v>
      </c>
      <c r="AB34" s="1568">
        <f t="shared" si="4"/>
        <v>1</v>
      </c>
      <c r="AC34" s="1568">
        <f t="shared" si="5"/>
        <v>1</v>
      </c>
    </row>
    <row r="35" spans="1:29" ht="15">
      <c r="A35" s="591"/>
      <c r="B35" s="525" t="s">
        <v>728</v>
      </c>
      <c r="C35" s="3530" t="s">
        <v>3372</v>
      </c>
      <c r="D35" s="538">
        <v>100</v>
      </c>
      <c r="E35" s="3530" t="s">
        <v>3372</v>
      </c>
      <c r="F35" s="572">
        <f>SUMIF(106:106,E35,107:107)-SUMIF(106:106,C35,107:107)+100</f>
        <v>100</v>
      </c>
      <c r="G35" s="3530" t="s">
        <v>3373</v>
      </c>
      <c r="H35" s="538">
        <f>SUMIF(106:106,G35,107:107)-SUMIF(106:106,C35,107:107)+100</f>
        <v>100</v>
      </c>
      <c r="I35" s="3530" t="s">
        <v>3372</v>
      </c>
      <c r="J35" s="538">
        <f>SUMIF(106:106,I35,107:107)-SUMIF(106:106,C35,107:107)+100</f>
        <v>100</v>
      </c>
      <c r="K35" s="581"/>
      <c r="L35" s="2134"/>
      <c r="M35" s="2126"/>
      <c r="N35" s="2126"/>
      <c r="O35" s="2126"/>
      <c r="P35" s="3763"/>
      <c r="Q35" s="1564" t="str">
        <f t="shared" si="11"/>
        <v>建筑结构</v>
      </c>
      <c r="R35" s="1565" t="s">
        <v>8</v>
      </c>
      <c r="S35" s="1566">
        <f t="shared" si="12"/>
        <v>100</v>
      </c>
      <c r="T35" s="1565" t="s">
        <v>8</v>
      </c>
      <c r="U35" s="1566">
        <f t="shared" si="13"/>
        <v>100</v>
      </c>
      <c r="V35" s="1565" t="s">
        <v>8</v>
      </c>
      <c r="W35" s="1566">
        <f t="shared" si="14"/>
        <v>100</v>
      </c>
      <c r="X35" s="1559"/>
      <c r="Y35" s="3763"/>
      <c r="Z35" s="1567" t="str">
        <f t="shared" si="15"/>
        <v>建筑结构</v>
      </c>
      <c r="AA35" s="1568">
        <f t="shared" si="3"/>
        <v>1</v>
      </c>
      <c r="AB35" s="1568">
        <f t="shared" si="4"/>
        <v>1</v>
      </c>
      <c r="AC35" s="1568">
        <f t="shared" si="5"/>
        <v>1</v>
      </c>
    </row>
    <row r="36" spans="1:29" ht="15">
      <c r="A36" s="591"/>
      <c r="B36" s="525" t="s">
        <v>764</v>
      </c>
      <c r="C36" s="3530" t="s">
        <v>3367</v>
      </c>
      <c r="D36" s="538">
        <v>100</v>
      </c>
      <c r="E36" s="3530" t="s">
        <v>3367</v>
      </c>
      <c r="F36" s="572">
        <f>SUMIF(108:108,E36,109:109)-SUMIF(108:108,C36,109:109)+100</f>
        <v>100</v>
      </c>
      <c r="G36" s="3530" t="s">
        <v>3367</v>
      </c>
      <c r="H36" s="538">
        <f>SUMIF(108:108,G36,109:109)-SUMIF(108:108,C36,109:109)+100</f>
        <v>100</v>
      </c>
      <c r="I36" s="3530" t="s">
        <v>3367</v>
      </c>
      <c r="J36" s="538">
        <f>SUMIF(108:108,I36,109:109)-SUMIF(108:108,C36,109:109)+100</f>
        <v>100</v>
      </c>
      <c r="K36" s="581"/>
      <c r="L36" s="2134"/>
      <c r="M36" s="2126"/>
      <c r="N36" s="2126"/>
      <c r="O36" s="2126"/>
      <c r="P36" s="3763"/>
      <c r="Q36" s="1564" t="str">
        <f t="shared" si="11"/>
        <v>公共部分装修</v>
      </c>
      <c r="R36" s="1565" t="s">
        <v>8</v>
      </c>
      <c r="S36" s="1566">
        <f t="shared" si="12"/>
        <v>100</v>
      </c>
      <c r="T36" s="1565" t="s">
        <v>8</v>
      </c>
      <c r="U36" s="1566">
        <f t="shared" si="13"/>
        <v>100</v>
      </c>
      <c r="V36" s="1565" t="s">
        <v>8</v>
      </c>
      <c r="W36" s="1566">
        <f t="shared" si="14"/>
        <v>100</v>
      </c>
      <c r="X36" s="1559"/>
      <c r="Y36" s="3763"/>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4"/>
      <c r="M37" s="2126"/>
      <c r="N37" s="2126"/>
      <c r="O37" s="2126"/>
      <c r="P37" s="3763"/>
      <c r="Q37" s="1564" t="str">
        <f t="shared" si="11"/>
        <v>成新度</v>
      </c>
      <c r="R37" s="1565" t="s">
        <v>8</v>
      </c>
      <c r="S37" s="1566">
        <f t="shared" si="12"/>
        <v>100</v>
      </c>
      <c r="T37" s="1565" t="s">
        <v>8</v>
      </c>
      <c r="U37" s="1566">
        <f t="shared" si="13"/>
        <v>100</v>
      </c>
      <c r="V37" s="1565" t="s">
        <v>8</v>
      </c>
      <c r="W37" s="1566">
        <f t="shared" si="14"/>
        <v>100</v>
      </c>
      <c r="X37" s="1559"/>
      <c r="Y37" s="3763"/>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7"/>
      <c r="M38" s="2128"/>
      <c r="N38" s="2128"/>
      <c r="O38" s="2128"/>
      <c r="P38" s="3763"/>
      <c r="Q38" s="1144" t="str">
        <f t="shared" si="11"/>
        <v>写字楼等级</v>
      </c>
      <c r="R38" s="1560" t="s">
        <v>8</v>
      </c>
      <c r="S38" s="1561">
        <f t="shared" si="12"/>
        <v>100</v>
      </c>
      <c r="T38" s="1560" t="s">
        <v>8</v>
      </c>
      <c r="U38" s="1561">
        <f t="shared" si="13"/>
        <v>100</v>
      </c>
      <c r="V38" s="1560" t="s">
        <v>8</v>
      </c>
      <c r="W38" s="1561">
        <f t="shared" si="14"/>
        <v>100</v>
      </c>
      <c r="X38" s="1562"/>
      <c r="Y38" s="3763"/>
      <c r="Z38" s="1143" t="str">
        <f t="shared" si="15"/>
        <v>写字楼等级</v>
      </c>
      <c r="AA38" s="1563">
        <f t="shared" si="3"/>
        <v>1</v>
      </c>
      <c r="AB38" s="1563">
        <f t="shared" si="4"/>
        <v>1</v>
      </c>
      <c r="AC38" s="1563">
        <f t="shared" si="5"/>
        <v>1</v>
      </c>
    </row>
    <row r="39" spans="1:29" ht="15">
      <c r="A39" s="591"/>
      <c r="B39" s="525" t="s">
        <v>783</v>
      </c>
      <c r="C39" s="3530" t="s">
        <v>3374</v>
      </c>
      <c r="D39" s="538">
        <v>100</v>
      </c>
      <c r="E39" s="3530" t="s">
        <v>3374</v>
      </c>
      <c r="F39" s="572">
        <f>SUMIF(115:115,E39,116:116)-SUMIF(115:115,C39,116:116)+100</f>
        <v>100</v>
      </c>
      <c r="G39" s="3530" t="s">
        <v>3374</v>
      </c>
      <c r="H39" s="538">
        <f>SUMIF(115:115,G39,116:116)-SUMIF(115:115,C39,116:116)+100</f>
        <v>100</v>
      </c>
      <c r="I39" s="3530" t="s">
        <v>3374</v>
      </c>
      <c r="J39" s="538">
        <f>SUMIF(115:115,I39,116:116)-SUMIF(115:115,C39,116:116)+100</f>
        <v>100</v>
      </c>
      <c r="K39" s="581"/>
      <c r="L39" s="2134"/>
      <c r="M39" s="2126"/>
      <c r="N39" s="2126"/>
      <c r="O39" s="2126"/>
      <c r="P39" s="3763" t="s">
        <v>551</v>
      </c>
      <c r="Q39" s="1564" t="str">
        <f t="shared" si="11"/>
        <v>物业管理</v>
      </c>
      <c r="R39" s="1565" t="s">
        <v>8</v>
      </c>
      <c r="S39" s="1566">
        <f t="shared" si="12"/>
        <v>100</v>
      </c>
      <c r="T39" s="1565" t="s">
        <v>8</v>
      </c>
      <c r="U39" s="1566">
        <f t="shared" si="13"/>
        <v>100</v>
      </c>
      <c r="V39" s="1565" t="s">
        <v>8</v>
      </c>
      <c r="W39" s="1566">
        <f t="shared" si="14"/>
        <v>100</v>
      </c>
      <c r="X39" s="1559"/>
      <c r="Y39" s="3763" t="s">
        <v>551</v>
      </c>
      <c r="Z39" s="1567" t="str">
        <f t="shared" si="15"/>
        <v>物业管理</v>
      </c>
      <c r="AA39" s="1568">
        <f t="shared" si="3"/>
        <v>1</v>
      </c>
      <c r="AB39" s="1568">
        <f t="shared" si="4"/>
        <v>1</v>
      </c>
      <c r="AC39" s="1568">
        <f t="shared" si="5"/>
        <v>1</v>
      </c>
    </row>
    <row r="40" spans="1:29" ht="15">
      <c r="A40" s="591"/>
      <c r="B40" s="1887" t="s">
        <v>2569</v>
      </c>
      <c r="C40" s="3530" t="s">
        <v>3368</v>
      </c>
      <c r="D40" s="538">
        <v>100</v>
      </c>
      <c r="E40" s="3530" t="s">
        <v>3368</v>
      </c>
      <c r="F40" s="572">
        <f>SUMIF(117:117,E40,118:118)-SUMIF(117:117,C40,118:118)+100</f>
        <v>100</v>
      </c>
      <c r="G40" s="3530" t="s">
        <v>3368</v>
      </c>
      <c r="H40" s="538">
        <f>SUMIF(117:117,G40,118:118)-SUMIF(117:117,C40,118:118)+100</f>
        <v>100</v>
      </c>
      <c r="I40" s="3530" t="s">
        <v>3368</v>
      </c>
      <c r="J40" s="538">
        <f>SUMIF(117:117,I40,118:118)-SUMIF(117:117,C40,118:118)+100</f>
        <v>100</v>
      </c>
      <c r="K40" s="581"/>
      <c r="L40" s="2134"/>
      <c r="M40" s="2126"/>
      <c r="N40" s="2126"/>
      <c r="O40" s="2126"/>
      <c r="P40" s="3763"/>
      <c r="Q40" s="1564" t="str">
        <f t="shared" si="11"/>
        <v>市政基础设施</v>
      </c>
      <c r="R40" s="1565" t="s">
        <v>8</v>
      </c>
      <c r="S40" s="1566">
        <f t="shared" si="12"/>
        <v>100</v>
      </c>
      <c r="T40" s="1565" t="s">
        <v>8</v>
      </c>
      <c r="U40" s="1566">
        <f t="shared" si="13"/>
        <v>100</v>
      </c>
      <c r="V40" s="1565" t="s">
        <v>8</v>
      </c>
      <c r="W40" s="1566">
        <f t="shared" si="14"/>
        <v>100</v>
      </c>
      <c r="X40" s="1559"/>
      <c r="Y40" s="3763"/>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4"/>
      <c r="M41" s="2126"/>
      <c r="N41" s="2126"/>
      <c r="O41" s="2126"/>
      <c r="P41" s="3763"/>
      <c r="Q41" s="1564" t="str">
        <f t="shared" si="11"/>
        <v>层高</v>
      </c>
      <c r="R41" s="1565" t="s">
        <v>8</v>
      </c>
      <c r="S41" s="1566">
        <f t="shared" si="12"/>
        <v>100</v>
      </c>
      <c r="T41" s="1565" t="s">
        <v>8</v>
      </c>
      <c r="U41" s="1566">
        <f t="shared" si="13"/>
        <v>100</v>
      </c>
      <c r="V41" s="1565" t="s">
        <v>8</v>
      </c>
      <c r="W41" s="1566">
        <f t="shared" si="14"/>
        <v>100</v>
      </c>
      <c r="X41" s="1559"/>
      <c r="Y41" s="3763"/>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2"/>
      <c r="M42" s="2163"/>
      <c r="N42" s="2163"/>
      <c r="O42" s="2163"/>
      <c r="P42" s="3763"/>
      <c r="Q42" s="1597" t="str">
        <f t="shared" si="11"/>
        <v>单套建筑面积</v>
      </c>
      <c r="R42" s="1569" t="s">
        <v>8</v>
      </c>
      <c r="S42" s="1570">
        <f t="shared" si="12"/>
        <v>100</v>
      </c>
      <c r="T42" s="1569" t="s">
        <v>8</v>
      </c>
      <c r="U42" s="1570">
        <f t="shared" si="13"/>
        <v>100</v>
      </c>
      <c r="V42" s="1569" t="s">
        <v>8</v>
      </c>
      <c r="W42" s="1570">
        <f t="shared" si="14"/>
        <v>100</v>
      </c>
      <c r="X42" s="1571"/>
      <c r="Y42" s="3763"/>
      <c r="Z42" s="1572" t="str">
        <f t="shared" si="15"/>
        <v>单套建筑面积</v>
      </c>
      <c r="AA42" s="1568">
        <f t="shared" si="3"/>
        <v>1</v>
      </c>
      <c r="AB42" s="1568">
        <f t="shared" si="4"/>
        <v>1</v>
      </c>
      <c r="AC42" s="1568">
        <f t="shared" si="5"/>
        <v>1</v>
      </c>
    </row>
    <row r="43" spans="1:29" ht="15">
      <c r="A43" s="591"/>
      <c r="B43" s="525" t="s">
        <v>771</v>
      </c>
      <c r="C43" s="3530" t="s">
        <v>3375</v>
      </c>
      <c r="D43" s="538">
        <v>100</v>
      </c>
      <c r="E43" s="3530" t="s">
        <v>3375</v>
      </c>
      <c r="F43" s="572">
        <f>SUMIF(123:123,E43,124:124)-SUMIF(123:123,C43,124:124)+100</f>
        <v>100</v>
      </c>
      <c r="G43" s="3530" t="s">
        <v>3375</v>
      </c>
      <c r="H43" s="538">
        <f>SUMIF(123:123,G43,124:124)-SUMIF(123:123,C43,124:124)+100</f>
        <v>100</v>
      </c>
      <c r="I43" s="3530" t="s">
        <v>3375</v>
      </c>
      <c r="J43" s="538">
        <f>SUMIF(123:123,I43,124:124)-SUMIF(123:123,C43,124:124)+100</f>
        <v>100</v>
      </c>
      <c r="K43" s="581"/>
      <c r="L43" s="2134"/>
      <c r="M43" s="2126"/>
      <c r="N43" s="2126"/>
      <c r="O43" s="2126"/>
      <c r="P43" s="3763"/>
      <c r="Q43" s="1564" t="str">
        <f t="shared" si="11"/>
        <v>内部装修</v>
      </c>
      <c r="R43" s="1565" t="s">
        <v>8</v>
      </c>
      <c r="S43" s="1566">
        <f t="shared" si="12"/>
        <v>100</v>
      </c>
      <c r="T43" s="1565" t="s">
        <v>8</v>
      </c>
      <c r="U43" s="1566">
        <f t="shared" si="13"/>
        <v>100</v>
      </c>
      <c r="V43" s="1565" t="s">
        <v>8</v>
      </c>
      <c r="W43" s="1566">
        <f t="shared" si="14"/>
        <v>100</v>
      </c>
      <c r="X43" s="1559"/>
      <c r="Y43" s="3763"/>
      <c r="Z43" s="1567" t="str">
        <f t="shared" si="15"/>
        <v>内部装修</v>
      </c>
      <c r="AA43" s="1568">
        <f t="shared" si="3"/>
        <v>1</v>
      </c>
      <c r="AB43" s="1568">
        <f t="shared" si="4"/>
        <v>1</v>
      </c>
      <c r="AC43" s="1568">
        <f t="shared" si="5"/>
        <v>1</v>
      </c>
    </row>
    <row r="44" spans="1:29" ht="27">
      <c r="A44" s="591"/>
      <c r="B44" s="525" t="s">
        <v>736</v>
      </c>
      <c r="C44" s="3530" t="s">
        <v>3367</v>
      </c>
      <c r="D44" s="538">
        <v>100</v>
      </c>
      <c r="E44" s="3495" t="s">
        <v>3367</v>
      </c>
      <c r="F44" s="572">
        <f>SUMIF(125:125,E44,126:126)-SUMIF(125:125,C44,126:126)+100</f>
        <v>100</v>
      </c>
      <c r="G44" s="3495" t="s">
        <v>3367</v>
      </c>
      <c r="H44" s="538">
        <f>SUMIF(125:125,G44,126:126)-SUMIF(125:125,C44,126:126)+100</f>
        <v>100</v>
      </c>
      <c r="I44" s="3495" t="s">
        <v>3367</v>
      </c>
      <c r="J44" s="538">
        <f>SUMIF(125:125,I44,126:126)-SUMIF(125:125,C44,126:126)+100</f>
        <v>100</v>
      </c>
      <c r="K44" s="581"/>
      <c r="L44" s="2134"/>
      <c r="M44" s="2126"/>
      <c r="N44" s="2126"/>
      <c r="O44" s="2126"/>
      <c r="P44" s="3763"/>
      <c r="Q44" s="1564" t="str">
        <f t="shared" si="11"/>
        <v>内部装修维护情况</v>
      </c>
      <c r="R44" s="1565" t="s">
        <v>8</v>
      </c>
      <c r="S44" s="1566">
        <f t="shared" si="12"/>
        <v>100</v>
      </c>
      <c r="T44" s="1565" t="s">
        <v>8</v>
      </c>
      <c r="U44" s="1566">
        <f t="shared" si="13"/>
        <v>100</v>
      </c>
      <c r="V44" s="1565" t="s">
        <v>8</v>
      </c>
      <c r="W44" s="1566">
        <f t="shared" si="14"/>
        <v>100</v>
      </c>
      <c r="X44" s="1559"/>
      <c r="Y44" s="3763"/>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7"/>
      <c r="M45" s="2128"/>
      <c r="N45" s="2128"/>
      <c r="O45" s="2128"/>
      <c r="P45" s="3763"/>
      <c r="Q45" s="1144">
        <f t="shared" si="11"/>
        <v>111</v>
      </c>
      <c r="R45" s="1560" t="s">
        <v>8</v>
      </c>
      <c r="S45" s="1561">
        <f t="shared" si="12"/>
        <v>100</v>
      </c>
      <c r="T45" s="1560" t="s">
        <v>8</v>
      </c>
      <c r="U45" s="1561">
        <f t="shared" si="13"/>
        <v>100</v>
      </c>
      <c r="V45" s="1560" t="s">
        <v>8</v>
      </c>
      <c r="W45" s="1561">
        <f t="shared" si="14"/>
        <v>100</v>
      </c>
      <c r="X45" s="1562"/>
      <c r="Y45" s="3763"/>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4"/>
      <c r="M46" s="2126"/>
      <c r="N46" s="2126"/>
      <c r="O46" s="2126"/>
      <c r="P46" s="3763"/>
      <c r="Q46" s="1564">
        <f t="shared" si="11"/>
        <v>111</v>
      </c>
      <c r="R46" s="1565" t="s">
        <v>8</v>
      </c>
      <c r="S46" s="1566">
        <f t="shared" si="12"/>
        <v>100</v>
      </c>
      <c r="T46" s="1565" t="s">
        <v>8</v>
      </c>
      <c r="U46" s="1566">
        <f t="shared" si="13"/>
        <v>100</v>
      </c>
      <c r="V46" s="1565" t="s">
        <v>8</v>
      </c>
      <c r="W46" s="1566">
        <f t="shared" si="14"/>
        <v>100</v>
      </c>
      <c r="X46" s="1559"/>
      <c r="Y46" s="3763"/>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4"/>
      <c r="M47" s="2126"/>
      <c r="N47" s="2126"/>
      <c r="O47" s="2126"/>
      <c r="P47" s="3860"/>
      <c r="Q47" s="1564">
        <f t="shared" si="11"/>
        <v>0.9</v>
      </c>
      <c r="R47" s="1565" t="s">
        <v>8</v>
      </c>
      <c r="S47" s="1566">
        <f t="shared" si="12"/>
        <v>100</v>
      </c>
      <c r="T47" s="1565" t="s">
        <v>8</v>
      </c>
      <c r="U47" s="1566">
        <f t="shared" si="13"/>
        <v>100</v>
      </c>
      <c r="V47" s="1565" t="s">
        <v>8</v>
      </c>
      <c r="W47" s="1566">
        <f t="shared" si="14"/>
        <v>100</v>
      </c>
      <c r="X47" s="1559"/>
      <c r="Y47" s="3860"/>
      <c r="Z47" s="1567">
        <f t="shared" si="15"/>
        <v>0.9</v>
      </c>
      <c r="AA47" s="1568">
        <f t="shared" si="3"/>
        <v>1</v>
      </c>
      <c r="AB47" s="1568">
        <f t="shared" si="4"/>
        <v>1</v>
      </c>
      <c r="AC47" s="1568">
        <f t="shared" si="5"/>
        <v>1</v>
      </c>
    </row>
    <row r="48" spans="1:29" ht="15">
      <c r="A48" s="604" t="s">
        <v>737</v>
      </c>
      <c r="B48" s="880"/>
      <c r="C48" s="2643" t="s">
        <v>1</v>
      </c>
      <c r="D48" s="2644"/>
      <c r="E48" s="2645">
        <f>16000*0.95</f>
        <v>15200</v>
      </c>
      <c r="F48" s="2646"/>
      <c r="G48" s="2647">
        <f>15000*0.95</f>
        <v>14250</v>
      </c>
      <c r="H48" s="2648"/>
      <c r="I48" s="2645">
        <f>17000*0.95</f>
        <v>16150</v>
      </c>
      <c r="J48" s="2648"/>
      <c r="K48" s="1603"/>
      <c r="L48" s="2136"/>
      <c r="M48" s="2126"/>
      <c r="N48" s="2126"/>
      <c r="O48" s="2126"/>
      <c r="P48" s="3780" t="str">
        <f>A48</f>
        <v>成交单价（元/平方米）</v>
      </c>
      <c r="Q48" s="3758"/>
      <c r="R48" s="3859">
        <f>E48</f>
        <v>15200</v>
      </c>
      <c r="S48" s="3859"/>
      <c r="T48" s="3859">
        <f>G48</f>
        <v>14250</v>
      </c>
      <c r="U48" s="3859"/>
      <c r="V48" s="3859">
        <f>I48</f>
        <v>16150</v>
      </c>
      <c r="W48" s="3859"/>
      <c r="X48" s="1551"/>
      <c r="Y48" s="1573"/>
      <c r="Z48" s="1551"/>
      <c r="AA48" s="1551"/>
      <c r="AB48" s="1551"/>
      <c r="AC48" s="1551"/>
    </row>
    <row r="49" spans="1:29" ht="15.75" thickBot="1">
      <c r="A49" s="612" t="s">
        <v>2764</v>
      </c>
      <c r="B49" s="881"/>
      <c r="C49" s="2649">
        <f>R50</f>
        <v>15094</v>
      </c>
      <c r="D49" s="2650"/>
      <c r="E49" s="2651">
        <f>R49</f>
        <v>15200</v>
      </c>
      <c r="F49" s="2651"/>
      <c r="G49" s="2649">
        <f>T49</f>
        <v>14250</v>
      </c>
      <c r="H49" s="2650"/>
      <c r="I49" s="2651">
        <f>V49</f>
        <v>15833</v>
      </c>
      <c r="J49" s="2650"/>
      <c r="K49" s="1604"/>
      <c r="L49" s="2136"/>
      <c r="M49" s="2126"/>
      <c r="N49" s="2126"/>
      <c r="O49" s="2126"/>
      <c r="P49" s="3780" t="str">
        <f>A49</f>
        <v>比较价格（元/平方米）</v>
      </c>
      <c r="Q49" s="3758"/>
      <c r="R49" s="3859">
        <f>IF(F1="售价",ROUND(PRODUCT(R48,AA7:AA47),0),ROUND(PRODUCT(R48,AA7:AA47),1))</f>
        <v>15200</v>
      </c>
      <c r="S49" s="3859"/>
      <c r="T49" s="3859">
        <f>IF(F1="售价",ROUND(PRODUCT(T48,AB7:AB47),0),ROUND(PRODUCT(T48,AB7:AB47),1))</f>
        <v>14250</v>
      </c>
      <c r="U49" s="3859"/>
      <c r="V49" s="3859">
        <f>IF(F1="售价",ROUND(PRODUCT(V48,AC7:AC47),0),ROUND(PRODUCT(V48,AC7:AC47),1))</f>
        <v>15833</v>
      </c>
      <c r="W49" s="3859"/>
      <c r="X49" s="1551"/>
      <c r="Y49" s="1551"/>
      <c r="Z49" s="1551"/>
      <c r="AA49" s="1551"/>
      <c r="AB49" s="1551"/>
      <c r="AC49" s="1551"/>
    </row>
    <row r="50" spans="1:29" ht="15.75" thickBot="1">
      <c r="A50" s="618" t="s">
        <v>2935</v>
      </c>
      <c r="B50" s="619"/>
      <c r="C50" s="2652">
        <f>R50</f>
        <v>15094</v>
      </c>
      <c r="D50" s="2652"/>
      <c r="E50" s="2652"/>
      <c r="F50" s="2652"/>
      <c r="G50" s="2652"/>
      <c r="H50" s="2652"/>
      <c r="I50" s="2652"/>
      <c r="J50" s="2652"/>
      <c r="K50" s="1605"/>
      <c r="L50" s="2136"/>
      <c r="M50" s="2126"/>
      <c r="N50" s="2126"/>
      <c r="O50" s="2126"/>
      <c r="P50" s="3864" t="str">
        <f>A50</f>
        <v>估价对象XX用房的比较价格（楼面单价，元/平方米）</v>
      </c>
      <c r="Q50" s="3780"/>
      <c r="R50" s="3858">
        <f>IF(F1="售价",ROUND(AVERAGE(R49:V49),0),ROUND(AVERAGE(R49:V49),1))</f>
        <v>15094</v>
      </c>
      <c r="S50" s="3858"/>
      <c r="T50" s="3858"/>
      <c r="U50" s="3858"/>
      <c r="V50" s="3858"/>
      <c r="W50" s="3858"/>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v>
      </c>
      <c r="F53" s="624" t="str">
        <f>IF(OR(E53&gt;=0.3,E53&lt;=-0.3),"超过30%","")</f>
        <v/>
      </c>
      <c r="G53" s="623">
        <f>IF(G48&lt;G49,G49/G48-1,G48/G49-1)</f>
        <v>0</v>
      </c>
      <c r="H53" s="624" t="str">
        <f>IF(OR(G53&gt;=0.3,G53&lt;=-0.3),"超过30%","")</f>
        <v/>
      </c>
      <c r="I53" s="623">
        <f>IF(I48&lt;I49,I49/I48-1,I48/I49-1)</f>
        <v>2.0021474136297623E-2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6.6666666666666652E-2</v>
      </c>
      <c r="F54" s="624" t="str">
        <f>IF(OR(E54&gt;=0.2,E54&lt;=-0.2),"超过20%","")</f>
        <v/>
      </c>
      <c r="G54" s="623">
        <f>IF(G49&lt;I49,I49/G49-1,G49/I49-1)</f>
        <v>0.11108771929824557</v>
      </c>
      <c r="H54" s="624" t="str">
        <f>IF(OR(G54&gt;=0.2,G54&lt;=-0.2),"超过20%","")</f>
        <v/>
      </c>
      <c r="I54" s="623">
        <f>IF(I49&lt;E49,E49/I49-1,I49/E49-1)</f>
        <v>4.1644736842105345E-2</v>
      </c>
      <c r="J54" s="624" t="str">
        <f>IF(OR(I54&gt;=0.2,I54&lt;=-0.2),"超过20%","")</f>
        <v/>
      </c>
      <c r="K54" s="2141"/>
      <c r="L54" s="2142"/>
      <c r="M54" s="2137"/>
      <c r="N54" s="2137"/>
      <c r="O54" s="2137"/>
      <c r="P54" s="2200"/>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6.6666666666666652E-2</v>
      </c>
      <c r="F55" s="624" t="str">
        <f>IF(OR(E55&gt;=0.3,E55&lt;=-0.3),"超过30%","")</f>
        <v/>
      </c>
      <c r="G55" s="623">
        <f>IF(G48&lt;I48,I48/G48-1,G48/I48-1)</f>
        <v>0.1333333333333333</v>
      </c>
      <c r="H55" s="624" t="str">
        <f>IF(OR(G55&gt;=0.3,G55&lt;=-0.3),"超过30%","")</f>
        <v/>
      </c>
      <c r="I55" s="623">
        <f>IF(I48&lt;E48,E48/I48-1,I48/E48-1)</f>
        <v>6.25E-2</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38"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575</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40" customFormat="1" ht="15">
      <c r="A59" s="642" t="s">
        <v>530</v>
      </c>
      <c r="B59" s="643"/>
      <c r="C59" s="2819" t="str">
        <f>YEAR(C7)&amp;"-"&amp;MONTH(C7)</f>
        <v>2018-6</v>
      </c>
      <c r="D59" s="2821">
        <f>EDATE(C59,-1)</f>
        <v>43221</v>
      </c>
      <c r="E59" s="2821">
        <f t="shared" ref="E59:O59" si="16">EDATE(D59,-1)</f>
        <v>43191</v>
      </c>
      <c r="F59" s="2821">
        <f t="shared" si="16"/>
        <v>43160</v>
      </c>
      <c r="G59" s="2821">
        <f t="shared" si="16"/>
        <v>43132</v>
      </c>
      <c r="H59" s="2821">
        <f t="shared" si="16"/>
        <v>43101</v>
      </c>
      <c r="I59" s="2821">
        <f t="shared" si="16"/>
        <v>43070</v>
      </c>
      <c r="J59" s="2821">
        <f t="shared" si="16"/>
        <v>43040</v>
      </c>
      <c r="K59" s="2821">
        <f t="shared" si="16"/>
        <v>43009</v>
      </c>
      <c r="L59" s="2821">
        <f t="shared" si="16"/>
        <v>42979</v>
      </c>
      <c r="M59" s="2821">
        <f t="shared" si="16"/>
        <v>42948</v>
      </c>
      <c r="N59" s="2821">
        <f t="shared" si="16"/>
        <v>42917</v>
      </c>
      <c r="O59" s="2821">
        <f t="shared" si="16"/>
        <v>42887</v>
      </c>
      <c r="P59" s="2203"/>
      <c r="Q59" s="2153"/>
      <c r="R59" s="2153"/>
      <c r="S59" s="2153"/>
      <c r="T59" s="2153"/>
      <c r="U59" s="2153"/>
      <c r="V59" s="2153"/>
      <c r="W59" s="2153"/>
      <c r="X59" s="2153"/>
      <c r="Y59" s="2153"/>
      <c r="Z59" s="2153"/>
      <c r="AA59" s="2153"/>
      <c r="AB59" s="2153"/>
      <c r="AC59" s="2153"/>
    </row>
    <row r="60" spans="1:29" s="1213" customFormat="1" ht="15">
      <c r="A60" s="644"/>
      <c r="B60" s="645"/>
      <c r="C60" s="646">
        <v>100</v>
      </c>
      <c r="D60" s="647"/>
      <c r="E60" s="647"/>
      <c r="F60" s="647"/>
      <c r="G60" s="647"/>
      <c r="H60" s="647"/>
      <c r="I60" s="647"/>
      <c r="J60" s="647"/>
      <c r="K60" s="647"/>
      <c r="L60" s="647"/>
      <c r="M60" s="648"/>
      <c r="N60" s="647"/>
      <c r="O60" s="648"/>
      <c r="P60" s="2204"/>
      <c r="Q60" s="1985"/>
      <c r="R60" s="1985"/>
      <c r="S60" s="1985"/>
      <c r="T60" s="1985"/>
      <c r="U60" s="1985"/>
      <c r="V60" s="1985"/>
      <c r="W60" s="1985"/>
      <c r="X60" s="1985"/>
      <c r="Y60" s="1985"/>
      <c r="Z60" s="1985"/>
      <c r="AA60" s="1985"/>
      <c r="AB60" s="1985"/>
      <c r="AC60" s="1985"/>
    </row>
    <row r="61" spans="1:29" s="1213" customFormat="1" ht="15.75" thickBot="1">
      <c r="A61" s="650" t="s">
        <v>576</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3" customFormat="1" ht="15">
      <c r="A62" s="656" t="s">
        <v>532</v>
      </c>
      <c r="B62" s="645"/>
      <c r="C62" s="657" t="s">
        <v>577</v>
      </c>
      <c r="D62" s="658"/>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3" customFormat="1" ht="15.75" thickBot="1">
      <c r="A63" s="656"/>
      <c r="B63" s="645"/>
      <c r="C63" s="882">
        <v>100</v>
      </c>
      <c r="D63" s="647"/>
      <c r="E63" s="647"/>
      <c r="F63" s="647"/>
      <c r="G63" s="647"/>
      <c r="H63" s="647"/>
      <c r="I63" s="647"/>
      <c r="J63" s="647"/>
      <c r="K63" s="647"/>
      <c r="L63" s="647"/>
      <c r="M63" s="649"/>
      <c r="N63" s="2154"/>
      <c r="O63" s="2154"/>
      <c r="P63" s="2204"/>
      <c r="Q63" s="2150"/>
      <c r="R63" s="1985"/>
      <c r="S63" s="1985"/>
      <c r="T63" s="1985"/>
      <c r="U63" s="1985"/>
      <c r="V63" s="1985"/>
      <c r="W63" s="1985"/>
      <c r="X63" s="1985"/>
      <c r="Y63" s="1985"/>
      <c r="Z63" s="1985"/>
      <c r="AA63" s="1985"/>
      <c r="AB63" s="1985"/>
      <c r="AC63" s="1985"/>
    </row>
    <row r="64" spans="1:29">
      <c r="A64" s="661" t="s">
        <v>578</v>
      </c>
      <c r="B64" s="662" t="s">
        <v>535</v>
      </c>
      <c r="C64" s="701" t="str">
        <f>C9</f>
        <v>办公</v>
      </c>
      <c r="D64" s="595"/>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668"/>
      <c r="D65" s="668"/>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9">
        <v>0</v>
      </c>
      <c r="D69" s="539">
        <v>1</v>
      </c>
      <c r="E69" s="539">
        <v>2</v>
      </c>
      <c r="F69" s="539">
        <v>3</v>
      </c>
      <c r="G69" s="539"/>
      <c r="H69" s="539"/>
      <c r="I69" s="539"/>
      <c r="J69" s="539"/>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8"/>
      <c r="O70" s="2158"/>
      <c r="P70" s="2206"/>
      <c r="Q70" s="2150"/>
      <c r="R70" s="2137"/>
      <c r="S70" s="2137"/>
      <c r="T70" s="2137"/>
      <c r="U70" s="2137"/>
      <c r="V70" s="2137"/>
      <c r="W70" s="2137"/>
      <c r="X70" s="2137"/>
      <c r="Y70" s="2137"/>
      <c r="Z70" s="2137"/>
      <c r="AA70" s="2137"/>
      <c r="AB70" s="2137"/>
      <c r="AC70" s="2137"/>
    </row>
    <row r="71" spans="1:29" s="1332"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2"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2"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2"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2"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2"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540</v>
      </c>
      <c r="B77" s="662" t="s">
        <v>586</v>
      </c>
      <c r="C77" s="700" t="s">
        <v>580</v>
      </c>
      <c r="D77" s="700" t="s">
        <v>581</v>
      </c>
      <c r="E77" s="700" t="s">
        <v>582</v>
      </c>
      <c r="F77" s="700" t="s">
        <v>583</v>
      </c>
      <c r="G77" s="700" t="s">
        <v>584</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587</v>
      </c>
      <c r="C79" s="705" t="s">
        <v>580</v>
      </c>
      <c r="D79" s="705" t="s">
        <v>581</v>
      </c>
      <c r="E79" s="705" t="s">
        <v>582</v>
      </c>
      <c r="F79" s="705" t="s">
        <v>583</v>
      </c>
      <c r="G79" s="705" t="s">
        <v>584</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2561</v>
      </c>
      <c r="C81" s="705" t="s">
        <v>580</v>
      </c>
      <c r="D81" s="705" t="s">
        <v>581</v>
      </c>
      <c r="E81" s="705" t="s">
        <v>582</v>
      </c>
      <c r="F81" s="705" t="s">
        <v>583</v>
      </c>
      <c r="G81" s="705" t="s">
        <v>584</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2562</v>
      </c>
      <c r="C83" s="2614" t="s">
        <v>2563</v>
      </c>
      <c r="D83" s="2614" t="s">
        <v>2564</v>
      </c>
      <c r="E83" s="2614" t="s">
        <v>2565</v>
      </c>
      <c r="F83" s="2614" t="s">
        <v>2566</v>
      </c>
      <c r="G83" s="2614" t="s">
        <v>2567</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785</v>
      </c>
      <c r="C85" s="705" t="s">
        <v>580</v>
      </c>
      <c r="D85" s="705" t="s">
        <v>581</v>
      </c>
      <c r="E85" s="705" t="s">
        <v>582</v>
      </c>
      <c r="F85" s="705" t="s">
        <v>583</v>
      </c>
      <c r="G85" s="705" t="s">
        <v>584</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3" customFormat="1" ht="27.75" thickTop="1">
      <c r="A87" s="706"/>
      <c r="B87" s="670" t="s">
        <v>786</v>
      </c>
      <c r="C87" s="3482" t="s">
        <v>3377</v>
      </c>
      <c r="D87" s="3482" t="s">
        <v>3379</v>
      </c>
      <c r="E87" s="3482" t="s">
        <v>3380</v>
      </c>
      <c r="F87" s="685"/>
      <c r="G87" s="685"/>
      <c r="H87" s="685"/>
      <c r="I87" s="685"/>
      <c r="J87" s="685"/>
      <c r="K87" s="685"/>
      <c r="L87" s="883"/>
      <c r="M87" s="884"/>
      <c r="N87" s="2154"/>
      <c r="O87" s="2154"/>
      <c r="P87" s="2206"/>
      <c r="Q87" s="2150"/>
      <c r="R87" s="1985"/>
      <c r="S87" s="1985"/>
      <c r="T87" s="1985"/>
      <c r="U87" s="1985"/>
      <c r="V87" s="1985"/>
      <c r="W87" s="1985"/>
      <c r="X87" s="1985"/>
      <c r="Y87" s="1985"/>
      <c r="Z87" s="1985"/>
      <c r="AA87" s="1985"/>
      <c r="AB87" s="1985"/>
      <c r="AC87" s="1985"/>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8"/>
      <c r="O88" s="2158"/>
      <c r="P88" s="2206"/>
      <c r="Q88" s="2150"/>
      <c r="R88" s="1985"/>
      <c r="S88" s="1985"/>
      <c r="T88" s="1985"/>
      <c r="U88" s="1985"/>
      <c r="V88" s="1985"/>
      <c r="W88" s="1985"/>
      <c r="X88" s="1985"/>
      <c r="Y88" s="1985"/>
      <c r="Z88" s="1985"/>
      <c r="AA88" s="1985"/>
      <c r="AB88" s="1985"/>
      <c r="AC88" s="1985"/>
    </row>
    <row r="89" spans="1:29" s="1213" customFormat="1" ht="15.75" thickTop="1">
      <c r="A89" s="706"/>
      <c r="B89" s="670" t="str">
        <f>B27</f>
        <v>楼层</v>
      </c>
      <c r="C89" s="685"/>
      <c r="D89" s="685"/>
      <c r="E89" s="685"/>
      <c r="F89" s="885"/>
      <c r="G89" s="685"/>
      <c r="H89" s="685"/>
      <c r="I89" s="685"/>
      <c r="J89" s="685"/>
      <c r="K89" s="685"/>
      <c r="L89" s="685"/>
      <c r="M89" s="884"/>
      <c r="N89" s="2154"/>
      <c r="O89" s="2154"/>
      <c r="P89" s="2206"/>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2"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3"/>
      <c r="M93" s="884"/>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86"/>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552</v>
      </c>
      <c r="B101" s="662" t="s">
        <v>748</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2" customFormat="1">
      <c r="A104" s="725"/>
      <c r="B104" s="726"/>
      <c r="C104" s="727">
        <v>0</v>
      </c>
      <c r="D104" s="727">
        <v>100</v>
      </c>
      <c r="E104" s="727">
        <v>200</v>
      </c>
      <c r="F104" s="727">
        <v>300</v>
      </c>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2" customFormat="1" ht="15.75" thickBot="1">
      <c r="A105" s="684"/>
      <c r="B105" s="675"/>
      <c r="C105" s="689">
        <v>100</v>
      </c>
      <c r="D105" s="668">
        <v>98</v>
      </c>
      <c r="E105" s="668">
        <v>96</v>
      </c>
      <c r="F105" s="668">
        <v>94</v>
      </c>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750</v>
      </c>
      <c r="C106" s="685"/>
      <c r="D106" s="685"/>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752</v>
      </c>
      <c r="C108" s="685"/>
      <c r="D108" s="685"/>
      <c r="E108" s="685"/>
      <c r="F108" s="715"/>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87">
        <v>0.5</v>
      </c>
      <c r="D111" s="887">
        <v>0.6</v>
      </c>
      <c r="E111" s="887">
        <v>0.7</v>
      </c>
      <c r="F111" s="887">
        <v>0.8</v>
      </c>
      <c r="G111" s="887">
        <v>0.9</v>
      </c>
      <c r="H111" s="887">
        <v>1.0001</v>
      </c>
      <c r="I111" s="898"/>
      <c r="J111" s="898"/>
      <c r="K111" s="899"/>
      <c r="L111" s="900"/>
      <c r="M111" s="901"/>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8"/>
      <c r="O112" s="2158"/>
      <c r="P112" s="2206"/>
      <c r="Q112" s="2150"/>
      <c r="R112" s="2137"/>
      <c r="S112" s="2137"/>
      <c r="T112" s="2137"/>
      <c r="U112" s="2137"/>
      <c r="V112" s="2137"/>
      <c r="W112" s="2137"/>
      <c r="X112" s="2137"/>
      <c r="Y112" s="2137"/>
      <c r="Z112" s="2137"/>
      <c r="AA112" s="2137"/>
      <c r="AB112" s="2137"/>
      <c r="AC112" s="2137"/>
    </row>
    <row r="113" spans="1:29" s="1332" customFormat="1" ht="15" thickTop="1">
      <c r="A113" s="725"/>
      <c r="B113" s="670" t="s">
        <v>787</v>
      </c>
      <c r="C113" s="685"/>
      <c r="D113" s="685"/>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754</v>
      </c>
      <c r="C115" s="685"/>
      <c r="D115" s="685"/>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2560</v>
      </c>
      <c r="C117" s="685"/>
      <c r="D117" s="685"/>
      <c r="E117" s="685"/>
      <c r="F117" s="685"/>
      <c r="G117" s="685"/>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0" t="s">
        <v>788</v>
      </c>
      <c r="C119" s="715"/>
      <c r="D119" s="715"/>
      <c r="E119" s="715"/>
      <c r="F119" s="715"/>
      <c r="G119" s="715"/>
      <c r="H119" s="715"/>
      <c r="I119" s="715"/>
      <c r="J119" s="715"/>
      <c r="K119" s="715"/>
      <c r="L119" s="911"/>
      <c r="M119" s="912"/>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8"/>
      <c r="O120" s="2158"/>
      <c r="P120" s="2206"/>
      <c r="Q120" s="2150"/>
      <c r="R120" s="2137"/>
      <c r="S120" s="2137"/>
      <c r="T120" s="2137"/>
      <c r="U120" s="2137"/>
      <c r="V120" s="2137"/>
      <c r="W120" s="2137"/>
      <c r="X120" s="2137"/>
      <c r="Y120" s="2137"/>
      <c r="Z120" s="2137"/>
      <c r="AA120" s="2137"/>
      <c r="AB120" s="2137"/>
      <c r="AC120" s="2137"/>
    </row>
    <row r="121" spans="1:29" s="1332" customFormat="1" ht="15" thickTop="1">
      <c r="A121" s="725"/>
      <c r="B121" s="670" t="s">
        <v>776</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2"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756</v>
      </c>
      <c r="C123" s="685"/>
      <c r="D123" s="685"/>
      <c r="E123" s="685"/>
      <c r="F123" s="715"/>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2"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2"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0.9</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86"/>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Normal="100" workbookViewId="0">
      <selection activeCell="K32" sqref="K3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2" t="s">
        <v>3218</v>
      </c>
      <c r="E1" s="504"/>
      <c r="F1" s="2824"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29062</v>
      </c>
      <c r="C3" s="849" t="s">
        <v>723</v>
      </c>
      <c r="D3" s="848">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6"/>
    </row>
    <row r="4" spans="1:29" ht="15">
      <c r="A4" s="510" t="s">
        <v>522</v>
      </c>
      <c r="B4" s="511"/>
      <c r="C4" s="3764" t="s">
        <v>523</v>
      </c>
      <c r="D4" s="3765"/>
      <c r="E4" s="3789" t="s">
        <v>524</v>
      </c>
      <c r="F4" s="3790"/>
      <c r="G4" s="3764" t="s">
        <v>525</v>
      </c>
      <c r="H4" s="3765"/>
      <c r="I4" s="3764" t="s">
        <v>526</v>
      </c>
      <c r="J4" s="3765"/>
      <c r="K4" s="512" t="s">
        <v>527</v>
      </c>
      <c r="L4" s="2125"/>
      <c r="M4" s="2126"/>
      <c r="N4" s="2126"/>
      <c r="O4" s="2126"/>
      <c r="P4" s="3766" t="s">
        <v>528</v>
      </c>
      <c r="Q4" s="3767"/>
      <c r="R4" s="3752" t="s">
        <v>524</v>
      </c>
      <c r="S4" s="3753"/>
      <c r="T4" s="3752" t="s">
        <v>525</v>
      </c>
      <c r="U4" s="3753"/>
      <c r="V4" s="3772" t="s">
        <v>526</v>
      </c>
      <c r="W4" s="3772"/>
      <c r="X4" s="1559"/>
      <c r="Y4" s="3752" t="s">
        <v>528</v>
      </c>
      <c r="Z4" s="3753"/>
      <c r="AA4" s="3747" t="s">
        <v>524</v>
      </c>
      <c r="AB4" s="3772" t="s">
        <v>525</v>
      </c>
      <c r="AC4" s="3747" t="s">
        <v>526</v>
      </c>
    </row>
    <row r="5" spans="1:29" ht="15">
      <c r="A5" s="513"/>
      <c r="B5" s="514"/>
      <c r="C5" s="3857" t="s">
        <v>3326</v>
      </c>
      <c r="D5" s="3776"/>
      <c r="E5" s="3856" t="s">
        <v>3327</v>
      </c>
      <c r="F5" s="3792"/>
      <c r="G5" s="3857" t="s">
        <v>3341</v>
      </c>
      <c r="H5" s="3776"/>
      <c r="I5" s="3857" t="s">
        <v>3339</v>
      </c>
      <c r="J5" s="3776"/>
      <c r="K5" s="512"/>
      <c r="L5" s="2125"/>
      <c r="M5" s="2126"/>
      <c r="N5" s="2126"/>
      <c r="O5" s="2126"/>
      <c r="P5" s="3768"/>
      <c r="Q5" s="3769"/>
      <c r="R5" s="3754"/>
      <c r="S5" s="3755"/>
      <c r="T5" s="3754"/>
      <c r="U5" s="3755"/>
      <c r="V5" s="3772"/>
      <c r="W5" s="3772"/>
      <c r="X5" s="1559"/>
      <c r="Y5" s="3754"/>
      <c r="Z5" s="3755"/>
      <c r="AA5" s="3748"/>
      <c r="AB5" s="3772"/>
      <c r="AC5" s="3748"/>
    </row>
    <row r="6" spans="1:29" ht="15.75" thickBot="1">
      <c r="A6" s="515"/>
      <c r="B6" s="516"/>
      <c r="C6" s="3773" t="s">
        <v>2933</v>
      </c>
      <c r="D6" s="3774"/>
      <c r="E6" s="3793" t="s">
        <v>2933</v>
      </c>
      <c r="F6" s="3794"/>
      <c r="G6" s="3773" t="s">
        <v>2933</v>
      </c>
      <c r="H6" s="3774"/>
      <c r="I6" s="3773" t="s">
        <v>2933</v>
      </c>
      <c r="J6" s="3774"/>
      <c r="K6" s="512" t="s">
        <v>529</v>
      </c>
      <c r="L6" s="2125"/>
      <c r="M6" s="2126"/>
      <c r="N6" s="2126"/>
      <c r="O6" s="2126"/>
      <c r="P6" s="3770"/>
      <c r="Q6" s="3771"/>
      <c r="R6" s="3754"/>
      <c r="S6" s="3755"/>
      <c r="T6" s="3756"/>
      <c r="U6" s="3757"/>
      <c r="V6" s="3772"/>
      <c r="W6" s="3772"/>
      <c r="X6" s="1559"/>
      <c r="Y6" s="3756"/>
      <c r="Z6" s="3757"/>
      <c r="AA6" s="3749"/>
      <c r="AB6" s="3772"/>
      <c r="AC6" s="3749"/>
    </row>
    <row r="7" spans="1:29" s="1213" customFormat="1" ht="15.75" thickBot="1">
      <c r="A7" s="2928"/>
      <c r="B7" s="2935" t="s">
        <v>530</v>
      </c>
      <c r="C7" s="517">
        <f>'数据-取费表'!B2</f>
        <v>43271</v>
      </c>
      <c r="D7" s="518">
        <v>100</v>
      </c>
      <c r="E7" s="519">
        <v>43252</v>
      </c>
      <c r="F7" s="520">
        <f>SUMIF(58:58,YEAR(E7)&amp;"-"&amp;MONTH(E7),59:59)</f>
        <v>100</v>
      </c>
      <c r="G7" s="519">
        <v>43252</v>
      </c>
      <c r="H7" s="518">
        <f>SUMIF(58:58,YEAR(G7)&amp;"-"&amp;MONTH(G7),59:59)</f>
        <v>100</v>
      </c>
      <c r="I7" s="519">
        <v>43252</v>
      </c>
      <c r="J7" s="518">
        <f>SUMIF(58:58,YEAR(I7)&amp;"-"&amp;MONTH(I7),59:59)</f>
        <v>100</v>
      </c>
      <c r="K7" s="522"/>
      <c r="L7" s="2127"/>
      <c r="M7" s="2128"/>
      <c r="N7" s="2128"/>
      <c r="O7" s="2128"/>
      <c r="P7" s="3750" t="s">
        <v>531</v>
      </c>
      <c r="Q7" s="3759"/>
      <c r="R7" s="1560" t="s">
        <v>8</v>
      </c>
      <c r="S7" s="1561">
        <f t="shared" ref="S7:S15" si="0">F7</f>
        <v>100</v>
      </c>
      <c r="T7" s="1560" t="s">
        <v>8</v>
      </c>
      <c r="U7" s="1561">
        <f t="shared" ref="U7:U15" si="1">H7</f>
        <v>100</v>
      </c>
      <c r="V7" s="1560" t="s">
        <v>8</v>
      </c>
      <c r="W7" s="1561">
        <f t="shared" ref="W7:W15" si="2">J7</f>
        <v>100</v>
      </c>
      <c r="X7" s="1562"/>
      <c r="Y7" s="3750" t="s">
        <v>531</v>
      </c>
      <c r="Z7" s="3751"/>
      <c r="AA7" s="1563">
        <f>D7/F7</f>
        <v>1</v>
      </c>
      <c r="AB7" s="1563">
        <f>D7/H7</f>
        <v>1</v>
      </c>
      <c r="AC7" s="1563">
        <f>D7/J7</f>
        <v>1</v>
      </c>
    </row>
    <row r="8" spans="1:29" s="1213" customFormat="1" ht="15.75" thickBot="1">
      <c r="A8" s="2929"/>
      <c r="B8" s="2936" t="s">
        <v>532</v>
      </c>
      <c r="C8" s="523" t="s">
        <v>577</v>
      </c>
      <c r="D8" s="518">
        <v>100</v>
      </c>
      <c r="E8" s="3502" t="s">
        <v>3329</v>
      </c>
      <c r="F8" s="520">
        <f>SUMIF(61:61,E8,62:62)-SUMIF(61:61,C8,62:62)+100</f>
        <v>100</v>
      </c>
      <c r="G8" s="3502" t="s">
        <v>3329</v>
      </c>
      <c r="H8" s="518">
        <f>SUMIF(61:61,G8,62:62)-SUMIF(61:61,C8,62:62)+100</f>
        <v>100</v>
      </c>
      <c r="I8" s="3502" t="s">
        <v>3329</v>
      </c>
      <c r="J8" s="518">
        <f>SUMIF(61:61,I8,62:62)-SUMIF(61:61,C8,62:62)+100</f>
        <v>100</v>
      </c>
      <c r="K8" s="522"/>
      <c r="L8" s="2127"/>
      <c r="M8" s="2128"/>
      <c r="N8" s="2128"/>
      <c r="O8" s="2128"/>
      <c r="P8" s="3750" t="s">
        <v>534</v>
      </c>
      <c r="Q8" s="3751"/>
      <c r="R8" s="1560" t="s">
        <v>8</v>
      </c>
      <c r="S8" s="1561">
        <f t="shared" si="0"/>
        <v>100</v>
      </c>
      <c r="T8" s="1560" t="s">
        <v>8</v>
      </c>
      <c r="U8" s="1561">
        <f t="shared" si="1"/>
        <v>100</v>
      </c>
      <c r="V8" s="1560" t="s">
        <v>8</v>
      </c>
      <c r="W8" s="1561">
        <f t="shared" si="2"/>
        <v>100</v>
      </c>
      <c r="X8" s="1562"/>
      <c r="Y8" s="3750" t="s">
        <v>534</v>
      </c>
      <c r="Z8" s="3751"/>
      <c r="AA8" s="1563">
        <f t="shared" ref="AA8:AA46" si="3">D8/F8</f>
        <v>1</v>
      </c>
      <c r="AB8" s="1563">
        <f t="shared" ref="AB8:AB46" si="4">D8/H8</f>
        <v>1</v>
      </c>
      <c r="AC8" s="1563">
        <f t="shared" ref="AC8:AC46" si="5">D8/J8</f>
        <v>1</v>
      </c>
    </row>
    <row r="9" spans="1:29" s="1213" customFormat="1" ht="15">
      <c r="A9" s="2930"/>
      <c r="B9" s="2937" t="s">
        <v>2760</v>
      </c>
      <c r="C9" s="3503" t="s">
        <v>3330</v>
      </c>
      <c r="D9" s="252">
        <v>100</v>
      </c>
      <c r="E9" s="3504" t="s">
        <v>3330</v>
      </c>
      <c r="F9" s="252">
        <f>SUMIF(63:63,E9,64:64)-SUMIF(63:63,C9,64:64)+100</f>
        <v>100</v>
      </c>
      <c r="G9" s="3505" t="s">
        <v>3330</v>
      </c>
      <c r="H9" s="252">
        <f>SUMIF(63:63,G9,64:64)-SUMIF(63:63,C9,64:64)+100</f>
        <v>100</v>
      </c>
      <c r="I9" s="3505" t="s">
        <v>3330</v>
      </c>
      <c r="J9" s="252">
        <f>SUMIF(63:63,I9,64:64)-SUMIF(63:63,C9,64:64)+100</f>
        <v>100</v>
      </c>
      <c r="K9" s="522"/>
      <c r="L9" s="2127"/>
      <c r="M9" s="2128"/>
      <c r="N9" s="2128"/>
      <c r="O9" s="2129"/>
      <c r="P9" s="3758" t="s">
        <v>536</v>
      </c>
      <c r="Q9" s="1144" t="str">
        <f t="shared" ref="Q9:Q15" si="6">B9</f>
        <v>用途</v>
      </c>
      <c r="R9" s="1560" t="s">
        <v>8</v>
      </c>
      <c r="S9" s="1561">
        <f t="shared" si="0"/>
        <v>100</v>
      </c>
      <c r="T9" s="1560" t="s">
        <v>8</v>
      </c>
      <c r="U9" s="1561">
        <f t="shared" si="1"/>
        <v>100</v>
      </c>
      <c r="V9" s="1560" t="s">
        <v>8</v>
      </c>
      <c r="W9" s="1561">
        <f t="shared" si="2"/>
        <v>100</v>
      </c>
      <c r="X9" s="1562"/>
      <c r="Y9" s="3715"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858" t="s">
        <v>3331</v>
      </c>
      <c r="F10" s="253">
        <f>SUMIF(65:65,E10,66:66)-SUMIF(65:65,C10,66:66)+100</f>
        <v>100</v>
      </c>
      <c r="G10" s="859" t="s">
        <v>3331</v>
      </c>
      <c r="H10" s="253">
        <f>SUMIF(65:65,G10,66:66)-SUMIF(65:65,C10,66:66)+100</f>
        <v>100</v>
      </c>
      <c r="I10" s="858" t="s">
        <v>3331</v>
      </c>
      <c r="J10" s="253">
        <f>SUMIF(65:65,I10,66:66)-SUMIF(65:65,C10,66:66)+100</f>
        <v>100</v>
      </c>
      <c r="K10" s="581">
        <v>2</v>
      </c>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2"/>
      <c r="M11" s="2126"/>
      <c r="N11" s="2126"/>
      <c r="O11" s="2133"/>
      <c r="P11" s="3758"/>
      <c r="Q11" s="1144" t="str">
        <f t="shared" si="6"/>
        <v>容积率</v>
      </c>
      <c r="R11" s="1560" t="s">
        <v>8</v>
      </c>
      <c r="S11" s="1561">
        <f t="shared" si="0"/>
        <v>100</v>
      </c>
      <c r="T11" s="1560" t="s">
        <v>8</v>
      </c>
      <c r="U11" s="1561">
        <f t="shared" si="1"/>
        <v>100</v>
      </c>
      <c r="V11" s="1560" t="s">
        <v>8</v>
      </c>
      <c r="W11" s="1561">
        <f t="shared" si="2"/>
        <v>100</v>
      </c>
      <c r="X11" s="1562"/>
      <c r="Y11" s="3715"/>
      <c r="Z11" s="1143" t="str">
        <f t="shared" si="7"/>
        <v>容积率</v>
      </c>
      <c r="AA11" s="1563">
        <f t="shared" si="3"/>
        <v>1</v>
      </c>
      <c r="AB11" s="1563">
        <f t="shared" si="4"/>
        <v>1</v>
      </c>
      <c r="AC11" s="1563">
        <f t="shared" si="5"/>
        <v>1</v>
      </c>
    </row>
    <row r="12" spans="1:29" s="1213" customFormat="1" ht="15">
      <c r="A12" s="2933"/>
      <c r="B12" s="2939">
        <v>111</v>
      </c>
      <c r="C12" s="526"/>
      <c r="D12" s="536">
        <v>100</v>
      </c>
      <c r="E12" s="537"/>
      <c r="F12" s="253">
        <f>SUMIF(70:70,E12,71:71)-SUMIF(70:70,C12,71:71)+100</f>
        <v>100</v>
      </c>
      <c r="G12" s="905"/>
      <c r="H12" s="253">
        <f>SUMIF(70:70,G12,71:71)-SUMIF(70:70,C12,71:71)+100</f>
        <v>100</v>
      </c>
      <c r="I12" s="537"/>
      <c r="J12" s="253">
        <f>SUMIF(70:70,I12,71:71)-SUMIF(70:70,C12,71:71)+100</f>
        <v>100</v>
      </c>
      <c r="K12" s="578"/>
      <c r="L12" s="2127"/>
      <c r="M12" s="2128"/>
      <c r="N12" s="2128"/>
      <c r="O12" s="2129"/>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
      <c r="A13" s="2933"/>
      <c r="B13" s="2939">
        <v>111</v>
      </c>
      <c r="C13" s="537"/>
      <c r="D13" s="538">
        <v>100</v>
      </c>
      <c r="E13" s="537"/>
      <c r="F13" s="253">
        <f>SUMIF(72:72,E13,73:73)-SUMIF(72:72,C13,73:73)+100</f>
        <v>100</v>
      </c>
      <c r="G13" s="905"/>
      <c r="H13" s="538">
        <f>SUMIF(72:72,G13,73:73)-SUMIF(72:72,C13,73:73)+100</f>
        <v>100</v>
      </c>
      <c r="I13" s="537"/>
      <c r="J13" s="538">
        <f>SUMIF(72:72,I13,73:73)-SUMIF(72:72,C13,73:73)+100</f>
        <v>100</v>
      </c>
      <c r="K13" s="578"/>
      <c r="L13" s="2134"/>
      <c r="M13" s="2126"/>
      <c r="N13" s="2126"/>
      <c r="O13" s="2133"/>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5.75" thickBot="1">
      <c r="A14" s="2934"/>
      <c r="B14" s="2940">
        <v>111</v>
      </c>
      <c r="C14" s="543"/>
      <c r="D14" s="544">
        <v>100</v>
      </c>
      <c r="E14" s="543"/>
      <c r="F14" s="544">
        <f>SUMIF(74:74,E14,75:75)-SUMIF(74:74,C14,75:75)+100</f>
        <v>100</v>
      </c>
      <c r="G14" s="905"/>
      <c r="H14" s="544">
        <f>SUMIF(74:74,G14,75:75)-SUMIF(74:74,C14,75:75)+100</f>
        <v>100</v>
      </c>
      <c r="I14" s="537"/>
      <c r="J14" s="544">
        <f>SUMIF(74:74,I14,75:75)-SUMIF(74:74,C14,75:75)+100</f>
        <v>100</v>
      </c>
      <c r="K14" s="578"/>
      <c r="L14" s="2134"/>
      <c r="M14" s="2126"/>
      <c r="N14" s="2126"/>
      <c r="O14" s="2133"/>
      <c r="P14" s="3758"/>
      <c r="Q14" s="1144">
        <f t="shared" si="6"/>
        <v>111</v>
      </c>
      <c r="R14" s="1560" t="s">
        <v>8</v>
      </c>
      <c r="S14" s="1561">
        <f t="shared" si="0"/>
        <v>100</v>
      </c>
      <c r="T14" s="1560" t="s">
        <v>8</v>
      </c>
      <c r="U14" s="1561">
        <f t="shared" si="1"/>
        <v>100</v>
      </c>
      <c r="V14" s="1560" t="s">
        <v>8</v>
      </c>
      <c r="W14" s="1561">
        <f t="shared" si="2"/>
        <v>100</v>
      </c>
      <c r="X14" s="1562"/>
      <c r="Y14" s="3715"/>
      <c r="Z14" s="1143">
        <f t="shared" si="7"/>
        <v>111</v>
      </c>
      <c r="AA14" s="1563">
        <f t="shared" si="3"/>
        <v>1</v>
      </c>
      <c r="AB14" s="1563">
        <f t="shared" si="4"/>
        <v>1</v>
      </c>
      <c r="AC14" s="1563">
        <f t="shared" si="5"/>
        <v>1</v>
      </c>
    </row>
    <row r="15" spans="1:29" ht="99.75">
      <c r="A15" s="2926" t="s">
        <v>2758</v>
      </c>
      <c r="B15" s="166" t="s">
        <v>542</v>
      </c>
      <c r="C15" s="864" t="str">
        <f>估价对象房地状况!C4</f>
        <v>估价对象位于太湖商圈，周边商业氛围成熟（海岸城1八方汇等），人流量较大大，商业繁华度较好</v>
      </c>
      <c r="D15" s="547">
        <v>100</v>
      </c>
      <c r="E15" s="3522" t="s">
        <v>3419</v>
      </c>
      <c r="F15" s="549">
        <f>SUMIF(76:76,E16,77:77)-SUMIF(76:76,C16,77:77)+100</f>
        <v>100</v>
      </c>
      <c r="G15" s="3523" t="s">
        <v>3420</v>
      </c>
      <c r="H15" s="547">
        <f>SUMIF(76:76,G16,77:77)-SUMIF(76:76,C16,77:77)+100</f>
        <v>98</v>
      </c>
      <c r="I15" s="3522" t="s">
        <v>3419</v>
      </c>
      <c r="J15" s="547">
        <f>SUMIF(76:76,I16,77:77)-SUMIF(76:76,C16,77:77)+100</f>
        <v>100</v>
      </c>
      <c r="K15" s="891">
        <v>2</v>
      </c>
      <c r="L15" s="2134"/>
      <c r="M15" s="2126"/>
      <c r="N15" s="2126"/>
      <c r="O15" s="2133"/>
      <c r="P15" s="3760" t="s">
        <v>541</v>
      </c>
      <c r="Q15" s="1564" t="str">
        <f t="shared" si="6"/>
        <v>商业繁华度</v>
      </c>
      <c r="R15" s="1565" t="s">
        <v>8</v>
      </c>
      <c r="S15" s="1566">
        <f t="shared" si="0"/>
        <v>100</v>
      </c>
      <c r="T15" s="1565" t="s">
        <v>8</v>
      </c>
      <c r="U15" s="1566">
        <f t="shared" si="1"/>
        <v>98</v>
      </c>
      <c r="V15" s="1565" t="s">
        <v>8</v>
      </c>
      <c r="W15" s="1566">
        <f t="shared" si="2"/>
        <v>100</v>
      </c>
      <c r="X15" s="1559"/>
      <c r="Y15" s="3760" t="s">
        <v>541</v>
      </c>
      <c r="Z15" s="1567" t="str">
        <f t="shared" si="7"/>
        <v>商业繁华度</v>
      </c>
      <c r="AA15" s="1568">
        <f t="shared" si="3"/>
        <v>1</v>
      </c>
      <c r="AB15" s="1568">
        <f t="shared" si="4"/>
        <v>1.0204081632653061</v>
      </c>
      <c r="AC15" s="1568">
        <f t="shared" si="5"/>
        <v>1</v>
      </c>
    </row>
    <row r="16" spans="1:29" ht="15">
      <c r="A16" s="530"/>
      <c r="B16" s="866"/>
      <c r="C16" s="3499" t="s">
        <v>3305</v>
      </c>
      <c r="D16" s="553"/>
      <c r="E16" s="3499" t="s">
        <v>3305</v>
      </c>
      <c r="F16" s="555"/>
      <c r="G16" s="3499" t="s">
        <v>3287</v>
      </c>
      <c r="H16" s="557"/>
      <c r="I16" s="573" t="s">
        <v>3288</v>
      </c>
      <c r="J16" s="553"/>
      <c r="K16" s="892"/>
      <c r="L16" s="2134"/>
      <c r="M16" s="2126"/>
      <c r="N16" s="2126"/>
      <c r="O16" s="2133"/>
      <c r="P16" s="3761"/>
      <c r="Q16" s="1564"/>
      <c r="R16" s="1565"/>
      <c r="S16" s="1566"/>
      <c r="T16" s="1565"/>
      <c r="U16" s="1566"/>
      <c r="V16" s="1565"/>
      <c r="W16" s="1566"/>
      <c r="X16" s="1559"/>
      <c r="Y16" s="3761"/>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3421</v>
      </c>
      <c r="F17" s="561">
        <f>SUMIF(78:78,E18,79:79)-SUMIF(78:78,C18,79:79)+100</f>
        <v>100</v>
      </c>
      <c r="G17" s="562" t="s">
        <v>3422</v>
      </c>
      <c r="H17" s="563">
        <f>SUMIF(78:78,G18,79:79)-SUMIF(78:78,C18,79:79)+100</f>
        <v>100</v>
      </c>
      <c r="I17" s="560" t="s">
        <v>3421</v>
      </c>
      <c r="J17" s="563">
        <f>SUMIF(78:78,I18,79:79)-SUMIF(78:78,C18,79:79)+100</f>
        <v>100</v>
      </c>
      <c r="K17" s="891"/>
      <c r="L17" s="2134"/>
      <c r="M17" s="2126"/>
      <c r="N17" s="2126"/>
      <c r="O17" s="2133"/>
      <c r="P17" s="3761"/>
      <c r="Q17" s="1564" t="str">
        <f>B17</f>
        <v>交通便捷度</v>
      </c>
      <c r="R17" s="1565" t="s">
        <v>8</v>
      </c>
      <c r="S17" s="1566">
        <f>F17</f>
        <v>100</v>
      </c>
      <c r="T17" s="1565" t="s">
        <v>8</v>
      </c>
      <c r="U17" s="1566">
        <f>H17</f>
        <v>100</v>
      </c>
      <c r="V17" s="1565" t="s">
        <v>8</v>
      </c>
      <c r="W17" s="1566">
        <f>J17</f>
        <v>100</v>
      </c>
      <c r="X17" s="1559"/>
      <c r="Y17" s="3761"/>
      <c r="Z17" s="1567" t="str">
        <f>Q17</f>
        <v>交通便捷度</v>
      </c>
      <c r="AA17" s="1568">
        <f t="shared" si="3"/>
        <v>1</v>
      </c>
      <c r="AB17" s="1568">
        <f t="shared" si="4"/>
        <v>1</v>
      </c>
      <c r="AC17" s="1568">
        <f t="shared" si="5"/>
        <v>1</v>
      </c>
    </row>
    <row r="18" spans="1:29" ht="15">
      <c r="A18" s="530"/>
      <c r="B18" s="592"/>
      <c r="C18" s="3506" t="s">
        <v>3305</v>
      </c>
      <c r="D18" s="557"/>
      <c r="E18" s="3507" t="s">
        <v>3305</v>
      </c>
      <c r="F18" s="561"/>
      <c r="G18" s="3508" t="s">
        <v>3305</v>
      </c>
      <c r="H18" s="553"/>
      <c r="I18" s="3507" t="s">
        <v>3305</v>
      </c>
      <c r="J18" s="553"/>
      <c r="K18" s="892"/>
      <c r="L18" s="2134"/>
      <c r="M18" s="2126"/>
      <c r="N18" s="2126"/>
      <c r="O18" s="2133"/>
      <c r="P18" s="3761"/>
      <c r="Q18" s="1564"/>
      <c r="R18" s="1565"/>
      <c r="S18" s="1566"/>
      <c r="T18" s="1565"/>
      <c r="U18" s="1566"/>
      <c r="V18" s="1565"/>
      <c r="W18" s="1566"/>
      <c r="X18" s="1559"/>
      <c r="Y18" s="3761"/>
      <c r="Z18" s="1567"/>
      <c r="AA18" s="1568">
        <v>1</v>
      </c>
      <c r="AB18" s="1568">
        <v>1</v>
      </c>
      <c r="AC18" s="1568">
        <v>1</v>
      </c>
    </row>
    <row r="19" spans="1:29" ht="99.75">
      <c r="A19" s="530"/>
      <c r="B19" s="2616" t="s">
        <v>2550</v>
      </c>
      <c r="C19" s="869" t="str">
        <f>估价对象房地状况!C7</f>
        <v>估价对象所在区域内有农业银行、无锡市第二中医医院、无锡金桥双语实验学校，公共配套设施水平较好</v>
      </c>
      <c r="D19" s="563">
        <v>100</v>
      </c>
      <c r="E19" s="3524" t="s">
        <v>3423</v>
      </c>
      <c r="F19" s="568">
        <f>SUMIF(80:80,E20,81:81)-SUMIF(80:80,C20,81:81)+100</f>
        <v>100</v>
      </c>
      <c r="G19" s="3525" t="s">
        <v>3424</v>
      </c>
      <c r="H19" s="557">
        <f>SUMIF(80:80,G20,81:81)-SUMIF(80:80,C20,81:81)+100</f>
        <v>100</v>
      </c>
      <c r="I19" s="3524" t="s">
        <v>3423</v>
      </c>
      <c r="J19" s="557">
        <f>SUMIF(80:80,I20,81:81)-SUMIF(80:80,C20,81:81)+100</f>
        <v>100</v>
      </c>
      <c r="K19" s="891"/>
      <c r="L19" s="2134"/>
      <c r="M19" s="2126"/>
      <c r="N19" s="2126"/>
      <c r="O19" s="2133"/>
      <c r="P19" s="3761"/>
      <c r="Q19" s="1564" t="str">
        <f>B19</f>
        <v>公共配套设施</v>
      </c>
      <c r="R19" s="1565" t="s">
        <v>8</v>
      </c>
      <c r="S19" s="1566">
        <f>F19</f>
        <v>100</v>
      </c>
      <c r="T19" s="1565" t="s">
        <v>8</v>
      </c>
      <c r="U19" s="1566">
        <f>H19</f>
        <v>100</v>
      </c>
      <c r="V19" s="1565" t="s">
        <v>8</v>
      </c>
      <c r="W19" s="1566">
        <f>J19</f>
        <v>100</v>
      </c>
      <c r="X19" s="1559"/>
      <c r="Y19" s="3761"/>
      <c r="Z19" s="1567" t="str">
        <f>Q19</f>
        <v>公共配套设施</v>
      </c>
      <c r="AA19" s="1568">
        <f t="shared" si="3"/>
        <v>1</v>
      </c>
      <c r="AB19" s="1568">
        <f t="shared" si="4"/>
        <v>1</v>
      </c>
      <c r="AC19" s="1568">
        <f t="shared" si="5"/>
        <v>1</v>
      </c>
    </row>
    <row r="20" spans="1:29" ht="15">
      <c r="A20" s="530"/>
      <c r="B20" s="592"/>
      <c r="C20" s="3499" t="s">
        <v>3305</v>
      </c>
      <c r="D20" s="553"/>
      <c r="E20" s="3494" t="s">
        <v>3305</v>
      </c>
      <c r="F20" s="555"/>
      <c r="G20" s="3493" t="s">
        <v>3305</v>
      </c>
      <c r="H20" s="553"/>
      <c r="I20" s="3494" t="s">
        <v>3305</v>
      </c>
      <c r="J20" s="553"/>
      <c r="K20" s="892"/>
      <c r="L20" s="2134"/>
      <c r="M20" s="2126"/>
      <c r="N20" s="2126"/>
      <c r="O20" s="2133"/>
      <c r="P20" s="3761"/>
      <c r="Q20" s="1564"/>
      <c r="R20" s="1565"/>
      <c r="S20" s="1566"/>
      <c r="T20" s="1565"/>
      <c r="U20" s="1566"/>
      <c r="V20" s="1565"/>
      <c r="W20" s="1566"/>
      <c r="X20" s="1559"/>
      <c r="Y20" s="3761"/>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4"/>
      <c r="M21" s="2126"/>
      <c r="N21" s="2126"/>
      <c r="O21" s="2133"/>
      <c r="P21" s="3761"/>
      <c r="Q21" s="2595" t="str">
        <f>B21</f>
        <v>基础设施水平</v>
      </c>
      <c r="R21" s="1565" t="s">
        <v>8</v>
      </c>
      <c r="S21" s="1566">
        <f>F21</f>
        <v>100</v>
      </c>
      <c r="T21" s="1565" t="s">
        <v>8</v>
      </c>
      <c r="U21" s="1566">
        <f>H21</f>
        <v>100</v>
      </c>
      <c r="V21" s="1565" t="s">
        <v>8</v>
      </c>
      <c r="W21" s="1566">
        <f>J21</f>
        <v>100</v>
      </c>
      <c r="X21" s="2597"/>
      <c r="Y21" s="3761"/>
      <c r="Z21" s="2596" t="str">
        <f>Q21</f>
        <v>基础设施水平</v>
      </c>
      <c r="AA21" s="1568">
        <f t="shared" ref="AA21" si="8">D21/F21</f>
        <v>1</v>
      </c>
      <c r="AB21" s="1568">
        <f t="shared" ref="AB21" si="9">D21/H21</f>
        <v>1</v>
      </c>
      <c r="AC21" s="1568">
        <f t="shared" ref="AC21" si="10">D21/J21</f>
        <v>1</v>
      </c>
    </row>
    <row r="22" spans="1:29" ht="15">
      <c r="A22" s="530"/>
      <c r="B22" s="915"/>
      <c r="C22" s="3506" t="s">
        <v>3310</v>
      </c>
      <c r="D22" s="553"/>
      <c r="E22" s="3499" t="s">
        <v>3310</v>
      </c>
      <c r="F22" s="555"/>
      <c r="G22" s="3499" t="s">
        <v>3310</v>
      </c>
      <c r="H22" s="553"/>
      <c r="I22" s="3499" t="s">
        <v>3310</v>
      </c>
      <c r="J22" s="553"/>
      <c r="K22" s="2618"/>
      <c r="L22" s="2134"/>
      <c r="M22" s="2126"/>
      <c r="N22" s="2126"/>
      <c r="O22" s="2133"/>
      <c r="P22" s="3761"/>
      <c r="Q22" s="2595"/>
      <c r="R22" s="1565"/>
      <c r="S22" s="1566"/>
      <c r="T22" s="1565"/>
      <c r="U22" s="1566"/>
      <c r="V22" s="1565"/>
      <c r="W22" s="1566"/>
      <c r="X22" s="2597"/>
      <c r="Y22" s="3761"/>
      <c r="Z22" s="2596"/>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6" t="s">
        <v>3448</v>
      </c>
      <c r="F23" s="561">
        <f>SUMIF(84:84,E24,85:85)-SUMIF(84:84,C24,85:85)+100</f>
        <v>100</v>
      </c>
      <c r="G23" s="3527" t="s">
        <v>3450</v>
      </c>
      <c r="H23" s="557">
        <f>SUMIF(84:84,G24,85:85)-SUMIF(84:84,C24,85:85)+100</f>
        <v>100</v>
      </c>
      <c r="I23" s="3526" t="s">
        <v>3448</v>
      </c>
      <c r="J23" s="557">
        <f>SUMIF(84:84,I24,85:85)-SUMIF(84:84,C24,85:85)+100</f>
        <v>100</v>
      </c>
      <c r="K23" s="891"/>
      <c r="L23" s="2134"/>
      <c r="M23" s="2126"/>
      <c r="N23" s="2126"/>
      <c r="O23" s="2133"/>
      <c r="P23" s="3761"/>
      <c r="Q23" s="1564" t="str">
        <f>B23</f>
        <v>自然及人文环境</v>
      </c>
      <c r="R23" s="1565" t="s">
        <v>8</v>
      </c>
      <c r="S23" s="1566">
        <f>F23</f>
        <v>100</v>
      </c>
      <c r="T23" s="1565" t="s">
        <v>8</v>
      </c>
      <c r="U23" s="1566">
        <f>H23</f>
        <v>100</v>
      </c>
      <c r="V23" s="1565" t="s">
        <v>8</v>
      </c>
      <c r="W23" s="1566">
        <f>J23</f>
        <v>100</v>
      </c>
      <c r="X23" s="1559"/>
      <c r="Y23" s="3761"/>
      <c r="Z23" s="1567" t="str">
        <f>Q23</f>
        <v>自然及人文环境</v>
      </c>
      <c r="AA23" s="1568">
        <f t="shared" si="3"/>
        <v>1</v>
      </c>
      <c r="AB23" s="1568">
        <f t="shared" si="4"/>
        <v>1</v>
      </c>
      <c r="AC23" s="1568">
        <f t="shared" si="5"/>
        <v>1</v>
      </c>
    </row>
    <row r="24" spans="1:29" ht="15">
      <c r="A24" s="530"/>
      <c r="B24" s="592"/>
      <c r="C24" s="3499" t="s">
        <v>3311</v>
      </c>
      <c r="D24" s="553"/>
      <c r="E24" s="3494" t="s">
        <v>3311</v>
      </c>
      <c r="F24" s="555"/>
      <c r="G24" s="3493" t="s">
        <v>3311</v>
      </c>
      <c r="H24" s="553"/>
      <c r="I24" s="3494" t="s">
        <v>3447</v>
      </c>
      <c r="J24" s="553"/>
      <c r="K24" s="892"/>
      <c r="L24" s="2134"/>
      <c r="M24" s="2126"/>
      <c r="N24" s="2126"/>
      <c r="O24" s="2133"/>
      <c r="P24" s="3761"/>
      <c r="Q24" s="1564"/>
      <c r="R24" s="1565"/>
      <c r="S24" s="1566"/>
      <c r="T24" s="1565"/>
      <c r="U24" s="1566"/>
      <c r="V24" s="1565"/>
      <c r="W24" s="1566"/>
      <c r="X24" s="1559"/>
      <c r="Y24" s="3761"/>
      <c r="Z24" s="1567"/>
      <c r="AA24" s="1568">
        <v>1</v>
      </c>
      <c r="AB24" s="1568">
        <v>1</v>
      </c>
      <c r="AC24" s="1568">
        <v>1</v>
      </c>
    </row>
    <row r="25" spans="1:29" ht="15">
      <c r="A25" s="530"/>
      <c r="B25" s="525" t="s">
        <v>548</v>
      </c>
      <c r="C25" s="3509" t="s">
        <v>3332</v>
      </c>
      <c r="D25" s="538">
        <v>100</v>
      </c>
      <c r="E25" s="3509" t="s">
        <v>3332</v>
      </c>
      <c r="F25" s="572">
        <f>SUMIF(86:86,E25,87:87)-SUMIF(86:86,C25,87:87)+100</f>
        <v>100</v>
      </c>
      <c r="G25" s="3509" t="s">
        <v>3332</v>
      </c>
      <c r="H25" s="538">
        <f>SUMIF(86:86,G25,87:87)-SUMIF(86:86,C25,87:87)+100</f>
        <v>100</v>
      </c>
      <c r="I25" s="3509" t="s">
        <v>3332</v>
      </c>
      <c r="J25" s="538">
        <f>SUMIF(86:86,I25,87:87)-SUMIF(86:86,C25,87:87)+100</f>
        <v>100</v>
      </c>
      <c r="K25" s="581"/>
      <c r="L25" s="2134"/>
      <c r="M25" s="2126"/>
      <c r="N25" s="2126"/>
      <c r="O25" s="2133"/>
      <c r="P25" s="3761"/>
      <c r="Q25" s="1564" t="str">
        <f t="shared" ref="Q25:Q46" si="11">B25</f>
        <v>临街状况</v>
      </c>
      <c r="R25" s="1565" t="s">
        <v>8</v>
      </c>
      <c r="S25" s="1566">
        <f>F25</f>
        <v>100</v>
      </c>
      <c r="T25" s="1565" t="s">
        <v>8</v>
      </c>
      <c r="U25" s="1566">
        <f>H25</f>
        <v>100</v>
      </c>
      <c r="V25" s="1565" t="s">
        <v>8</v>
      </c>
      <c r="W25" s="1566">
        <f>J25</f>
        <v>100</v>
      </c>
      <c r="X25" s="1559"/>
      <c r="Y25" s="3761"/>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4"/>
      <c r="M26" s="2126"/>
      <c r="N26" s="2126"/>
      <c r="O26" s="2133"/>
      <c r="P26" s="3761"/>
      <c r="Q26" s="1564" t="str">
        <f t="shared" si="11"/>
        <v>平面位置/可视性</v>
      </c>
      <c r="R26" s="1565" t="s">
        <v>8</v>
      </c>
      <c r="S26" s="1566">
        <f>F26</f>
        <v>100</v>
      </c>
      <c r="T26" s="1565" t="s">
        <v>8</v>
      </c>
      <c r="U26" s="1566">
        <f>H26</f>
        <v>100</v>
      </c>
      <c r="V26" s="1565" t="s">
        <v>8</v>
      </c>
      <c r="W26" s="1566">
        <f>J26</f>
        <v>100</v>
      </c>
      <c r="X26" s="1559"/>
      <c r="Y26" s="3761"/>
      <c r="Z26" s="1567" t="str">
        <f>Q26</f>
        <v>平面位置/可视性</v>
      </c>
      <c r="AA26" s="1568">
        <f t="shared" si="3"/>
        <v>1</v>
      </c>
      <c r="AB26" s="1568">
        <f t="shared" si="4"/>
        <v>1</v>
      </c>
      <c r="AC26" s="1568">
        <f t="shared" si="5"/>
        <v>1</v>
      </c>
    </row>
    <row r="27" spans="1:29" s="1213" customFormat="1" ht="15">
      <c r="A27" s="534"/>
      <c r="B27" s="868" t="s">
        <v>760</v>
      </c>
      <c r="C27" s="3540" t="s">
        <v>3449</v>
      </c>
      <c r="D27" s="872">
        <v>100</v>
      </c>
      <c r="E27" s="3540" t="s">
        <v>3449</v>
      </c>
      <c r="F27" s="873">
        <f>SUMIF(90:90,E27,91:91)-SUMIF(90:90,C27,91:91)+100</f>
        <v>100</v>
      </c>
      <c r="G27" s="3540" t="s">
        <v>3449</v>
      </c>
      <c r="H27" s="872">
        <f>SUMIF(90:90,G27,91:91)-SUMIF(90:90,C27,91:91)+100</f>
        <v>100</v>
      </c>
      <c r="I27" s="3540" t="s">
        <v>3449</v>
      </c>
      <c r="J27" s="872">
        <f>SUMIF(90:90,I27,91:91)-SUMIF(90:90,C27,91:91)+100</f>
        <v>100</v>
      </c>
      <c r="K27" s="581"/>
      <c r="L27" s="2127"/>
      <c r="M27" s="2128"/>
      <c r="N27" s="2128"/>
      <c r="O27" s="2129"/>
      <c r="P27" s="3761"/>
      <c r="Q27" s="1144" t="str">
        <f t="shared" si="11"/>
        <v>人流量</v>
      </c>
      <c r="R27" s="1560" t="s">
        <v>8</v>
      </c>
      <c r="S27" s="1561">
        <f>F27</f>
        <v>100</v>
      </c>
      <c r="T27" s="1560" t="s">
        <v>8</v>
      </c>
      <c r="U27" s="1561">
        <f>H27</f>
        <v>100</v>
      </c>
      <c r="V27" s="1560" t="s">
        <v>8</v>
      </c>
      <c r="W27" s="1561">
        <f>J27</f>
        <v>100</v>
      </c>
      <c r="X27" s="1562"/>
      <c r="Y27" s="3761"/>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4"/>
      <c r="M28" s="2126"/>
      <c r="N28" s="2126"/>
      <c r="O28" s="2133"/>
      <c r="P28" s="3761"/>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61"/>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4"/>
      <c r="M29" s="2126"/>
      <c r="N29" s="2126"/>
      <c r="O29" s="2133"/>
      <c r="P29" s="3761"/>
      <c r="Q29" s="1564">
        <f t="shared" si="11"/>
        <v>111</v>
      </c>
      <c r="R29" s="1565" t="s">
        <v>8</v>
      </c>
      <c r="S29" s="1566">
        <f t="shared" si="12"/>
        <v>100</v>
      </c>
      <c r="T29" s="1565" t="s">
        <v>8</v>
      </c>
      <c r="U29" s="1566">
        <f t="shared" si="13"/>
        <v>100</v>
      </c>
      <c r="V29" s="1565" t="s">
        <v>8</v>
      </c>
      <c r="W29" s="1566">
        <f t="shared" si="14"/>
        <v>100</v>
      </c>
      <c r="X29" s="1559"/>
      <c r="Y29" s="3761"/>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4"/>
      <c r="M30" s="2126"/>
      <c r="N30" s="2126"/>
      <c r="O30" s="2133"/>
      <c r="P30" s="3761"/>
      <c r="Q30" s="1564">
        <f t="shared" si="11"/>
        <v>111</v>
      </c>
      <c r="R30" s="1565" t="s">
        <v>8</v>
      </c>
      <c r="S30" s="1566">
        <f t="shared" si="12"/>
        <v>100</v>
      </c>
      <c r="T30" s="1565" t="s">
        <v>8</v>
      </c>
      <c r="U30" s="1566">
        <f t="shared" si="13"/>
        <v>100</v>
      </c>
      <c r="V30" s="1565" t="s">
        <v>8</v>
      </c>
      <c r="W30" s="1566">
        <f t="shared" si="14"/>
        <v>100</v>
      </c>
      <c r="X30" s="1559"/>
      <c r="Y30" s="3761"/>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4"/>
      <c r="M31" s="2126"/>
      <c r="N31" s="2126"/>
      <c r="O31" s="2133"/>
      <c r="P31" s="3761"/>
      <c r="Q31" s="1564">
        <f t="shared" si="11"/>
        <v>111</v>
      </c>
      <c r="R31" s="1565" t="s">
        <v>8</v>
      </c>
      <c r="S31" s="1566">
        <f t="shared" si="12"/>
        <v>100</v>
      </c>
      <c r="T31" s="1565" t="s">
        <v>8</v>
      </c>
      <c r="U31" s="1566">
        <f t="shared" si="13"/>
        <v>100</v>
      </c>
      <c r="V31" s="1565" t="s">
        <v>8</v>
      </c>
      <c r="W31" s="1566">
        <f t="shared" si="14"/>
        <v>100</v>
      </c>
      <c r="X31" s="1559"/>
      <c r="Y31" s="3761"/>
      <c r="Z31" s="1567">
        <f t="shared" si="15"/>
        <v>111</v>
      </c>
      <c r="AA31" s="1568">
        <f t="shared" si="3"/>
        <v>1</v>
      </c>
      <c r="AB31" s="1568">
        <f t="shared" si="4"/>
        <v>1</v>
      </c>
      <c r="AC31" s="1568">
        <f t="shared" si="5"/>
        <v>1</v>
      </c>
    </row>
    <row r="32" spans="1:29" ht="15">
      <c r="A32" s="2924" t="s">
        <v>2759</v>
      </c>
      <c r="B32" s="172" t="s">
        <v>763</v>
      </c>
      <c r="C32" s="3546" t="s">
        <v>3333</v>
      </c>
      <c r="D32" s="594">
        <v>100</v>
      </c>
      <c r="E32" s="3510" t="s">
        <v>3334</v>
      </c>
      <c r="F32" s="572">
        <f>SUMIF(100:100,E32,101:101)-SUMIF(100:100,C32,101:101)+100</f>
        <v>98</v>
      </c>
      <c r="G32" s="3510" t="s">
        <v>3342</v>
      </c>
      <c r="H32" s="538">
        <f>SUMIF(100:100,G32,101:101)-SUMIF(100:100,C32,101:101)+100</f>
        <v>96</v>
      </c>
      <c r="I32" s="3510" t="s">
        <v>3333</v>
      </c>
      <c r="J32" s="594">
        <f>SUMIF(100:100,I32,101:101)-SUMIF(100:100,C32,101:101)+100</f>
        <v>100</v>
      </c>
      <c r="K32" s="581">
        <v>2</v>
      </c>
      <c r="L32" s="2134"/>
      <c r="M32" s="2126"/>
      <c r="N32" s="2126"/>
      <c r="O32" s="2133"/>
      <c r="P32" s="3762" t="s">
        <v>551</v>
      </c>
      <c r="Q32" s="1564" t="str">
        <f t="shared" si="11"/>
        <v>商业类型</v>
      </c>
      <c r="R32" s="1565" t="s">
        <v>8</v>
      </c>
      <c r="S32" s="1566">
        <f t="shared" si="12"/>
        <v>98</v>
      </c>
      <c r="T32" s="1565" t="s">
        <v>8</v>
      </c>
      <c r="U32" s="1566">
        <f t="shared" si="13"/>
        <v>96</v>
      </c>
      <c r="V32" s="1565" t="s">
        <v>8</v>
      </c>
      <c r="W32" s="1566">
        <f t="shared" si="14"/>
        <v>100</v>
      </c>
      <c r="X32" s="1559"/>
      <c r="Y32" s="3763" t="s">
        <v>551</v>
      </c>
      <c r="Z32" s="1567" t="str">
        <f t="shared" si="15"/>
        <v>商业类型</v>
      </c>
      <c r="AA32" s="1568">
        <f t="shared" si="3"/>
        <v>1.0204081632653061</v>
      </c>
      <c r="AB32" s="1568">
        <f t="shared" si="4"/>
        <v>1.0416666666666667</v>
      </c>
      <c r="AC32" s="1568">
        <f t="shared" si="5"/>
        <v>1</v>
      </c>
    </row>
    <row r="33" spans="1:29" s="1332" customFormat="1" ht="15">
      <c r="A33" s="600"/>
      <c r="B33" s="356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2"/>
      <c r="M33" s="2163"/>
      <c r="N33" s="2163"/>
      <c r="O33" s="2135"/>
      <c r="P33" s="3763"/>
      <c r="Q33" s="1597" t="str">
        <f t="shared" si="11"/>
        <v>项目建筑规模</v>
      </c>
      <c r="R33" s="1569" t="s">
        <v>8</v>
      </c>
      <c r="S33" s="1570">
        <f t="shared" si="12"/>
        <v>100</v>
      </c>
      <c r="T33" s="1569" t="s">
        <v>8</v>
      </c>
      <c r="U33" s="1570">
        <f t="shared" si="13"/>
        <v>100</v>
      </c>
      <c r="V33" s="1569" t="s">
        <v>8</v>
      </c>
      <c r="W33" s="1570">
        <f t="shared" si="14"/>
        <v>100</v>
      </c>
      <c r="X33" s="1571"/>
      <c r="Y33" s="3763"/>
      <c r="Z33" s="1572" t="str">
        <f t="shared" si="15"/>
        <v>项目建筑规模</v>
      </c>
      <c r="AA33" s="1568">
        <f t="shared" si="3"/>
        <v>1</v>
      </c>
      <c r="AB33" s="1568">
        <f t="shared" si="4"/>
        <v>1</v>
      </c>
      <c r="AC33" s="1568">
        <f t="shared" si="5"/>
        <v>1</v>
      </c>
    </row>
    <row r="34" spans="1:29" ht="15">
      <c r="A34" s="591"/>
      <c r="B34" s="525" t="s">
        <v>728</v>
      </c>
      <c r="C34" s="3511" t="s">
        <v>3336</v>
      </c>
      <c r="D34" s="538">
        <v>100</v>
      </c>
      <c r="E34" s="3512" t="s">
        <v>3337</v>
      </c>
      <c r="F34" s="572">
        <f>SUMIF(105:105,E34,106:106)-SUMIF(105:105,C34,106:106)+100</f>
        <v>100</v>
      </c>
      <c r="G34" s="3511" t="s">
        <v>3337</v>
      </c>
      <c r="H34" s="538">
        <f>SUMIF(105:105,G34,106:106)-SUMIF(105:105,C34,106:106)+100</f>
        <v>100</v>
      </c>
      <c r="I34" s="3511" t="s">
        <v>3337</v>
      </c>
      <c r="J34" s="538">
        <f>SUMIF(105:105,I34,106:106)-SUMIF(105:105,C34,106:106)+100</f>
        <v>100</v>
      </c>
      <c r="K34" s="581"/>
      <c r="L34" s="2134"/>
      <c r="M34" s="2126"/>
      <c r="N34" s="2126"/>
      <c r="O34" s="2133"/>
      <c r="P34" s="3763"/>
      <c r="Q34" s="1564" t="str">
        <f t="shared" si="11"/>
        <v>建筑结构</v>
      </c>
      <c r="R34" s="1565" t="s">
        <v>8</v>
      </c>
      <c r="S34" s="1566">
        <f t="shared" si="12"/>
        <v>100</v>
      </c>
      <c r="T34" s="1565" t="s">
        <v>8</v>
      </c>
      <c r="U34" s="1566">
        <f t="shared" si="13"/>
        <v>100</v>
      </c>
      <c r="V34" s="1565" t="s">
        <v>8</v>
      </c>
      <c r="W34" s="1566">
        <f t="shared" si="14"/>
        <v>100</v>
      </c>
      <c r="X34" s="1559"/>
      <c r="Y34" s="3763"/>
      <c r="Z34" s="1567" t="str">
        <f t="shared" si="15"/>
        <v>建筑结构</v>
      </c>
      <c r="AA34" s="1568">
        <f t="shared" si="3"/>
        <v>1</v>
      </c>
      <c r="AB34" s="1568">
        <f t="shared" si="4"/>
        <v>1</v>
      </c>
      <c r="AC34" s="1568">
        <f t="shared" si="5"/>
        <v>1</v>
      </c>
    </row>
    <row r="35" spans="1:29" ht="15">
      <c r="A35" s="591"/>
      <c r="B35" s="525" t="s">
        <v>764</v>
      </c>
      <c r="C35" s="3495" t="s">
        <v>3305</v>
      </c>
      <c r="D35" s="538">
        <v>100</v>
      </c>
      <c r="E35" s="3495" t="s">
        <v>3305</v>
      </c>
      <c r="F35" s="572">
        <f>SUMIF(107:107,E35,108:108)-SUMIF(107:107,C35,108:108)+100</f>
        <v>100</v>
      </c>
      <c r="G35" s="3495" t="s">
        <v>3305</v>
      </c>
      <c r="H35" s="538">
        <f>SUMIF(107:107,G35,108:108)-SUMIF(107:107,C35,108:108)+100</f>
        <v>100</v>
      </c>
      <c r="I35" s="3495" t="s">
        <v>3305</v>
      </c>
      <c r="J35" s="538">
        <f>SUMIF(107:107,I35,108:108)-SUMIF(107:107,C35,108:108)+100</f>
        <v>100</v>
      </c>
      <c r="K35" s="581"/>
      <c r="L35" s="2134"/>
      <c r="M35" s="2126"/>
      <c r="N35" s="2126"/>
      <c r="O35" s="2133"/>
      <c r="P35" s="3763"/>
      <c r="Q35" s="1564" t="str">
        <f t="shared" si="11"/>
        <v>公共部分装修</v>
      </c>
      <c r="R35" s="1565" t="s">
        <v>8</v>
      </c>
      <c r="S35" s="1566">
        <f t="shared" si="12"/>
        <v>100</v>
      </c>
      <c r="T35" s="1565" t="s">
        <v>8</v>
      </c>
      <c r="U35" s="1566">
        <f t="shared" si="13"/>
        <v>100</v>
      </c>
      <c r="V35" s="1565" t="s">
        <v>8</v>
      </c>
      <c r="W35" s="1566">
        <f t="shared" si="14"/>
        <v>100</v>
      </c>
      <c r="X35" s="1559"/>
      <c r="Y35" s="3763"/>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4"/>
      <c r="M36" s="2126"/>
      <c r="N36" s="2126"/>
      <c r="O36" s="2133"/>
      <c r="P36" s="3763"/>
      <c r="Q36" s="1564" t="str">
        <f t="shared" si="11"/>
        <v>成新度</v>
      </c>
      <c r="R36" s="1565" t="s">
        <v>8</v>
      </c>
      <c r="S36" s="1566">
        <f t="shared" si="12"/>
        <v>100</v>
      </c>
      <c r="T36" s="1565" t="s">
        <v>8</v>
      </c>
      <c r="U36" s="1566">
        <f t="shared" si="13"/>
        <v>100</v>
      </c>
      <c r="V36" s="1565" t="s">
        <v>8</v>
      </c>
      <c r="W36" s="1566">
        <f t="shared" si="14"/>
        <v>100</v>
      </c>
      <c r="X36" s="1559"/>
      <c r="Y36" s="3763"/>
      <c r="Z36" s="1567" t="str">
        <f t="shared" si="15"/>
        <v>成新度</v>
      </c>
      <c r="AA36" s="1568">
        <f t="shared" si="3"/>
        <v>1</v>
      </c>
      <c r="AB36" s="1568">
        <f t="shared" si="4"/>
        <v>1</v>
      </c>
      <c r="AC36" s="1568">
        <f t="shared" si="5"/>
        <v>1</v>
      </c>
    </row>
    <row r="37" spans="1:29" s="1213" customFormat="1" ht="15">
      <c r="A37" s="597"/>
      <c r="B37" s="1887" t="s">
        <v>2569</v>
      </c>
      <c r="C37" s="3495" t="s">
        <v>3310</v>
      </c>
      <c r="D37" s="253">
        <v>100</v>
      </c>
      <c r="E37" s="3495" t="s">
        <v>3310</v>
      </c>
      <c r="F37" s="572">
        <f>SUMIF(112:112,E37,113:113)-SUMIF(112:112,C37,113:113)+100</f>
        <v>100</v>
      </c>
      <c r="G37" s="3495" t="s">
        <v>3310</v>
      </c>
      <c r="H37" s="538">
        <f>SUMIF(112:112,G37,113:113)-SUMIF(112:112,C37,113:113)+100</f>
        <v>100</v>
      </c>
      <c r="I37" s="3495" t="s">
        <v>3404</v>
      </c>
      <c r="J37" s="538">
        <f>SUMIF(112:112,I37,113:113)-SUMIF(112:112,C37,113:113)+100</f>
        <v>100</v>
      </c>
      <c r="K37" s="581"/>
      <c r="L37" s="2127"/>
      <c r="M37" s="2128"/>
      <c r="N37" s="2128"/>
      <c r="O37" s="2129"/>
      <c r="P37" s="3763"/>
      <c r="Q37" s="1144" t="str">
        <f t="shared" si="11"/>
        <v>市政基础设施</v>
      </c>
      <c r="R37" s="1560" t="s">
        <v>8</v>
      </c>
      <c r="S37" s="1561">
        <f t="shared" si="12"/>
        <v>100</v>
      </c>
      <c r="T37" s="1560" t="s">
        <v>8</v>
      </c>
      <c r="U37" s="1561">
        <f t="shared" si="13"/>
        <v>100</v>
      </c>
      <c r="V37" s="1560" t="s">
        <v>8</v>
      </c>
      <c r="W37" s="1561">
        <f t="shared" si="14"/>
        <v>100</v>
      </c>
      <c r="X37" s="1562"/>
      <c r="Y37" s="3763"/>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4"/>
      <c r="M38" s="2126"/>
      <c r="N38" s="2126"/>
      <c r="O38" s="2133"/>
      <c r="P38" s="3763" t="s">
        <v>767</v>
      </c>
      <c r="Q38" s="1564" t="str">
        <f t="shared" si="11"/>
        <v>业态</v>
      </c>
      <c r="R38" s="1565" t="s">
        <v>8</v>
      </c>
      <c r="S38" s="1566">
        <f t="shared" si="12"/>
        <v>100</v>
      </c>
      <c r="T38" s="1565" t="s">
        <v>8</v>
      </c>
      <c r="U38" s="1566">
        <f t="shared" si="13"/>
        <v>100</v>
      </c>
      <c r="V38" s="1565" t="s">
        <v>8</v>
      </c>
      <c r="W38" s="1566">
        <f t="shared" si="14"/>
        <v>100</v>
      </c>
      <c r="X38" s="1559"/>
      <c r="Y38" s="3763"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63"/>
      <c r="Q39" s="1564" t="str">
        <f t="shared" si="11"/>
        <v>层高</v>
      </c>
      <c r="R39" s="1565" t="s">
        <v>8</v>
      </c>
      <c r="S39" s="1566">
        <f t="shared" si="12"/>
        <v>100</v>
      </c>
      <c r="T39" s="1565" t="s">
        <v>8</v>
      </c>
      <c r="U39" s="1566">
        <f t="shared" si="13"/>
        <v>100</v>
      </c>
      <c r="V39" s="1565" t="s">
        <v>8</v>
      </c>
      <c r="W39" s="1566">
        <f t="shared" si="14"/>
        <v>100</v>
      </c>
      <c r="X39" s="1559"/>
      <c r="Y39" s="3763"/>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4"/>
      <c r="M40" s="2126"/>
      <c r="N40" s="2126"/>
      <c r="O40" s="2133"/>
      <c r="P40" s="3763"/>
      <c r="Q40" s="1564" t="str">
        <f t="shared" si="11"/>
        <v>单套建筑面积</v>
      </c>
      <c r="R40" s="1565" t="s">
        <v>8</v>
      </c>
      <c r="S40" s="1566">
        <f t="shared" si="12"/>
        <v>100</v>
      </c>
      <c r="T40" s="1565" t="s">
        <v>8</v>
      </c>
      <c r="U40" s="1566">
        <f t="shared" si="13"/>
        <v>100</v>
      </c>
      <c r="V40" s="1565" t="s">
        <v>8</v>
      </c>
      <c r="W40" s="1566">
        <f t="shared" si="14"/>
        <v>100</v>
      </c>
      <c r="X40" s="1559"/>
      <c r="Y40" s="3763"/>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2"/>
      <c r="M41" s="2163"/>
      <c r="N41" s="2163"/>
      <c r="O41" s="2135"/>
      <c r="P41" s="3763"/>
      <c r="Q41" s="1597" t="str">
        <f t="shared" si="11"/>
        <v>进深比</v>
      </c>
      <c r="R41" s="1569" t="s">
        <v>8</v>
      </c>
      <c r="S41" s="1570">
        <f t="shared" si="12"/>
        <v>100</v>
      </c>
      <c r="T41" s="1569" t="s">
        <v>8</v>
      </c>
      <c r="U41" s="1570">
        <f t="shared" si="13"/>
        <v>100</v>
      </c>
      <c r="V41" s="1569" t="s">
        <v>8</v>
      </c>
      <c r="W41" s="1570">
        <f t="shared" si="14"/>
        <v>100</v>
      </c>
      <c r="X41" s="1571"/>
      <c r="Y41" s="3763"/>
      <c r="Z41" s="1572" t="str">
        <f t="shared" si="15"/>
        <v>进深比</v>
      </c>
      <c r="AA41" s="1568">
        <f t="shared" si="3"/>
        <v>1</v>
      </c>
      <c r="AB41" s="1568">
        <f t="shared" si="4"/>
        <v>1</v>
      </c>
      <c r="AC41" s="1568">
        <f t="shared" si="5"/>
        <v>1</v>
      </c>
    </row>
    <row r="42" spans="1:29" ht="15">
      <c r="A42" s="591"/>
      <c r="B42" s="525" t="s">
        <v>771</v>
      </c>
      <c r="C42" s="3495" t="s">
        <v>3338</v>
      </c>
      <c r="D42" s="538">
        <v>100</v>
      </c>
      <c r="E42" s="3495" t="s">
        <v>3338</v>
      </c>
      <c r="F42" s="572">
        <f>SUMIF(122:122,E42,123:123)-SUMIF(122:122,C42,123:123)+100</f>
        <v>100</v>
      </c>
      <c r="G42" s="3495" t="s">
        <v>3338</v>
      </c>
      <c r="H42" s="538">
        <f>SUMIF(122:122,G42,123:123)-SUMIF(122:122,C42,123:123)+100</f>
        <v>100</v>
      </c>
      <c r="I42" s="3495" t="s">
        <v>3338</v>
      </c>
      <c r="J42" s="538">
        <f>SUMIF(122:122,I42,123:123)-SUMIF(122:122,C42,123:123)+100</f>
        <v>100</v>
      </c>
      <c r="K42" s="581"/>
      <c r="L42" s="2134"/>
      <c r="M42" s="2126"/>
      <c r="N42" s="2126"/>
      <c r="O42" s="2133"/>
      <c r="P42" s="3763"/>
      <c r="Q42" s="1564" t="str">
        <f t="shared" si="11"/>
        <v>内部装修</v>
      </c>
      <c r="R42" s="1565" t="s">
        <v>8</v>
      </c>
      <c r="S42" s="1566">
        <f t="shared" si="12"/>
        <v>100</v>
      </c>
      <c r="T42" s="1565" t="s">
        <v>8</v>
      </c>
      <c r="U42" s="1566">
        <f t="shared" si="13"/>
        <v>100</v>
      </c>
      <c r="V42" s="1565" t="s">
        <v>8</v>
      </c>
      <c r="W42" s="1566">
        <f t="shared" si="14"/>
        <v>100</v>
      </c>
      <c r="X42" s="1559"/>
      <c r="Y42" s="3763"/>
      <c r="Z42" s="1567" t="str">
        <f t="shared" si="15"/>
        <v>内部装修</v>
      </c>
      <c r="AA42" s="1568">
        <f t="shared" si="3"/>
        <v>1</v>
      </c>
      <c r="AB42" s="1568">
        <f t="shared" si="4"/>
        <v>1</v>
      </c>
      <c r="AC42" s="1568">
        <f t="shared" si="5"/>
        <v>1</v>
      </c>
    </row>
    <row r="43" spans="1:29" ht="27">
      <c r="A43" s="591"/>
      <c r="B43" s="525" t="s">
        <v>736</v>
      </c>
      <c r="C43" s="3495" t="s">
        <v>3305</v>
      </c>
      <c r="D43" s="538">
        <v>100</v>
      </c>
      <c r="E43" s="3495" t="s">
        <v>3305</v>
      </c>
      <c r="F43" s="572">
        <f>SUMIF(124:124,E43,125:125)-SUMIF(124:124,C43,125:125)+100</f>
        <v>100</v>
      </c>
      <c r="G43" s="3495" t="s">
        <v>3305</v>
      </c>
      <c r="H43" s="538">
        <f>SUMIF(124:124,G43,125:125)-SUMIF(124:124,C43,125:125)+100</f>
        <v>100</v>
      </c>
      <c r="I43" s="3495" t="s">
        <v>3305</v>
      </c>
      <c r="J43" s="538">
        <f>SUMIF(124:124,I43,125:125)-SUMIF(124:124,C43,125:125)+100</f>
        <v>100</v>
      </c>
      <c r="K43" s="581"/>
      <c r="L43" s="2134"/>
      <c r="M43" s="2126"/>
      <c r="N43" s="2126"/>
      <c r="O43" s="2133"/>
      <c r="P43" s="3763"/>
      <c r="Q43" s="1564" t="str">
        <f t="shared" si="11"/>
        <v>内部装修维护情况</v>
      </c>
      <c r="R43" s="1565" t="s">
        <v>8</v>
      </c>
      <c r="S43" s="1566">
        <f t="shared" si="12"/>
        <v>100</v>
      </c>
      <c r="T43" s="1565" t="s">
        <v>8</v>
      </c>
      <c r="U43" s="1566">
        <f t="shared" si="13"/>
        <v>100</v>
      </c>
      <c r="V43" s="1565" t="s">
        <v>8</v>
      </c>
      <c r="W43" s="1566">
        <f t="shared" si="14"/>
        <v>100</v>
      </c>
      <c r="X43" s="1559"/>
      <c r="Y43" s="3763"/>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7"/>
      <c r="M44" s="2128"/>
      <c r="N44" s="2128"/>
      <c r="O44" s="2129"/>
      <c r="P44" s="3763"/>
      <c r="Q44" s="1144">
        <f t="shared" si="11"/>
        <v>111</v>
      </c>
      <c r="R44" s="1560" t="s">
        <v>8</v>
      </c>
      <c r="S44" s="1561">
        <f t="shared" si="12"/>
        <v>100</v>
      </c>
      <c r="T44" s="1560" t="s">
        <v>8</v>
      </c>
      <c r="U44" s="1561">
        <f t="shared" si="13"/>
        <v>100</v>
      </c>
      <c r="V44" s="1560" t="s">
        <v>8</v>
      </c>
      <c r="W44" s="1561">
        <f t="shared" si="14"/>
        <v>100</v>
      </c>
      <c r="X44" s="1562"/>
      <c r="Y44" s="3763"/>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4"/>
      <c r="M45" s="2126"/>
      <c r="N45" s="2126"/>
      <c r="O45" s="2133"/>
      <c r="P45" s="3763"/>
      <c r="Q45" s="1564">
        <f t="shared" si="11"/>
        <v>111</v>
      </c>
      <c r="R45" s="1565" t="s">
        <v>8</v>
      </c>
      <c r="S45" s="1566">
        <f t="shared" si="12"/>
        <v>100</v>
      </c>
      <c r="T45" s="1565" t="s">
        <v>8</v>
      </c>
      <c r="U45" s="1566">
        <f t="shared" si="13"/>
        <v>100</v>
      </c>
      <c r="V45" s="1565" t="s">
        <v>8</v>
      </c>
      <c r="W45" s="1566">
        <f t="shared" si="14"/>
        <v>100</v>
      </c>
      <c r="X45" s="1559"/>
      <c r="Y45" s="3763"/>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4"/>
      <c r="M46" s="2126"/>
      <c r="N46" s="2126"/>
      <c r="O46" s="2133"/>
      <c r="P46" s="3860"/>
      <c r="Q46" s="1564">
        <f t="shared" si="11"/>
        <v>111</v>
      </c>
      <c r="R46" s="1565" t="s">
        <v>8</v>
      </c>
      <c r="S46" s="1566">
        <f t="shared" si="12"/>
        <v>100</v>
      </c>
      <c r="T46" s="1565" t="s">
        <v>8</v>
      </c>
      <c r="U46" s="1566">
        <f t="shared" si="13"/>
        <v>100</v>
      </c>
      <c r="V46" s="1565" t="s">
        <v>8</v>
      </c>
      <c r="W46" s="1566">
        <f t="shared" si="14"/>
        <v>100</v>
      </c>
      <c r="X46" s="1559"/>
      <c r="Y46" s="3860"/>
      <c r="Z46" s="1567">
        <f t="shared" si="15"/>
        <v>111</v>
      </c>
      <c r="AA46" s="1568">
        <f t="shared" si="3"/>
        <v>1</v>
      </c>
      <c r="AB46" s="1568">
        <f t="shared" si="4"/>
        <v>1</v>
      </c>
      <c r="AC46" s="1568">
        <f t="shared" si="5"/>
        <v>1</v>
      </c>
    </row>
    <row r="47" spans="1:29" ht="15">
      <c r="A47" s="604" t="s">
        <v>737</v>
      </c>
      <c r="B47" s="880"/>
      <c r="C47" s="2643" t="s">
        <v>1</v>
      </c>
      <c r="D47" s="2644"/>
      <c r="E47" s="2645">
        <v>30000</v>
      </c>
      <c r="F47" s="2646"/>
      <c r="G47" s="2647">
        <v>25000</v>
      </c>
      <c r="H47" s="2648"/>
      <c r="I47" s="2645">
        <v>30000</v>
      </c>
      <c r="J47" s="2648"/>
      <c r="K47" s="1603"/>
      <c r="L47" s="2136"/>
      <c r="M47" s="2137"/>
      <c r="N47" s="2126"/>
      <c r="O47" s="2137"/>
      <c r="P47" s="3758" t="str">
        <f>A47</f>
        <v>成交单价（元/平方米）</v>
      </c>
      <c r="Q47" s="3758"/>
      <c r="R47" s="3859">
        <f>E47</f>
        <v>30000</v>
      </c>
      <c r="S47" s="3859"/>
      <c r="T47" s="3859">
        <f>G47</f>
        <v>25000</v>
      </c>
      <c r="U47" s="3859"/>
      <c r="V47" s="3859">
        <f>I47</f>
        <v>30000</v>
      </c>
      <c r="W47" s="3859"/>
      <c r="X47" s="1551"/>
      <c r="Y47" s="1573"/>
      <c r="Z47" s="1551"/>
      <c r="AA47" s="1551"/>
      <c r="AB47" s="1551"/>
      <c r="AC47" s="1551"/>
    </row>
    <row r="48" spans="1:29" ht="15.75" thickBot="1">
      <c r="A48" s="612" t="s">
        <v>2764</v>
      </c>
      <c r="B48" s="881"/>
      <c r="C48" s="2649">
        <f>R49</f>
        <v>29062</v>
      </c>
      <c r="D48" s="2650"/>
      <c r="E48" s="2651">
        <f>R48</f>
        <v>30612</v>
      </c>
      <c r="F48" s="2651"/>
      <c r="G48" s="2649">
        <f>T48</f>
        <v>26573</v>
      </c>
      <c r="H48" s="2650"/>
      <c r="I48" s="2651">
        <f>V48</f>
        <v>30000</v>
      </c>
      <c r="J48" s="2650"/>
      <c r="K48" s="1604"/>
      <c r="L48" s="2136"/>
      <c r="M48" s="2137"/>
      <c r="N48" s="2126"/>
      <c r="O48" s="2137"/>
      <c r="P48" s="3758" t="str">
        <f>A48</f>
        <v>比较价格（元/平方米）</v>
      </c>
      <c r="Q48" s="3758"/>
      <c r="R48" s="3859">
        <f>IF(F1="售价",ROUND(PRODUCT(R47,AA7:AA46),0),ROUND(PRODUCT(R47,AA7:AA46),1))</f>
        <v>30612</v>
      </c>
      <c r="S48" s="3859"/>
      <c r="T48" s="3859">
        <f>IF(F1="售价",ROUND(PRODUCT(T47,AB7:AB46),0),ROUND(PRODUCT(T47,AB7:AB46),1))</f>
        <v>26573</v>
      </c>
      <c r="U48" s="3859"/>
      <c r="V48" s="3859">
        <f>IF(F1="售价",ROUND(PRODUCT(V47,AC7:AC46),0),ROUND(PRODUCT(V47,AC7:AC46),1))</f>
        <v>30000</v>
      </c>
      <c r="W48" s="3859"/>
      <c r="X48" s="1551"/>
      <c r="Y48" s="1551"/>
      <c r="Z48" s="1551"/>
      <c r="AA48" s="1551"/>
      <c r="AB48" s="1551"/>
      <c r="AC48" s="1551"/>
    </row>
    <row r="49" spans="1:29" ht="15.75" thickBot="1">
      <c r="A49" s="618" t="s">
        <v>2935</v>
      </c>
      <c r="B49" s="619"/>
      <c r="C49" s="2652">
        <f>R49</f>
        <v>29062</v>
      </c>
      <c r="D49" s="2652"/>
      <c r="E49" s="2652"/>
      <c r="F49" s="2652"/>
      <c r="G49" s="2652"/>
      <c r="H49" s="2652"/>
      <c r="I49" s="2652"/>
      <c r="J49" s="2652"/>
      <c r="K49" s="1605"/>
      <c r="L49" s="2136"/>
      <c r="M49" s="2137"/>
      <c r="N49" s="2126"/>
      <c r="O49" s="2137"/>
      <c r="P49" s="3779" t="str">
        <f>A49</f>
        <v>估价对象XX用房的比较价格（楼面单价，元/平方米）</v>
      </c>
      <c r="Q49" s="3780"/>
      <c r="R49" s="3858">
        <f>IF(F1="售价",ROUND(AVERAGE(R48:V48),0),ROUND(AVERAGE(R48:V48),1))</f>
        <v>29062</v>
      </c>
      <c r="S49" s="3858"/>
      <c r="T49" s="3858"/>
      <c r="U49" s="3858"/>
      <c r="V49" s="3858"/>
      <c r="W49" s="3858"/>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f>IF(E47&lt;E48,E48/E47-1,E47/E48-1)</f>
        <v>2.0399999999999974E-2</v>
      </c>
      <c r="F52" s="624" t="str">
        <f>IF(OR(E52&gt;=0.3,E52&lt;=-0.3),"超过30%","")</f>
        <v/>
      </c>
      <c r="G52" s="623">
        <f>IF(G47&lt;G48,G48/G47-1,G47/G48-1)</f>
        <v>6.2920000000000087E-2</v>
      </c>
      <c r="H52" s="624" t="str">
        <f>IF(OR(G52&gt;=0.3,G52&lt;=-0.3),"超过30%","")</f>
        <v/>
      </c>
      <c r="I52" s="623">
        <f>IF(I47&lt;I48,I48/I47-1,I47/I48-1)</f>
        <v>0</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f>IF(E48&lt;G48,G48/E48-1,E48/G48-1)</f>
        <v>0.15199638731042797</v>
      </c>
      <c r="F53" s="624" t="str">
        <f>IF(OR(E53&gt;=0.2,E53&lt;=-0.2),"超过20%","")</f>
        <v/>
      </c>
      <c r="G53" s="623">
        <f>IF(G48&lt;I48,I48/G48-1,G48/I48-1)</f>
        <v>0.12896549128814971</v>
      </c>
      <c r="H53" s="624" t="str">
        <f>IF(OR(G53&gt;=0.2,G53&lt;=-0.2),"超过20%","")</f>
        <v/>
      </c>
      <c r="I53" s="623">
        <f>IF(I48&lt;E48,E48/I48-1,I48/E48-1)</f>
        <v>2.0399999999999974E-2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19" t="str">
        <f>YEAR(C7)&amp;"-"&amp;MONTH(C7)</f>
        <v>2018-6</v>
      </c>
      <c r="D58" s="2821">
        <f>EDATE(C58,-1)</f>
        <v>43221</v>
      </c>
      <c r="E58" s="2821">
        <f t="shared" ref="E58:O58" si="16">EDATE(D58,-1)</f>
        <v>43191</v>
      </c>
      <c r="F58" s="2821">
        <f t="shared" si="16"/>
        <v>43160</v>
      </c>
      <c r="G58" s="2821">
        <f t="shared" si="16"/>
        <v>43132</v>
      </c>
      <c r="H58" s="2821">
        <f t="shared" si="16"/>
        <v>43101</v>
      </c>
      <c r="I58" s="2821">
        <f t="shared" si="16"/>
        <v>43070</v>
      </c>
      <c r="J58" s="2821">
        <f t="shared" si="16"/>
        <v>43040</v>
      </c>
      <c r="K58" s="2821">
        <f t="shared" si="16"/>
        <v>43009</v>
      </c>
      <c r="L58" s="2821">
        <f t="shared" si="16"/>
        <v>42979</v>
      </c>
      <c r="M58" s="2821">
        <f t="shared" si="16"/>
        <v>42948</v>
      </c>
      <c r="N58" s="2821">
        <f t="shared" si="16"/>
        <v>42917</v>
      </c>
      <c r="O58" s="2821">
        <f t="shared" si="16"/>
        <v>42887</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8"/>
      <c r="N59" s="647"/>
      <c r="O59" s="649"/>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198"/>
    </row>
    <row r="63" spans="1:29">
      <c r="A63" s="661" t="s">
        <v>578</v>
      </c>
      <c r="B63" s="662" t="s">
        <v>535</v>
      </c>
      <c r="C63" s="701" t="str">
        <f>C9</f>
        <v>商业</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1</v>
      </c>
      <c r="E68" s="539">
        <v>2</v>
      </c>
      <c r="F68" s="539">
        <v>3</v>
      </c>
      <c r="G68" s="539">
        <v>4</v>
      </c>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670" t="s">
        <v>772</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tr">
        <f>B26</f>
        <v>平面位置/可视性</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人流量</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c r="D92" s="685"/>
      <c r="E92" s="685"/>
      <c r="F92" s="685"/>
      <c r="G92" s="685"/>
      <c r="H92" s="685"/>
      <c r="I92" s="685"/>
      <c r="J92" s="685"/>
      <c r="K92" s="685"/>
      <c r="L92" s="883"/>
      <c r="M92" s="88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773</v>
      </c>
      <c r="C100" s="3513" t="s">
        <v>3333</v>
      </c>
      <c r="D100" s="3513" t="s">
        <v>3335</v>
      </c>
      <c r="E100" s="3513" t="s">
        <v>3343</v>
      </c>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6"/>
      <c r="B102" s="670" t="s">
        <v>749</v>
      </c>
      <c r="C102" s="705" t="str">
        <f>C103&amp;"(含)"&amp;"-"&amp;D103</f>
        <v>0(含)-200</v>
      </c>
      <c r="D102" s="705" t="str">
        <f t="shared" ref="D102:L102" si="22">D103&amp;"(含)"&amp;"-"&amp;E103</f>
        <v>200(含)-500</v>
      </c>
      <c r="E102" s="705" t="str">
        <f t="shared" si="22"/>
        <v>500(含)-1000</v>
      </c>
      <c r="F102" s="705" t="str">
        <f t="shared" si="22"/>
        <v>1000(含)-5000</v>
      </c>
      <c r="G102" s="705" t="str">
        <f t="shared" si="22"/>
        <v>5000(含)-10000</v>
      </c>
      <c r="H102" s="705" t="str">
        <f t="shared" si="22"/>
        <v>10000(含)-20000</v>
      </c>
      <c r="I102" s="705" t="str">
        <f t="shared" si="22"/>
        <v>20000(含)-30000</v>
      </c>
      <c r="J102" s="705" t="str">
        <f t="shared" si="22"/>
        <v>30000(含)-40000</v>
      </c>
      <c r="K102" s="705" t="str">
        <f t="shared" si="22"/>
        <v>40000(含)-50000</v>
      </c>
      <c r="L102" s="705" t="str">
        <f t="shared" si="22"/>
        <v>50000(含)-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947">
        <v>0</v>
      </c>
      <c r="D103" s="948">
        <v>200</v>
      </c>
      <c r="E103" s="948">
        <v>500</v>
      </c>
      <c r="F103" s="948">
        <v>1000</v>
      </c>
      <c r="G103" s="948">
        <v>5000</v>
      </c>
      <c r="H103" s="948">
        <v>10000</v>
      </c>
      <c r="I103" s="948">
        <v>20000</v>
      </c>
      <c r="J103" s="949">
        <v>30000</v>
      </c>
      <c r="K103" s="949">
        <v>40000</v>
      </c>
      <c r="L103" s="950">
        <v>50000</v>
      </c>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2237">
        <v>100</v>
      </c>
      <c r="D104" s="2238">
        <v>98</v>
      </c>
      <c r="E104" s="2238">
        <v>96</v>
      </c>
      <c r="F104" s="2238">
        <v>94</v>
      </c>
      <c r="G104" s="2238">
        <v>92</v>
      </c>
      <c r="H104" s="2238">
        <v>90</v>
      </c>
      <c r="I104" s="2238">
        <v>88</v>
      </c>
      <c r="J104" s="2238">
        <v>86</v>
      </c>
      <c r="K104" s="2238">
        <v>84</v>
      </c>
      <c r="L104" s="2238">
        <v>82</v>
      </c>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752</v>
      </c>
      <c r="C107" s="685"/>
      <c r="D107" s="685"/>
      <c r="E107" s="68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87">
        <v>0.5</v>
      </c>
      <c r="D110" s="887">
        <v>0.6</v>
      </c>
      <c r="E110" s="887">
        <v>0.7</v>
      </c>
      <c r="F110" s="887">
        <v>0.8</v>
      </c>
      <c r="G110" s="887">
        <v>0.9</v>
      </c>
      <c r="H110" s="887">
        <v>1.0001</v>
      </c>
      <c r="I110" s="898"/>
      <c r="J110" s="898"/>
      <c r="K110" s="899"/>
      <c r="L110" s="900"/>
      <c r="M110" s="901"/>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s="1332" customFormat="1" ht="15" thickTop="1">
      <c r="A112" s="725"/>
      <c r="B112" s="1888" t="s">
        <v>2560</v>
      </c>
      <c r="C112" s="685"/>
      <c r="D112" s="685"/>
      <c r="E112" s="685"/>
      <c r="F112" s="685"/>
      <c r="G112" s="685"/>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775</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776</v>
      </c>
      <c r="C118" s="902"/>
      <c r="D118" s="902"/>
      <c r="E118" s="902"/>
      <c r="F118" s="902"/>
      <c r="G118" s="902"/>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2" customFormat="1" ht="15" thickTop="1">
      <c r="A120" s="725"/>
      <c r="B120" s="670" t="s">
        <v>777</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B24" sqref="B24:B27"/>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68" t="s">
        <v>2305</v>
      </c>
      <c r="D1" s="3869"/>
      <c r="E1" s="3869"/>
      <c r="F1" s="3869"/>
      <c r="G1" s="3869"/>
      <c r="H1" s="3869"/>
      <c r="I1" s="3869"/>
      <c r="J1" s="3869"/>
      <c r="K1" s="3869"/>
      <c r="L1" s="3869"/>
      <c r="M1" s="3869"/>
      <c r="N1" s="3869"/>
      <c r="O1" s="3869"/>
      <c r="P1" s="3869"/>
      <c r="Q1" s="3869"/>
      <c r="R1" s="3869"/>
      <c r="S1" s="3870"/>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3566" t="s">
        <v>2307</v>
      </c>
      <c r="C2" s="943" t="str">
        <f t="shared" ref="C2:L2" si="0">C3&amp;"(含)"&amp;"-"&amp;D3</f>
        <v>0(含)-200</v>
      </c>
      <c r="D2" s="944" t="str">
        <f t="shared" si="0"/>
        <v>200(含)-500</v>
      </c>
      <c r="E2" s="944" t="str">
        <f t="shared" si="0"/>
        <v>500(含)-1000</v>
      </c>
      <c r="F2" s="944" t="str">
        <f t="shared" si="0"/>
        <v>1000(含)-5000</v>
      </c>
      <c r="G2" s="944" t="str">
        <f t="shared" si="0"/>
        <v>5000(含)-10000</v>
      </c>
      <c r="H2" s="944" t="str">
        <f t="shared" si="0"/>
        <v>10000(含)-20000</v>
      </c>
      <c r="I2" s="944" t="str">
        <f t="shared" si="0"/>
        <v>20000(含)-30000</v>
      </c>
      <c r="J2" s="944" t="str">
        <f t="shared" si="0"/>
        <v>30000(含)-40000</v>
      </c>
      <c r="K2" s="944" t="str">
        <f t="shared" si="0"/>
        <v>40000(含)-50000</v>
      </c>
      <c r="L2" s="944" t="str">
        <f t="shared" si="0"/>
        <v>50000(含)-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200</v>
      </c>
      <c r="E3" s="948">
        <v>500</v>
      </c>
      <c r="F3" s="948">
        <v>1000</v>
      </c>
      <c r="G3" s="948">
        <v>5000</v>
      </c>
      <c r="H3" s="948">
        <v>10000</v>
      </c>
      <c r="I3" s="948">
        <v>20000</v>
      </c>
      <c r="J3" s="949">
        <v>30000</v>
      </c>
      <c r="K3" s="949">
        <v>40000</v>
      </c>
      <c r="L3" s="950">
        <v>50000</v>
      </c>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v>90</v>
      </c>
      <c r="I4" s="2238">
        <v>88</v>
      </c>
      <c r="J4" s="2238">
        <v>86</v>
      </c>
      <c r="K4" s="2238">
        <v>84</v>
      </c>
      <c r="L4" s="2238">
        <v>82</v>
      </c>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ht="27">
      <c r="A5" s="2243"/>
      <c r="B5" s="3567" t="s">
        <v>3400</v>
      </c>
      <c r="C5" s="3513" t="s">
        <v>3498</v>
      </c>
      <c r="D5" s="3513" t="s">
        <v>3334</v>
      </c>
      <c r="E5" s="3513" t="s">
        <v>3342</v>
      </c>
      <c r="F5" s="2245"/>
      <c r="G5" s="2245"/>
      <c r="H5" s="2245"/>
      <c r="I5" s="2245"/>
      <c r="J5" s="2245"/>
      <c r="K5" s="2245"/>
      <c r="L5" s="2246"/>
      <c r="M5" s="2247"/>
      <c r="N5" s="2247"/>
      <c r="O5" s="2245"/>
      <c r="P5" s="2245"/>
      <c r="Q5" s="2245"/>
      <c r="R5" s="2245"/>
      <c r="S5" s="2248"/>
      <c r="T5" s="2249">
        <v>2</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98</v>
      </c>
      <c r="E6" s="1961">
        <f t="shared" ref="E6:S6" si="7">D6-$T5</f>
        <v>96</v>
      </c>
      <c r="F6" s="1961">
        <f t="shared" si="7"/>
        <v>94</v>
      </c>
      <c r="G6" s="1961">
        <f t="shared" si="7"/>
        <v>92</v>
      </c>
      <c r="H6" s="1961">
        <f t="shared" si="7"/>
        <v>90</v>
      </c>
      <c r="I6" s="1961">
        <f t="shared" si="7"/>
        <v>88</v>
      </c>
      <c r="J6" s="1961">
        <f t="shared" si="7"/>
        <v>86</v>
      </c>
      <c r="K6" s="1961">
        <f t="shared" si="7"/>
        <v>84</v>
      </c>
      <c r="L6" s="1961">
        <f t="shared" si="7"/>
        <v>82</v>
      </c>
      <c r="M6" s="1961">
        <f t="shared" si="7"/>
        <v>80</v>
      </c>
      <c r="N6" s="1961">
        <f t="shared" si="7"/>
        <v>78</v>
      </c>
      <c r="O6" s="1961">
        <f t="shared" si="7"/>
        <v>76</v>
      </c>
      <c r="P6" s="1961">
        <f t="shared" si="7"/>
        <v>74</v>
      </c>
      <c r="Q6" s="1961">
        <f t="shared" si="7"/>
        <v>72</v>
      </c>
      <c r="R6" s="1961">
        <f t="shared" si="7"/>
        <v>70</v>
      </c>
      <c r="S6" s="1961">
        <f t="shared" si="7"/>
        <v>68</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156686</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17578</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89138</v>
      </c>
      <c r="C22" s="3865" t="s">
        <v>20</v>
      </c>
      <c r="D22" s="3866"/>
      <c r="E22" s="3866"/>
      <c r="F22" s="3866"/>
      <c r="G22" s="3866"/>
      <c r="H22" s="3866"/>
      <c r="I22" s="3866"/>
      <c r="J22" s="3866"/>
      <c r="K22" s="3866"/>
      <c r="L22" s="3866"/>
      <c r="M22" s="3866"/>
      <c r="N22" s="3866"/>
      <c r="O22" s="3866"/>
      <c r="P22" s="3866"/>
      <c r="Q22" s="3867"/>
      <c r="R22" s="488">
        <f>ROUND(S22*10000/B22,0)</f>
        <v>17578</v>
      </c>
      <c r="S22" s="53">
        <f>SUM(S24:S10000)</f>
        <v>156686</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3394</v>
      </c>
      <c r="B24" s="954">
        <f>'数据-基础表'!M13/4</f>
        <v>18138</v>
      </c>
      <c r="C24" s="955">
        <v>1</v>
      </c>
      <c r="D24" s="3539" t="s">
        <v>3497</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54" si="11">ROUND(R24*B24/10000,0)</f>
        <v>52713</v>
      </c>
      <c r="T24" s="1965"/>
      <c r="U24" s="1965"/>
      <c r="V24" s="1965"/>
      <c r="W24" s="1965"/>
      <c r="X24" s="1965"/>
      <c r="Y24" s="1965"/>
      <c r="Z24" s="1965"/>
      <c r="AA24" s="1965"/>
      <c r="AB24" s="1965"/>
      <c r="AC24" s="1965"/>
      <c r="AD24" s="1965"/>
      <c r="AE24" s="1965"/>
      <c r="AF24" s="1965"/>
      <c r="AG24" s="1965"/>
      <c r="AH24" s="1965"/>
      <c r="AI24" s="1965"/>
    </row>
    <row r="25" spans="1:45">
      <c r="A25" s="958" t="s">
        <v>3395</v>
      </c>
      <c r="B25" s="137">
        <f>B24</f>
        <v>18138</v>
      </c>
      <c r="C25" s="53">
        <f>IF(B25="",1,(LOOKUP(B25,$3:$3,$4:$4)-LOOKUP($B$24,$3:$3,$4:$4)+100)/100)</f>
        <v>1</v>
      </c>
      <c r="D25" s="3539" t="s">
        <v>3497</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11"/>
        <v>31627</v>
      </c>
    </row>
    <row r="26" spans="1:45">
      <c r="A26" s="958" t="s">
        <v>3396</v>
      </c>
      <c r="B26" s="137">
        <f>B24</f>
        <v>18138</v>
      </c>
      <c r="C26" s="53">
        <f t="shared" ref="C26:C89" si="12">IF(B26="",1,(LOOKUP(B26,$3:$3,$4:$4)-LOOKUP($B$24,$3:$3,$4:$4)+100)/100)</f>
        <v>1</v>
      </c>
      <c r="D26" s="3539" t="s">
        <v>3497</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14531</v>
      </c>
      <c r="S26" s="796">
        <f t="shared" si="11"/>
        <v>26356</v>
      </c>
    </row>
    <row r="27" spans="1:45">
      <c r="A27" s="958" t="s">
        <v>3397</v>
      </c>
      <c r="B27" s="137">
        <f>B24</f>
        <v>18138</v>
      </c>
      <c r="C27" s="53">
        <f t="shared" si="12"/>
        <v>1</v>
      </c>
      <c r="D27" s="3539" t="s">
        <v>3497</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11625</v>
      </c>
      <c r="S27" s="796">
        <f t="shared" si="11"/>
        <v>21085</v>
      </c>
    </row>
    <row r="28" spans="1:45">
      <c r="A28" s="3534" t="s">
        <v>3482</v>
      </c>
      <c r="B28" s="137">
        <f>'数据-基础表'!I13</f>
        <v>807</v>
      </c>
      <c r="C28" s="53">
        <f t="shared" si="12"/>
        <v>1.06</v>
      </c>
      <c r="D28" s="3539" t="s">
        <v>3495</v>
      </c>
      <c r="E28" s="53">
        <f t="shared" si="13"/>
        <v>0.98</v>
      </c>
      <c r="F28" s="956"/>
      <c r="G28" s="53">
        <f t="shared" si="14"/>
        <v>1</v>
      </c>
      <c r="H28" s="956"/>
      <c r="I28" s="53">
        <f t="shared" si="15"/>
        <v>1</v>
      </c>
      <c r="J28" s="956"/>
      <c r="K28" s="53">
        <f t="shared" si="16"/>
        <v>1</v>
      </c>
      <c r="L28" s="956"/>
      <c r="M28" s="53">
        <f t="shared" si="17"/>
        <v>1</v>
      </c>
      <c r="N28" s="956"/>
      <c r="O28" s="53">
        <f t="shared" si="18"/>
        <v>1</v>
      </c>
      <c r="P28" s="956">
        <v>1</v>
      </c>
      <c r="Q28" s="53">
        <f t="shared" si="19"/>
        <v>1</v>
      </c>
      <c r="R28" s="488">
        <f t="shared" si="20"/>
        <v>30190</v>
      </c>
      <c r="S28" s="796">
        <f t="shared" si="11"/>
        <v>2436</v>
      </c>
    </row>
    <row r="29" spans="1:45">
      <c r="A29" s="3535" t="s">
        <v>3483</v>
      </c>
      <c r="B29" s="137">
        <f>'数据-基础表'!Q17</f>
        <v>15779</v>
      </c>
      <c r="C29" s="53">
        <f t="shared" si="12"/>
        <v>1</v>
      </c>
      <c r="D29" s="3539" t="s">
        <v>3495</v>
      </c>
      <c r="E29" s="53">
        <f t="shared" si="13"/>
        <v>0.98</v>
      </c>
      <c r="F29" s="956"/>
      <c r="G29" s="53">
        <f t="shared" si="14"/>
        <v>1</v>
      </c>
      <c r="H29" s="956"/>
      <c r="I29" s="53">
        <f t="shared" si="15"/>
        <v>1</v>
      </c>
      <c r="J29" s="956"/>
      <c r="K29" s="53">
        <f t="shared" si="16"/>
        <v>1</v>
      </c>
      <c r="L29" s="956"/>
      <c r="M29" s="53">
        <f t="shared" si="17"/>
        <v>1</v>
      </c>
      <c r="N29" s="956"/>
      <c r="O29" s="53">
        <f t="shared" si="18"/>
        <v>1</v>
      </c>
      <c r="P29" s="956">
        <v>-1</v>
      </c>
      <c r="Q29" s="53">
        <f t="shared" si="19"/>
        <v>0.5</v>
      </c>
      <c r="R29" s="488">
        <f t="shared" si="20"/>
        <v>14240</v>
      </c>
      <c r="S29" s="796">
        <f t="shared" si="11"/>
        <v>22469</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8" sqref="S28:S29"/>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68" t="s">
        <v>2305</v>
      </c>
      <c r="D1" s="3869"/>
      <c r="E1" s="3869"/>
      <c r="F1" s="3869"/>
      <c r="G1" s="3869"/>
      <c r="H1" s="3869"/>
      <c r="I1" s="3869"/>
      <c r="J1" s="3869"/>
      <c r="K1" s="3869"/>
      <c r="L1" s="3869"/>
      <c r="M1" s="3869"/>
      <c r="N1" s="3869"/>
      <c r="O1" s="3869"/>
      <c r="P1" s="3869"/>
      <c r="Q1" s="3869"/>
      <c r="R1" s="3869"/>
      <c r="S1" s="3870"/>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10000</v>
      </c>
      <c r="E3" s="948">
        <v>20000</v>
      </c>
      <c r="F3" s="948">
        <v>30000</v>
      </c>
      <c r="G3" s="948">
        <v>40000</v>
      </c>
      <c r="H3" s="948"/>
      <c r="I3" s="948"/>
      <c r="J3" s="949"/>
      <c r="K3" s="949"/>
      <c r="L3" s="950"/>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536" t="s">
        <v>3400</v>
      </c>
      <c r="C5" s="3537" t="s">
        <v>3401</v>
      </c>
      <c r="D5" s="3538" t="s">
        <v>3402</v>
      </c>
      <c r="E5" s="2245"/>
      <c r="F5" s="2245"/>
      <c r="G5" s="2245"/>
      <c r="H5" s="2245"/>
      <c r="I5" s="2245"/>
      <c r="J5" s="2245"/>
      <c r="K5" s="2245"/>
      <c r="L5" s="2246"/>
      <c r="M5" s="2247"/>
      <c r="N5" s="2247"/>
      <c r="O5" s="2245"/>
      <c r="P5" s="2245"/>
      <c r="Q5" s="2245"/>
      <c r="R5" s="2245"/>
      <c r="S5" s="2248"/>
      <c r="T5" s="2249">
        <v>40</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60</v>
      </c>
      <c r="E6" s="1961">
        <f t="shared" ref="E6:S6" si="1">D6-$T5</f>
        <v>20</v>
      </c>
      <c r="F6" s="1961">
        <f t="shared" si="1"/>
        <v>-20</v>
      </c>
      <c r="G6" s="1961">
        <f t="shared" si="1"/>
        <v>-60</v>
      </c>
      <c r="H6" s="1961">
        <f t="shared" si="1"/>
        <v>-100</v>
      </c>
      <c r="I6" s="1961">
        <f t="shared" si="1"/>
        <v>-140</v>
      </c>
      <c r="J6" s="1961">
        <f t="shared" si="1"/>
        <v>-180</v>
      </c>
      <c r="K6" s="1961">
        <f t="shared" si="1"/>
        <v>-220</v>
      </c>
      <c r="L6" s="1961">
        <f t="shared" si="1"/>
        <v>-260</v>
      </c>
      <c r="M6" s="1961">
        <f t="shared" si="1"/>
        <v>-300</v>
      </c>
      <c r="N6" s="1961">
        <f t="shared" si="1"/>
        <v>-340</v>
      </c>
      <c r="O6" s="1961">
        <f t="shared" si="1"/>
        <v>-380</v>
      </c>
      <c r="P6" s="1961">
        <f t="shared" si="1"/>
        <v>-420</v>
      </c>
      <c r="Q6" s="1961">
        <f t="shared" si="1"/>
        <v>-460</v>
      </c>
      <c r="R6" s="1961">
        <f t="shared" si="1"/>
        <v>-500</v>
      </c>
      <c r="S6" s="1961">
        <f t="shared" si="1"/>
        <v>-540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2">D8-$T7</f>
        <v>100</v>
      </c>
      <c r="F8" s="1961">
        <f t="shared" si="2"/>
        <v>100</v>
      </c>
      <c r="G8" s="1961">
        <f t="shared" si="2"/>
        <v>100</v>
      </c>
      <c r="H8" s="1961">
        <f t="shared" si="2"/>
        <v>100</v>
      </c>
      <c r="I8" s="1961">
        <f t="shared" si="2"/>
        <v>100</v>
      </c>
      <c r="J8" s="1961">
        <f t="shared" si="2"/>
        <v>100</v>
      </c>
      <c r="K8" s="1961">
        <f t="shared" si="2"/>
        <v>100</v>
      </c>
      <c r="L8" s="1961">
        <f t="shared" si="2"/>
        <v>100</v>
      </c>
      <c r="M8" s="1961">
        <f t="shared" si="2"/>
        <v>100</v>
      </c>
      <c r="N8" s="1961">
        <f t="shared" si="2"/>
        <v>100</v>
      </c>
      <c r="O8" s="1961">
        <f t="shared" si="2"/>
        <v>100</v>
      </c>
      <c r="P8" s="1961">
        <f t="shared" si="2"/>
        <v>100</v>
      </c>
      <c r="Q8" s="1961">
        <f t="shared" si="2"/>
        <v>100</v>
      </c>
      <c r="R8" s="1961">
        <f t="shared" si="2"/>
        <v>100</v>
      </c>
      <c r="S8" s="1961">
        <f t="shared" si="2"/>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3">D10-$T9</f>
        <v>100</v>
      </c>
      <c r="F10" s="2259">
        <f t="shared" si="3"/>
        <v>100</v>
      </c>
      <c r="G10" s="2259">
        <f t="shared" si="3"/>
        <v>100</v>
      </c>
      <c r="H10" s="2259">
        <f t="shared" si="3"/>
        <v>100</v>
      </c>
      <c r="I10" s="2259">
        <f t="shared" si="3"/>
        <v>100</v>
      </c>
      <c r="J10" s="2259">
        <f t="shared" si="3"/>
        <v>100</v>
      </c>
      <c r="K10" s="2259">
        <f t="shared" si="3"/>
        <v>100</v>
      </c>
      <c r="L10" s="2259">
        <f t="shared" si="3"/>
        <v>100</v>
      </c>
      <c r="M10" s="2259">
        <f t="shared" si="3"/>
        <v>100</v>
      </c>
      <c r="N10" s="2259">
        <f t="shared" si="3"/>
        <v>100</v>
      </c>
      <c r="O10" s="2259">
        <f t="shared" si="3"/>
        <v>100</v>
      </c>
      <c r="P10" s="2259">
        <f t="shared" si="3"/>
        <v>100</v>
      </c>
      <c r="Q10" s="2259">
        <f t="shared" si="3"/>
        <v>100</v>
      </c>
      <c r="R10" s="2259">
        <f t="shared" si="3"/>
        <v>100</v>
      </c>
      <c r="S10" s="2259">
        <f t="shared" si="3"/>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4">D12-$T11</f>
        <v>100</v>
      </c>
      <c r="F12" s="1961">
        <f t="shared" si="4"/>
        <v>100</v>
      </c>
      <c r="G12" s="1961">
        <f t="shared" si="4"/>
        <v>100</v>
      </c>
      <c r="H12" s="1961">
        <f t="shared" si="4"/>
        <v>100</v>
      </c>
      <c r="I12" s="1961">
        <f t="shared" si="4"/>
        <v>100</v>
      </c>
      <c r="J12" s="1961">
        <f t="shared" si="4"/>
        <v>100</v>
      </c>
      <c r="K12" s="1961">
        <f t="shared" si="4"/>
        <v>100</v>
      </c>
      <c r="L12" s="1961">
        <f t="shared" si="4"/>
        <v>100</v>
      </c>
      <c r="M12" s="1961">
        <f t="shared" si="4"/>
        <v>100</v>
      </c>
      <c r="N12" s="1961">
        <f t="shared" si="4"/>
        <v>100</v>
      </c>
      <c r="O12" s="1961">
        <f t="shared" si="4"/>
        <v>100</v>
      </c>
      <c r="P12" s="1961">
        <f t="shared" si="4"/>
        <v>100</v>
      </c>
      <c r="Q12" s="1961">
        <f t="shared" si="4"/>
        <v>100</v>
      </c>
      <c r="R12" s="1961">
        <f t="shared" si="4"/>
        <v>100</v>
      </c>
      <c r="S12" s="1961">
        <f t="shared" si="4"/>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201743</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19517</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103369</v>
      </c>
      <c r="C22" s="3865" t="s">
        <v>20</v>
      </c>
      <c r="D22" s="3866"/>
      <c r="E22" s="3866"/>
      <c r="F22" s="3866"/>
      <c r="G22" s="3866"/>
      <c r="H22" s="3866"/>
      <c r="I22" s="3866"/>
      <c r="J22" s="3866"/>
      <c r="K22" s="3866"/>
      <c r="L22" s="3866"/>
      <c r="M22" s="3866"/>
      <c r="N22" s="3866"/>
      <c r="O22" s="3866"/>
      <c r="P22" s="3866"/>
      <c r="Q22" s="3867"/>
      <c r="R22" s="488">
        <f>ROUND(S22*10000/B22,0)</f>
        <v>19517</v>
      </c>
      <c r="S22" s="53">
        <f>SUM(S24:S10000)</f>
        <v>201743</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3394</v>
      </c>
      <c r="B24" s="954">
        <f>面积!B20</f>
        <v>30731.75</v>
      </c>
      <c r="C24" s="955">
        <v>1</v>
      </c>
      <c r="D24" s="3539" t="s">
        <v>3403</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87" si="5">ROUND(R24*B24/10000,0)</f>
        <v>89313</v>
      </c>
      <c r="T24" s="1965"/>
      <c r="U24" s="1965"/>
      <c r="V24" s="1965"/>
      <c r="W24" s="1965"/>
      <c r="X24" s="1965"/>
      <c r="Y24" s="1965"/>
      <c r="Z24" s="1965"/>
      <c r="AA24" s="1965"/>
      <c r="AB24" s="1965"/>
      <c r="AC24" s="1965"/>
      <c r="AD24" s="1965"/>
      <c r="AE24" s="1965"/>
      <c r="AF24" s="1965"/>
      <c r="AG24" s="1965"/>
      <c r="AH24" s="1965"/>
      <c r="AI24" s="1965"/>
    </row>
    <row r="25" spans="1:45">
      <c r="A25" s="958" t="s">
        <v>3395</v>
      </c>
      <c r="B25" s="137">
        <f>面积!C20</f>
        <v>30419.75</v>
      </c>
      <c r="C25" s="53">
        <f>IF(B25="",1,(LOOKUP(B25,$3:$3,$4:$4)-LOOKUP($B$24,$3:$3,$4:$4)+100)/100)</f>
        <v>1</v>
      </c>
      <c r="D25" s="3539" t="s">
        <v>3403</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5"/>
        <v>53043</v>
      </c>
    </row>
    <row r="26" spans="1:45">
      <c r="A26" s="958" t="s">
        <v>3396</v>
      </c>
      <c r="B26" s="137">
        <f>面积!D20</f>
        <v>19094.25</v>
      </c>
      <c r="C26" s="53">
        <f t="shared" ref="C26:C89" si="6">IF(B26="",1,(LOOKUP(B26,$3:$3,$4:$4)-LOOKUP($B$24,$3:$3,$4:$4)+100)/100)</f>
        <v>1.04</v>
      </c>
      <c r="D26" s="3539" t="s">
        <v>3401</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15112</v>
      </c>
      <c r="S26" s="796">
        <f t="shared" si="5"/>
        <v>28855</v>
      </c>
    </row>
    <row r="27" spans="1:45">
      <c r="A27" s="958" t="s">
        <v>3397</v>
      </c>
      <c r="B27" s="137">
        <f>面积!E20</f>
        <v>19094.25</v>
      </c>
      <c r="C27" s="53">
        <f t="shared" si="6"/>
        <v>1.04</v>
      </c>
      <c r="D27" s="3539" t="s">
        <v>3401</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12090</v>
      </c>
      <c r="S27" s="796">
        <f t="shared" si="5"/>
        <v>23085</v>
      </c>
    </row>
    <row r="28" spans="1:45">
      <c r="A28" s="3534" t="s">
        <v>3398</v>
      </c>
      <c r="B28" s="137">
        <f>面积!B21</f>
        <v>4029</v>
      </c>
      <c r="C28" s="53">
        <f t="shared" si="6"/>
        <v>1.06</v>
      </c>
      <c r="D28" s="3539" t="s">
        <v>3402</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18483</v>
      </c>
      <c r="S28" s="796">
        <f t="shared" si="5"/>
        <v>7447</v>
      </c>
    </row>
    <row r="29" spans="1:45">
      <c r="A29" s="3535" t="s">
        <v>3399</v>
      </c>
      <c r="B29" s="137">
        <f>'数据-基础表'!M17</f>
        <v>0</v>
      </c>
      <c r="C29" s="53">
        <f t="shared" si="6"/>
        <v>1.06</v>
      </c>
      <c r="D29" s="3539" t="s">
        <v>3401</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15403</v>
      </c>
      <c r="S29" s="796">
        <f t="shared" si="5"/>
        <v>0</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2018年6月20日（评估专业人员勘察现场之日）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9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5" zoomScaleNormal="85" workbookViewId="0">
      <selection activeCell="D37" sqref="D37"/>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3479</v>
      </c>
      <c r="D1" s="3144" t="s">
        <v>3301</v>
      </c>
      <c r="E1" s="2403" t="s">
        <v>2376</v>
      </c>
      <c r="F1" s="2404">
        <f ca="1">J53</f>
        <v>42.77</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22027</v>
      </c>
      <c r="C2" s="2049"/>
      <c r="D2" s="2047"/>
      <c r="E2" s="2048"/>
      <c r="F2" s="2048"/>
      <c r="G2" s="1582"/>
      <c r="H2" s="2049"/>
      <c r="I2" s="2049"/>
      <c r="J2" s="2049"/>
      <c r="K2" s="2050"/>
      <c r="L2" s="2049"/>
      <c r="M2" s="2049"/>
    </row>
    <row r="3" spans="1:33" ht="18" customHeight="1" thickBot="1">
      <c r="A3" s="830" t="s">
        <v>1726</v>
      </c>
      <c r="B3" s="831">
        <f ca="1">IF(ISERROR(B2*10000/F43),0,ROUND(B2*10000/F43,0))</f>
        <v>2248</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1931</v>
      </c>
      <c r="D5" s="2512" t="s">
        <v>2464</v>
      </c>
      <c r="E5" s="2506"/>
      <c r="F5" s="2507"/>
      <c r="G5" s="1584"/>
      <c r="H5" s="778">
        <v>1</v>
      </c>
      <c r="I5" s="779" t="s">
        <v>2461</v>
      </c>
      <c r="J5" s="55">
        <f ca="1">J6+J10+J12</f>
        <v>0</v>
      </c>
      <c r="K5" s="2512" t="s">
        <v>2464</v>
      </c>
      <c r="L5" s="2506"/>
      <c r="M5" s="2507"/>
    </row>
    <row r="6" spans="1:33" ht="18" customHeight="1">
      <c r="A6" s="1823" t="s">
        <v>1823</v>
      </c>
      <c r="B6" s="3819" t="s">
        <v>2466</v>
      </c>
      <c r="C6" s="780">
        <f ca="1">ROUND(F6*F8*F7*(1-F9)/10000,0)</f>
        <v>1931</v>
      </c>
      <c r="D6" s="2513" t="s">
        <v>2465</v>
      </c>
      <c r="E6" s="781" t="s">
        <v>1737</v>
      </c>
      <c r="F6" s="782">
        <f ca="1">INDIRECT("'数据-取费表'!u"&amp;$G$1)</f>
        <v>0.6</v>
      </c>
      <c r="G6" s="1584"/>
      <c r="H6" s="2520" t="s">
        <v>2472</v>
      </c>
      <c r="I6" s="3819" t="s">
        <v>2466</v>
      </c>
      <c r="J6" s="780">
        <f ca="1">ROUND(M6*M8*M7*(1-M9)/10000,0)</f>
        <v>0</v>
      </c>
      <c r="K6" s="339" t="s">
        <v>1736</v>
      </c>
      <c r="L6" s="781" t="s">
        <v>1737</v>
      </c>
      <c r="M6" s="782">
        <f ca="1">INDIRECT("'数据-取费表'!z"&amp;$G$1)</f>
        <v>0</v>
      </c>
    </row>
    <row r="7" spans="1:33" ht="18" customHeight="1">
      <c r="A7" s="2516"/>
      <c r="B7" s="3820"/>
      <c r="C7" s="785"/>
      <c r="D7" s="786"/>
      <c r="E7" s="781" t="s">
        <v>1738</v>
      </c>
      <c r="F7" s="782">
        <f ca="1">IF(INDIRECT("'数据-取费表'!ah"&amp;$G$1)="",INDIRECT("'数据-取费表'!k"&amp;$G$1),INDIRECT("'数据-取费表'!ah"&amp;$G$1))</f>
        <v>97995</v>
      </c>
      <c r="G7" s="1584"/>
      <c r="H7" s="2505"/>
      <c r="I7" s="3820"/>
      <c r="J7" s="785"/>
      <c r="K7" s="786"/>
      <c r="L7" s="781" t="s">
        <v>1738</v>
      </c>
      <c r="M7" s="782">
        <f ca="1">F7</f>
        <v>97995</v>
      </c>
    </row>
    <row r="8" spans="1:33" ht="18" customHeight="1">
      <c r="A8" s="2509"/>
      <c r="B8" s="3821"/>
      <c r="C8" s="785"/>
      <c r="D8" s="786"/>
      <c r="E8" s="781" t="s">
        <v>1739</v>
      </c>
      <c r="F8" s="782">
        <f ca="1">INDIRECT("'数据-取费表'!ai"&amp;$G$1)</f>
        <v>365</v>
      </c>
      <c r="G8" s="1584"/>
      <c r="H8" s="2505"/>
      <c r="I8" s="3821"/>
      <c r="J8" s="785"/>
      <c r="K8" s="786"/>
      <c r="L8" s="781" t="s">
        <v>1739</v>
      </c>
      <c r="M8" s="782">
        <f ca="1">INDIRECT("'数据-取费表'!ai"&amp;$G$1)</f>
        <v>365</v>
      </c>
    </row>
    <row r="9" spans="1:33" ht="18" customHeight="1">
      <c r="A9" s="783"/>
      <c r="B9" s="3822"/>
      <c r="C9" s="785"/>
      <c r="D9" s="786"/>
      <c r="E9" s="781" t="s">
        <v>1740</v>
      </c>
      <c r="F9" s="791">
        <f ca="1">INDIRECT("'数据-取费表'!w"&amp;$G$1)</f>
        <v>0.1</v>
      </c>
      <c r="G9" s="1584"/>
      <c r="H9" s="2521"/>
      <c r="I9" s="3821"/>
      <c r="J9" s="785"/>
      <c r="K9" s="786"/>
      <c r="L9" s="792" t="s">
        <v>1740</v>
      </c>
      <c r="M9" s="793">
        <f ca="1">INDIRECT("'数据-取费表'!ab"&amp;$G$1)</f>
        <v>0</v>
      </c>
    </row>
    <row r="10" spans="1:33" ht="18" customHeight="1">
      <c r="A10" s="1823" t="s">
        <v>2470</v>
      </c>
      <c r="B10" s="2510" t="s">
        <v>2462</v>
      </c>
      <c r="C10" s="796">
        <f ca="1">ROUND(IF(F10="押一",F6*F8*F7/12*F11,IF(F10="押二",F6*F8*F7/12*2*F11,IF(F10="押三",F6*F8*F7/12*3*F11,C11*F11)))/10000,0)</f>
        <v>0</v>
      </c>
      <c r="D10" s="2517" t="s">
        <v>2469</v>
      </c>
      <c r="E10" s="2514" t="s">
        <v>2467</v>
      </c>
      <c r="F10" s="2637" t="s">
        <v>3454</v>
      </c>
      <c r="G10" s="1584"/>
      <c r="H10" s="2577" t="s">
        <v>2473</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2468</v>
      </c>
      <c r="F11" s="793">
        <f ca="1">'数据-取费表'!B39</f>
        <v>1.4999999999999999E-2</v>
      </c>
      <c r="G11" s="1584"/>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4"/>
      <c r="H12" s="2567" t="s">
        <v>2474</v>
      </c>
      <c r="I12" s="2580" t="s">
        <v>2463</v>
      </c>
      <c r="J12" s="2581"/>
      <c r="K12" s="2556"/>
      <c r="L12" s="2557"/>
      <c r="M12" s="2570"/>
    </row>
    <row r="13" spans="1:33" ht="18" customHeight="1" thickTop="1">
      <c r="A13" s="1822">
        <v>2</v>
      </c>
      <c r="B13" s="1820" t="s">
        <v>1741</v>
      </c>
      <c r="C13" s="789">
        <f ca="1">ROUND(C29*F13,0)</f>
        <v>36697</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1883</v>
      </c>
      <c r="B14" s="781" t="s">
        <v>646</v>
      </c>
      <c r="C14" s="801">
        <f ca="1">INDIRECT("'数据-取费表'!m"&amp;$G$1)+INDIRECT("'数据-取费表'!t"&amp;$G$1)</f>
        <v>25308</v>
      </c>
      <c r="D14" s="1971" t="s">
        <v>1744</v>
      </c>
      <c r="E14" s="1972"/>
      <c r="F14" s="802"/>
      <c r="G14" s="1584"/>
      <c r="H14" s="1641" t="s">
        <v>1829</v>
      </c>
      <c r="I14" s="2223" t="s">
        <v>2830</v>
      </c>
      <c r="J14" s="53">
        <f ca="1">C29</f>
        <v>36697</v>
      </c>
      <c r="K14" s="26"/>
      <c r="L14" s="798"/>
      <c r="M14" s="799"/>
    </row>
    <row r="15" spans="1:33" s="2056" customFormat="1" ht="18" customHeight="1" thickBot="1">
      <c r="A15" s="1640" t="s">
        <v>1884</v>
      </c>
      <c r="B15" s="781" t="s">
        <v>648</v>
      </c>
      <c r="C15" s="53">
        <f ca="1">ROUND(C14*F15,0)</f>
        <v>759</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3655</v>
      </c>
      <c r="K16" s="1814" t="s">
        <v>1749</v>
      </c>
      <c r="L16" s="2502"/>
      <c r="M16" s="2507"/>
    </row>
    <row r="17" spans="1:33" s="2056" customFormat="1" ht="18" customHeight="1">
      <c r="A17" s="1640" t="s">
        <v>1886</v>
      </c>
      <c r="B17" s="781" t="s">
        <v>654</v>
      </c>
      <c r="C17" s="53">
        <f ca="1">ROUND(F17*(F43+INDIRECT("'数据-取费表'!S"&amp;$G$1))/10000,0)</f>
        <v>1531</v>
      </c>
      <c r="D17" s="781" t="s">
        <v>1750</v>
      </c>
      <c r="E17" s="781" t="s">
        <v>1751</v>
      </c>
      <c r="F17" s="56">
        <f>'数据-取费表'!B35</f>
        <v>150</v>
      </c>
      <c r="G17" s="1585"/>
      <c r="H17" s="1641" t="s">
        <v>1829</v>
      </c>
      <c r="I17" s="781" t="s">
        <v>657</v>
      </c>
      <c r="J17" s="53">
        <f ca="1">ROUND(IF(项目基本情况!B11="自然人",J5*M17,J18+J19+J20),0)</f>
        <v>3105</v>
      </c>
      <c r="K17" s="2501" t="s">
        <v>1752</v>
      </c>
      <c r="L17" s="2500"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380</v>
      </c>
      <c r="D18" s="781" t="s">
        <v>1745</v>
      </c>
      <c r="E18" s="781" t="s">
        <v>1746</v>
      </c>
      <c r="F18" s="806">
        <f>'数据-取费表'!B36</f>
        <v>1.4999999999999999E-2</v>
      </c>
      <c r="G18" s="1585"/>
      <c r="H18" s="1640" t="s">
        <v>1883</v>
      </c>
      <c r="I18" s="781" t="s">
        <v>1754</v>
      </c>
      <c r="J18" s="53">
        <f ca="1">ROUND(J5*M18/1.05,1)</f>
        <v>0</v>
      </c>
      <c r="K18" s="2500"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1829</v>
      </c>
      <c r="B19" s="781" t="s">
        <v>663</v>
      </c>
      <c r="C19" s="53">
        <f ca="1">SUM(C14:C18)</f>
        <v>27978</v>
      </c>
      <c r="D19" s="259" t="s">
        <v>1756</v>
      </c>
      <c r="E19" s="1974"/>
      <c r="F19" s="56"/>
      <c r="G19" s="1584"/>
      <c r="H19" s="1640" t="s">
        <v>1884</v>
      </c>
      <c r="I19" s="781" t="s">
        <v>1757</v>
      </c>
      <c r="J19" s="53">
        <f ca="1">IF(K19="按租金收入计税",ROUND(J5*M19,1),ROUND(C29*F33*0.7,1))</f>
        <v>3082.5</v>
      </c>
      <c r="K19" s="808" t="s">
        <v>666</v>
      </c>
      <c r="L19" s="781" t="s">
        <v>1746</v>
      </c>
      <c r="M19" s="806">
        <f>IF(K19="按租金收入计税",'数据-取费表'!B51,'数据-取费表'!B50)</f>
        <v>1.2E-2</v>
      </c>
    </row>
    <row r="20" spans="1:33" s="2056" customFormat="1" ht="18" customHeight="1">
      <c r="A20" s="1641" t="s">
        <v>1888</v>
      </c>
      <c r="B20" s="781" t="s">
        <v>667</v>
      </c>
      <c r="C20" s="53">
        <f ca="1">ROUND(C19*F20,0)</f>
        <v>560</v>
      </c>
      <c r="D20" s="809" t="s">
        <v>1758</v>
      </c>
      <c r="E20" s="781" t="s">
        <v>1746</v>
      </c>
      <c r="F20" s="806">
        <f>'数据-取费表'!B37</f>
        <v>0.02</v>
      </c>
      <c r="G20" s="1585"/>
      <c r="H20" s="1643" t="s">
        <v>1879</v>
      </c>
      <c r="I20" s="339" t="s">
        <v>1759</v>
      </c>
      <c r="J20" s="54">
        <f ca="1">ROUND(M20*M21/10000,0)</f>
        <v>22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1763</v>
      </c>
      <c r="D21" s="809" t="s">
        <v>2299</v>
      </c>
      <c r="E21" s="781" t="s">
        <v>1764</v>
      </c>
      <c r="F21" s="806">
        <f>'数据-取费表'!B38</f>
        <v>0.03</v>
      </c>
      <c r="G21" s="1585"/>
      <c r="H21" s="2522"/>
      <c r="I21" s="790"/>
      <c r="J21" s="69"/>
      <c r="K21" s="813"/>
      <c r="L21" s="781" t="s">
        <v>1765</v>
      </c>
      <c r="M21" s="782">
        <f ca="1">INDIRECT("'数据-取费表'!r"&amp;$G$1)</f>
        <v>15889.269999999999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1974"/>
      <c r="F22" s="56"/>
      <c r="G22" s="1584"/>
      <c r="H22" s="1641" t="s">
        <v>1888</v>
      </c>
      <c r="I22" s="781" t="s">
        <v>1767</v>
      </c>
      <c r="J22" s="53">
        <f ca="1">ROUND(J14*M22,0)</f>
        <v>550</v>
      </c>
      <c r="K22" s="2500" t="s">
        <v>1768</v>
      </c>
      <c r="L22" s="781" t="s">
        <v>1746</v>
      </c>
      <c r="M22" s="814">
        <f ca="1">INDIRECT("'数据-取费表'!Ak"&amp;$G$1)</f>
        <v>1.4999999999999999E-2</v>
      </c>
    </row>
    <row r="23" spans="1:33" s="2056" customFormat="1" ht="18" customHeight="1">
      <c r="A23" s="1640" t="s">
        <v>1830</v>
      </c>
      <c r="B23" s="781" t="s">
        <v>2539</v>
      </c>
      <c r="C23" s="53">
        <f ca="1">ROUND(IF('数据-取费表'!B22&lt;=1,(C19+C20)*F24*F23/2,(C19+C20)*(POWER((1+F24),F23/2)-1)),0)</f>
        <v>2057</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2500" t="s">
        <v>1770</v>
      </c>
      <c r="L23" s="781" t="s">
        <v>1746</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2.2000000000000001E-3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1974"/>
      <c r="F25" s="56"/>
      <c r="G25" s="1584"/>
      <c r="H25" s="1822" t="s">
        <v>1775</v>
      </c>
      <c r="I25" s="3026" t="s">
        <v>2826</v>
      </c>
      <c r="J25" s="789">
        <f ca="1">J5-J16</f>
        <v>-3655</v>
      </c>
      <c r="K25" s="2564" t="s">
        <v>1776</v>
      </c>
      <c r="L25" s="2565"/>
      <c r="M25" s="2566"/>
    </row>
    <row r="26" spans="1:33" ht="18" customHeight="1">
      <c r="A26" s="1640" t="s">
        <v>1830</v>
      </c>
      <c r="B26" s="781" t="s">
        <v>2440</v>
      </c>
      <c r="C26" s="53">
        <f ca="1">ROUND((C19+C20)*F26,0)</f>
        <v>2854</v>
      </c>
      <c r="D26" s="809" t="s">
        <v>1777</v>
      </c>
      <c r="E26" s="792" t="s">
        <v>1778</v>
      </c>
      <c r="F26" s="791">
        <f ca="1">INDIRECT("'数据-取费表'!q"&amp;$G$1)</f>
        <v>0.1</v>
      </c>
      <c r="G26" s="1584"/>
      <c r="H26" s="2518" t="s">
        <v>1779</v>
      </c>
      <c r="I26" s="2224"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3.0000000000000001E-3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36697</v>
      </c>
      <c r="D29" s="2561"/>
      <c r="E29" s="2562"/>
      <c r="F29" s="2563"/>
      <c r="G29" s="1585"/>
      <c r="H29" s="820" t="s">
        <v>1786</v>
      </c>
      <c r="I29" s="821" t="s">
        <v>1787</v>
      </c>
      <c r="J29" s="822">
        <f ca="1">ROUND(J26/(1+F40)^F41,0)</f>
        <v>0</v>
      </c>
      <c r="K29" s="823" t="s">
        <v>1788</v>
      </c>
      <c r="L29" s="824"/>
      <c r="M29" s="825">
        <f ca="1">INDIRECT("'数据-取费表'!k"&amp;$G$1)</f>
        <v>97995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1892</v>
      </c>
      <c r="B30" s="1820" t="s">
        <v>1789</v>
      </c>
      <c r="C30" s="789">
        <f ca="1">ROUND(C31+C36+C37+C38,0)</f>
        <v>1001</v>
      </c>
      <c r="D30" s="1814" t="s">
        <v>1790</v>
      </c>
      <c r="E30" s="2502"/>
      <c r="F30" s="2507"/>
      <c r="G30" s="2054"/>
      <c r="H30" s="2057"/>
      <c r="I30" s="2058"/>
      <c r="J30" s="2059"/>
      <c r="K30" s="2060"/>
      <c r="L30" s="2061"/>
      <c r="M30" s="2062"/>
    </row>
    <row r="31" spans="1:33" ht="18" customHeight="1">
      <c r="A31" s="1641" t="s">
        <v>1829</v>
      </c>
      <c r="B31" s="781" t="s">
        <v>657</v>
      </c>
      <c r="C31" s="53">
        <f ca="1">ROUND(IF(项目基本情况!B11="自然人",C5*F31,C32+C33+C34),1)</f>
        <v>356.9</v>
      </c>
      <c r="D31" s="1971" t="s">
        <v>1791</v>
      </c>
      <c r="E31" s="1969"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1793</v>
      </c>
      <c r="C32" s="53">
        <f ca="1">ROUND(C5*F32/1.05,1)</f>
        <v>103</v>
      </c>
      <c r="D32" s="1969" t="s">
        <v>1794</v>
      </c>
      <c r="E32" s="781" t="s">
        <v>1795</v>
      </c>
      <c r="F32" s="806">
        <f>'数据-取费表'!B41</f>
        <v>5.6000000000000001E-2</v>
      </c>
      <c r="G32" s="2054"/>
      <c r="H32" s="2063"/>
      <c r="I32" s="2064"/>
      <c r="J32" s="2065"/>
      <c r="K32" s="2066"/>
      <c r="L32" s="2067"/>
      <c r="M32" s="2068"/>
    </row>
    <row r="33" spans="1:18" ht="18" customHeight="1">
      <c r="A33" s="1640" t="s">
        <v>1831</v>
      </c>
      <c r="B33" s="781" t="s">
        <v>1796</v>
      </c>
      <c r="C33" s="53">
        <f ca="1">IF(D33="按租金收入计税",ROUND(C5*F33,1),IF(D33="按房产原值计税",ROUND(C29*F33*0.7,1),INDIRECT("'数据-取费表'!Aj"&amp;$G$1)))</f>
        <v>231.7</v>
      </c>
      <c r="D33" s="808" t="s">
        <v>3496</v>
      </c>
      <c r="E33" s="781" t="s">
        <v>1795</v>
      </c>
      <c r="F33" s="806">
        <f>IF(D33="按租金收入计税",'数据-取费表'!B51,'数据-取费表'!B50)</f>
        <v>0.12</v>
      </c>
      <c r="G33" s="2054"/>
      <c r="H33" s="2069"/>
      <c r="I33" s="2069"/>
      <c r="J33" s="2069"/>
      <c r="K33" s="2070"/>
      <c r="L33" s="2069"/>
      <c r="M33" s="2069"/>
    </row>
    <row r="34" spans="1:18" ht="18" customHeight="1">
      <c r="A34" s="1643" t="s">
        <v>1832</v>
      </c>
      <c r="B34" s="339" t="s">
        <v>1797</v>
      </c>
      <c r="C34" s="54">
        <f ca="1">ROUND(F34*F35/10000,1)</f>
        <v>22.2</v>
      </c>
      <c r="D34" s="811" t="s">
        <v>1798</v>
      </c>
      <c r="E34" s="781" t="s">
        <v>1799</v>
      </c>
      <c r="F34" s="637">
        <f>'数据-取费表'!B52</f>
        <v>14</v>
      </c>
      <c r="G34" s="2054"/>
      <c r="H34" s="2057"/>
      <c r="I34" s="832" t="s">
        <v>1812</v>
      </c>
      <c r="J34" s="833"/>
      <c r="K34" s="2072"/>
      <c r="L34" s="2071"/>
      <c r="M34" s="2071"/>
    </row>
    <row r="35" spans="1:18" ht="18" customHeight="1">
      <c r="A35" s="812"/>
      <c r="B35" s="790"/>
      <c r="C35" s="69"/>
      <c r="D35" s="813"/>
      <c r="E35" s="781" t="s">
        <v>1800</v>
      </c>
      <c r="F35" s="782">
        <f ca="1">INDIRECT("'数据-取费表'!r"&amp;$G$1)</f>
        <v>15889.269999999999</v>
      </c>
      <c r="G35" s="2054"/>
      <c r="H35" s="2057"/>
      <c r="I35" s="834" t="s">
        <v>1813</v>
      </c>
      <c r="J35" s="835">
        <f ca="1">ROUND(C13*J36,0)</f>
        <v>3119</v>
      </c>
      <c r="K35" s="2070"/>
      <c r="L35" s="2069"/>
      <c r="M35" s="2069"/>
    </row>
    <row r="36" spans="1:18" ht="18" customHeight="1">
      <c r="A36" s="1641" t="s">
        <v>1888</v>
      </c>
      <c r="B36" s="781" t="s">
        <v>1801</v>
      </c>
      <c r="C36" s="53">
        <f ca="1">ROUND(C29*F36,1)</f>
        <v>550.5</v>
      </c>
      <c r="D36" s="1969" t="s">
        <v>1802</v>
      </c>
      <c r="E36" s="781" t="s">
        <v>1795</v>
      </c>
      <c r="F36" s="814">
        <f ca="1">INDIRECT("'数据-取费表'!Ak"&amp;$G$1)</f>
        <v>1.4999999999999999E-2</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55</v>
      </c>
      <c r="D37" s="1969" t="s">
        <v>1803</v>
      </c>
      <c r="E37" s="781" t="s">
        <v>1795</v>
      </c>
      <c r="F37" s="815">
        <f ca="1">INDIRECT("'数据-取费表'!Al"&amp;$G$1)</f>
        <v>1.5E-3</v>
      </c>
      <c r="G37" s="2054"/>
      <c r="H37" s="2069"/>
      <c r="I37" s="838" t="s">
        <v>1815</v>
      </c>
      <c r="J37" s="839"/>
      <c r="K37" s="2074"/>
      <c r="L37" s="2069"/>
      <c r="M37" s="2069"/>
    </row>
    <row r="38" spans="1:18" ht="18" customHeight="1" thickBot="1">
      <c r="A38" s="2567" t="s">
        <v>1890</v>
      </c>
      <c r="B38" s="2562" t="s">
        <v>667</v>
      </c>
      <c r="C38" s="2560">
        <f ca="1">ROUND(C5*F38,1)</f>
        <v>38.6</v>
      </c>
      <c r="D38" s="2561" t="s">
        <v>1804</v>
      </c>
      <c r="E38" s="2562" t="s">
        <v>1795</v>
      </c>
      <c r="F38" s="2558">
        <f ca="1">INDIRECT("'数据-取费表'!Am"&amp;$G$1)</f>
        <v>0.02</v>
      </c>
      <c r="G38" s="2054"/>
      <c r="H38" s="2069"/>
      <c r="I38" s="840" t="s">
        <v>1816</v>
      </c>
      <c r="J38" s="841"/>
      <c r="K38" s="2075"/>
      <c r="L38" s="2069"/>
      <c r="M38" s="2069"/>
    </row>
    <row r="39" spans="1:18" ht="24.6" customHeight="1" thickTop="1">
      <c r="A39" s="1822" t="s">
        <v>1893</v>
      </c>
      <c r="B39" s="3026" t="s">
        <v>2826</v>
      </c>
      <c r="C39" s="789">
        <f ca="1">C5-C30</f>
        <v>930</v>
      </c>
      <c r="D39" s="2564" t="s">
        <v>1805</v>
      </c>
      <c r="E39" s="2565"/>
      <c r="F39" s="2566"/>
      <c r="G39" s="2054"/>
      <c r="H39" s="2069"/>
      <c r="I39" s="834" t="s">
        <v>1817</v>
      </c>
      <c r="J39" s="842">
        <f ca="1">ROUND(J35/C39,3)</f>
        <v>3.3540000000000001</v>
      </c>
      <c r="K39" s="2075"/>
      <c r="L39" s="2069"/>
      <c r="M39" s="2069"/>
    </row>
    <row r="40" spans="1:18" ht="18" customHeight="1">
      <c r="A40" s="778" t="s">
        <v>1894</v>
      </c>
      <c r="B40" s="2224" t="s">
        <v>2302</v>
      </c>
      <c r="C40" s="780">
        <f ca="1">ROUND(C39*(1-((1+F42)/(1+F40))^F41)/(F40-F42),0)</f>
        <v>22027</v>
      </c>
      <c r="D40" s="811" t="s">
        <v>1806</v>
      </c>
      <c r="E40" s="781" t="s">
        <v>2421</v>
      </c>
      <c r="F40" s="791">
        <f ca="1">INDIRECT("'数据-取费表'!I"&amp;$G$1)</f>
        <v>0.05</v>
      </c>
      <c r="G40" s="2054"/>
      <c r="H40" s="2054"/>
      <c r="I40" s="834" t="s">
        <v>1818</v>
      </c>
      <c r="J40" s="842">
        <f ca="1">1-J39</f>
        <v>-2.3540000000000001</v>
      </c>
      <c r="K40" s="2075"/>
      <c r="L40" s="2054"/>
      <c r="M40" s="2054"/>
    </row>
    <row r="41" spans="1:18" ht="18" customHeight="1">
      <c r="A41" s="783"/>
      <c r="B41" s="784"/>
      <c r="C41" s="785"/>
      <c r="D41" s="818" t="s">
        <v>1807</v>
      </c>
      <c r="E41" s="781" t="s">
        <v>2967</v>
      </c>
      <c r="F41" s="819">
        <f ca="1">IF(INDIRECT("'数据-取费表'!af"&amp;$G$1)=0,INDIRECT("'数据-取费表'!ae"&amp;$G$1),INDIRECT("'数据-取费表'!af"&amp;$G$1))</f>
        <v>42.77</v>
      </c>
      <c r="G41" s="2054"/>
      <c r="H41" s="1980"/>
      <c r="I41" s="840" t="s">
        <v>1819</v>
      </c>
      <c r="J41" s="843"/>
      <c r="K41" s="2074"/>
      <c r="L41" s="1980"/>
      <c r="M41" s="1980"/>
    </row>
    <row r="42" spans="1:18" ht="18" customHeight="1">
      <c r="A42" s="787"/>
      <c r="B42" s="788"/>
      <c r="C42" s="789"/>
      <c r="D42" s="813"/>
      <c r="E42" s="781" t="s">
        <v>1808</v>
      </c>
      <c r="F42" s="791">
        <f ca="1">INDIRECT("'数据-取费表'!v"&amp;$G$1)</f>
        <v>0.02</v>
      </c>
      <c r="G42" s="2054"/>
      <c r="H42" s="1980"/>
      <c r="I42" s="844" t="s">
        <v>1820</v>
      </c>
      <c r="J42" s="842">
        <f ca="1">ROUND(C13/C40,3)</f>
        <v>1.6659999999999999</v>
      </c>
      <c r="K42" s="2074"/>
      <c r="L42" s="1980"/>
      <c r="M42" s="1980"/>
    </row>
    <row r="43" spans="1:18" ht="18" customHeight="1" thickBot="1">
      <c r="A43" s="820" t="s">
        <v>1786</v>
      </c>
      <c r="B43" s="821" t="s">
        <v>1809</v>
      </c>
      <c r="C43" s="822">
        <f ca="1">ROUND(C40*10000/F43,0)</f>
        <v>2248</v>
      </c>
      <c r="D43" s="823" t="s">
        <v>1810</v>
      </c>
      <c r="E43" s="824" t="s">
        <v>1811</v>
      </c>
      <c r="F43" s="825">
        <f ca="1">INDIRECT("'数据-取费表'!k"&amp;$G$1)</f>
        <v>97995</v>
      </c>
      <c r="G43" s="2054"/>
      <c r="H43" s="1980"/>
      <c r="I43" s="844" t="s">
        <v>1821</v>
      </c>
      <c r="J43" s="845">
        <f ca="1">1-J42</f>
        <v>-0.66599999999999993</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-33028</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3302</v>
      </c>
      <c r="K47" s="2380" t="s">
        <v>2351</v>
      </c>
      <c r="L47" s="2381">
        <f ca="1">INDIRECT("'数据-取费表'!d"&amp;$G$1)</f>
        <v>50</v>
      </c>
      <c r="M47" s="1596" t="str">
        <f>IF(ISNUMBER(FIND("住宅",C1)),"住宅","非住宅")</f>
        <v>非住宅</v>
      </c>
      <c r="O47" s="2411" t="s">
        <v>2377</v>
      </c>
      <c r="P47" s="2412" t="s">
        <v>2378</v>
      </c>
      <c r="Q47" s="2413" t="s">
        <v>2379</v>
      </c>
      <c r="R47" s="2412" t="s">
        <v>2380</v>
      </c>
    </row>
    <row r="48" spans="1:18" s="2051" customFormat="1" ht="18" customHeight="1" thickBot="1">
      <c r="A48" s="2659" t="s">
        <v>2541</v>
      </c>
      <c r="B48" s="2660" t="s">
        <v>2542</v>
      </c>
      <c r="C48" s="2366">
        <f ca="1">ROUND(F48*F50*F49*(1-F51)/10000,0)</f>
        <v>0</v>
      </c>
      <c r="D48" s="2367" t="s">
        <v>637</v>
      </c>
      <c r="E48" s="2368" t="s">
        <v>2297</v>
      </c>
      <c r="F48" s="2369"/>
      <c r="G48" s="2082"/>
      <c r="I48" s="2375" t="s">
        <v>2346</v>
      </c>
      <c r="J48" s="2382" t="s">
        <v>2352</v>
      </c>
      <c r="K48" s="2383" t="s">
        <v>2353</v>
      </c>
      <c r="L48" s="2384">
        <f ca="1">INDIRECT("'数据-取费表'!f"&amp;$G$1)</f>
        <v>45.77</v>
      </c>
      <c r="O48" s="2414" t="s">
        <v>2381</v>
      </c>
      <c r="P48" s="2415" t="s">
        <v>2407</v>
      </c>
      <c r="Q48" s="2416">
        <f ca="1">C40+J29</f>
        <v>22027</v>
      </c>
      <c r="R48" s="2415" t="s">
        <v>2382</v>
      </c>
    </row>
    <row r="49" spans="1:18" s="2051" customFormat="1" ht="18" customHeight="1" thickBot="1">
      <c r="A49" s="783"/>
      <c r="B49" s="784"/>
      <c r="C49" s="785"/>
      <c r="D49" s="786"/>
      <c r="E49" s="781" t="s">
        <v>1738</v>
      </c>
      <c r="F49" s="782">
        <f ca="1">F7</f>
        <v>97995</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365</v>
      </c>
      <c r="G50" s="2087"/>
      <c r="H50" s="2085"/>
      <c r="I50" s="2375" t="s">
        <v>2348</v>
      </c>
      <c r="J50" s="2388">
        <f>SUMPRODUCT((I63:I65=J47)*(J62:L62=J48)*(J63:L65))</f>
        <v>60</v>
      </c>
      <c r="K50" s="2386" t="s">
        <v>2355</v>
      </c>
      <c r="L50" s="2387"/>
      <c r="O50" s="2417" t="s">
        <v>2385</v>
      </c>
      <c r="P50" s="2415" t="s">
        <v>2409</v>
      </c>
      <c r="Q50" s="2416">
        <f ca="1">C29</f>
        <v>36697</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f ca="1">ROUND(-PV(INDIRECT("'数据-取费表'!h"&amp;$G$1),L48,(C39-C13*J36),0),0)</f>
        <v>-42162</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42.77</v>
      </c>
      <c r="K53" s="3871" t="s">
        <v>2969</v>
      </c>
      <c r="L53" s="3872"/>
      <c r="O53" s="2417" t="s">
        <v>2390</v>
      </c>
      <c r="P53" s="2415" t="s">
        <v>2391</v>
      </c>
      <c r="Q53" s="2416">
        <f ca="1">J53</f>
        <v>42.77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22027</v>
      </c>
      <c r="R54" s="2419" t="s">
        <v>2394</v>
      </c>
    </row>
    <row r="55" spans="1:18" s="2051" customFormat="1" ht="18" customHeight="1" thickTop="1" thickBot="1">
      <c r="A55" s="794">
        <v>2</v>
      </c>
      <c r="B55" s="795" t="s">
        <v>645</v>
      </c>
      <c r="C55" s="796">
        <f ca="1">C13</f>
        <v>36697</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2303</v>
      </c>
      <c r="C56" s="53">
        <f ca="1">C29</f>
        <v>36697</v>
      </c>
      <c r="D56" s="2656"/>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1747</v>
      </c>
      <c r="B57" s="795" t="s">
        <v>652</v>
      </c>
      <c r="C57" s="796">
        <f ca="1">ROUND(C58+C63+C64+C65,0)</f>
        <v>628</v>
      </c>
      <c r="D57" s="26" t="s">
        <v>1749</v>
      </c>
      <c r="E57" s="2657"/>
      <c r="F57" s="56"/>
      <c r="I57" s="2396" t="s">
        <v>2360</v>
      </c>
      <c r="J57" s="2398" t="str">
        <f ca="1">IF(OR(M47="住宅",J51&lt;L48,J56="是"),"——",J51-L48)</f>
        <v>——</v>
      </c>
      <c r="K57" s="2375" t="s">
        <v>2365</v>
      </c>
      <c r="L57" s="2384" t="str">
        <f ca="1">IF(L48&lt;J51,"——",IF(L55="比较法",L49,IF(L55="基准地价",L50,L51)))</f>
        <v>——</v>
      </c>
      <c r="O57" s="2414" t="s">
        <v>2381</v>
      </c>
      <c r="P57" s="2415" t="s">
        <v>2411</v>
      </c>
      <c r="Q57" s="2416">
        <f ca="1">C40+J29</f>
        <v>22027</v>
      </c>
      <c r="R57" s="2415" t="s">
        <v>2382</v>
      </c>
    </row>
    <row r="58" spans="1:18" s="2051" customFormat="1" ht="28.5" customHeight="1" thickBot="1">
      <c r="A58" s="1641" t="s">
        <v>1823</v>
      </c>
      <c r="B58" s="781" t="s">
        <v>657</v>
      </c>
      <c r="C58" s="53">
        <f ca="1">ROUND(IF(项目基本情况!B11="自然人",C47*F58,C59+C60+C61),1)</f>
        <v>22.2</v>
      </c>
      <c r="D58" s="2655" t="s">
        <v>658</v>
      </c>
      <c r="E58" s="2656"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2656"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0</v>
      </c>
      <c r="D60" s="2656" t="str">
        <f>D33</f>
        <v>按租金收入计税</v>
      </c>
      <c r="E60" s="781" t="s">
        <v>1746</v>
      </c>
      <c r="F60" s="806">
        <f t="shared" si="0"/>
        <v>0.12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22.2</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15889.269999999999</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550.5</v>
      </c>
      <c r="D63" s="2656" t="s">
        <v>1802</v>
      </c>
      <c r="E63" s="781" t="s">
        <v>1746</v>
      </c>
      <c r="F63" s="814">
        <f t="shared" ca="1" si="0"/>
        <v>1.4999999999999999E-2</v>
      </c>
      <c r="I63" s="2401" t="s">
        <v>2372</v>
      </c>
      <c r="J63" s="2402">
        <v>70</v>
      </c>
      <c r="K63" s="2402">
        <v>50</v>
      </c>
      <c r="L63" s="2402">
        <v>80</v>
      </c>
      <c r="M63" s="3118">
        <v>0.02</v>
      </c>
      <c r="O63" s="2414" t="s">
        <v>2393</v>
      </c>
      <c r="P63" s="2415" t="s">
        <v>2410</v>
      </c>
      <c r="Q63" s="2416">
        <f ca="1">Q57+Q58</f>
        <v>22027</v>
      </c>
      <c r="R63" s="2419" t="s">
        <v>2394</v>
      </c>
    </row>
    <row r="64" spans="1:18" s="2051" customFormat="1" ht="16.5" thickBot="1">
      <c r="A64" s="1641" t="s">
        <v>1889</v>
      </c>
      <c r="B64" s="781" t="s">
        <v>680</v>
      </c>
      <c r="C64" s="53">
        <f ca="1">ROUND(C55*F64,1)</f>
        <v>55</v>
      </c>
      <c r="D64" s="2656" t="s">
        <v>681</v>
      </c>
      <c r="E64" s="781" t="s">
        <v>1746</v>
      </c>
      <c r="F64" s="815">
        <f t="shared" ca="1" si="0"/>
        <v>1.5E-3</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2656" t="s">
        <v>684</v>
      </c>
      <c r="E65" s="781" t="s">
        <v>1746</v>
      </c>
      <c r="F65" s="791">
        <f t="shared" ca="1" si="0"/>
        <v>0.02</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-628</v>
      </c>
      <c r="D66" s="2655" t="s">
        <v>701</v>
      </c>
      <c r="E66" s="2654"/>
      <c r="F66" s="817"/>
      <c r="K66" s="2078"/>
      <c r="O66" s="2414" t="s">
        <v>2381</v>
      </c>
      <c r="P66" s="2415" t="s">
        <v>2411</v>
      </c>
      <c r="Q66" s="2416">
        <f ca="1">C40+J29</f>
        <v>22027</v>
      </c>
      <c r="R66" s="2415" t="s">
        <v>2382</v>
      </c>
    </row>
    <row r="67" spans="1:18" s="2051" customFormat="1" ht="20.25" thickBot="1">
      <c r="A67" s="778" t="s">
        <v>1779</v>
      </c>
      <c r="B67" s="2224" t="s">
        <v>2302</v>
      </c>
      <c r="C67" s="780">
        <f ca="1">ROUND(C66*(1-((1+F69)/(1+F67))^F68)/(F67-F69),0)</f>
        <v>-11001</v>
      </c>
      <c r="D67" s="811" t="s">
        <v>705</v>
      </c>
      <c r="E67" s="781" t="s">
        <v>706</v>
      </c>
      <c r="F67" s="791">
        <f ca="1">F40</f>
        <v>0.05</v>
      </c>
      <c r="K67" s="2078"/>
      <c r="O67" s="2414" t="s">
        <v>2383</v>
      </c>
      <c r="P67" s="2415" t="s">
        <v>2414</v>
      </c>
      <c r="Q67" s="2416">
        <f ca="1">L60</f>
        <v>0</v>
      </c>
      <c r="R67" s="2419" t="s">
        <v>2416</v>
      </c>
    </row>
    <row r="68" spans="1:18" ht="21.75" thickBot="1">
      <c r="A68" s="783"/>
      <c r="B68" s="784"/>
      <c r="C68" s="785"/>
      <c r="D68" s="818" t="s">
        <v>1807</v>
      </c>
      <c r="E68" s="781" t="s">
        <v>1783</v>
      </c>
      <c r="F68" s="819">
        <f ca="1">F41</f>
        <v>42.77</v>
      </c>
      <c r="O68" s="2417" t="s">
        <v>2385</v>
      </c>
      <c r="P68" s="2415" t="s">
        <v>2415</v>
      </c>
      <c r="Q68" s="2421">
        <f ca="1">L51</f>
        <v>-42162</v>
      </c>
      <c r="R68" s="2422" t="s">
        <v>2418</v>
      </c>
    </row>
    <row r="69" spans="1:18" ht="20.25" thickBot="1">
      <c r="A69" s="787"/>
      <c r="B69" s="788"/>
      <c r="C69" s="789"/>
      <c r="D69" s="813"/>
      <c r="E69" s="781" t="s">
        <v>711</v>
      </c>
      <c r="F69" s="2363"/>
      <c r="O69" s="2417" t="s">
        <v>2386</v>
      </c>
      <c r="P69" s="2423" t="s">
        <v>2400</v>
      </c>
      <c r="Q69" s="2416">
        <f ca="1">ROUND(Q70-Q71*Q72,0)</f>
        <v>-2189</v>
      </c>
      <c r="R69" s="2419"/>
    </row>
    <row r="70" spans="1:18" ht="15.75" thickBot="1">
      <c r="A70" s="820" t="s">
        <v>1786</v>
      </c>
      <c r="B70" s="821" t="s">
        <v>1809</v>
      </c>
      <c r="C70" s="822">
        <f ca="1">ROUND(C67*10000/F70,0)</f>
        <v>-1123</v>
      </c>
      <c r="D70" s="823" t="s">
        <v>1810</v>
      </c>
      <c r="E70" s="824" t="s">
        <v>1811</v>
      </c>
      <c r="F70" s="825">
        <f ca="1">F43</f>
        <v>97995</v>
      </c>
      <c r="O70" s="2417" t="s">
        <v>2401</v>
      </c>
      <c r="P70" s="2423" t="s">
        <v>2402</v>
      </c>
      <c r="Q70" s="2416">
        <f ca="1">C39</f>
        <v>930</v>
      </c>
      <c r="R70" s="2415" t="s">
        <v>2382</v>
      </c>
    </row>
    <row r="71" spans="1:18" ht="15.75" thickBot="1">
      <c r="O71" s="2417" t="s">
        <v>2403</v>
      </c>
      <c r="P71" s="2423" t="s">
        <v>2404</v>
      </c>
      <c r="Q71" s="2416">
        <f ca="1">C13</f>
        <v>36697</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22027</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3218</v>
      </c>
      <c r="D1" s="3144" t="s">
        <v>3301</v>
      </c>
      <c r="E1" s="2403" t="s">
        <v>2376</v>
      </c>
      <c r="F1" s="2404" t="e">
        <f ca="1">J53</f>
        <v>#N/A</v>
      </c>
      <c r="G1" s="771" t="e">
        <f>MATCH(C1,'数据-取费表'!A6:A16,0)+5</f>
        <v>#N/A</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t="e">
        <f ca="1">C40+J29+L46</f>
        <v>#N/A</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t="e">
        <f ca="1">C6+C10+C12</f>
        <v>#N/A</v>
      </c>
      <c r="D5" s="2512" t="s">
        <v>2464</v>
      </c>
      <c r="E5" s="2506"/>
      <c r="F5" s="2507"/>
      <c r="G5" s="1584"/>
      <c r="H5" s="778">
        <v>1</v>
      </c>
      <c r="I5" s="779" t="s">
        <v>2461</v>
      </c>
      <c r="J5" s="55" t="e">
        <f ca="1">J6+J10+J12</f>
        <v>#N/A</v>
      </c>
      <c r="K5" s="2512" t="s">
        <v>2464</v>
      </c>
      <c r="L5" s="2506"/>
      <c r="M5" s="2507"/>
    </row>
    <row r="6" spans="1:33" ht="18" customHeight="1">
      <c r="A6" s="1823" t="s">
        <v>1823</v>
      </c>
      <c r="B6" s="3819" t="s">
        <v>2466</v>
      </c>
      <c r="C6" s="780" t="e">
        <f ca="1">ROUND(F6*F8*F7*(1-F9)/10000,0)</f>
        <v>#N/A</v>
      </c>
      <c r="D6" s="2513" t="s">
        <v>2465</v>
      </c>
      <c r="E6" s="781" t="s">
        <v>1737</v>
      </c>
      <c r="F6" s="782" t="e">
        <f ca="1">INDIRECT("'数据-取费表'!u"&amp;$G$1)</f>
        <v>#N/A</v>
      </c>
      <c r="G6" s="1584"/>
      <c r="H6" s="2520" t="s">
        <v>1823</v>
      </c>
      <c r="I6" s="3819" t="s">
        <v>2466</v>
      </c>
      <c r="J6" s="780" t="e">
        <f ca="1">ROUND(M6*M8*M7*(1-M9)/10000,0)</f>
        <v>#N/A</v>
      </c>
      <c r="K6" s="339" t="s">
        <v>1736</v>
      </c>
      <c r="L6" s="781" t="s">
        <v>1737</v>
      </c>
      <c r="M6" s="782" t="e">
        <f ca="1">INDIRECT("'数据-取费表'!z"&amp;$G$1)</f>
        <v>#N/A</v>
      </c>
    </row>
    <row r="7" spans="1:33" ht="18" customHeight="1">
      <c r="A7" s="2516"/>
      <c r="B7" s="3820"/>
      <c r="C7" s="785"/>
      <c r="D7" s="786"/>
      <c r="E7" s="781" t="s">
        <v>1738</v>
      </c>
      <c r="F7" s="782" t="e">
        <f ca="1">IF(INDIRECT("'数据-取费表'!ah"&amp;$G$1)="",INDIRECT("'数据-取费表'!k"&amp;$G$1),INDIRECT("'数据-取费表'!ah"&amp;$G$1))</f>
        <v>#N/A</v>
      </c>
      <c r="G7" s="1584"/>
      <c r="H7" s="2505"/>
      <c r="I7" s="3820"/>
      <c r="J7" s="785"/>
      <c r="K7" s="786"/>
      <c r="L7" s="781" t="s">
        <v>1738</v>
      </c>
      <c r="M7" s="782" t="e">
        <f ca="1">F7</f>
        <v>#N/A</v>
      </c>
    </row>
    <row r="8" spans="1:33" ht="18" customHeight="1">
      <c r="A8" s="2509"/>
      <c r="B8" s="3821"/>
      <c r="C8" s="785"/>
      <c r="D8" s="786"/>
      <c r="E8" s="781" t="s">
        <v>1739</v>
      </c>
      <c r="F8" s="782" t="e">
        <f ca="1">INDIRECT("'数据-取费表'!ai"&amp;$G$1)</f>
        <v>#N/A</v>
      </c>
      <c r="G8" s="1584"/>
      <c r="H8" s="2505"/>
      <c r="I8" s="3821"/>
      <c r="J8" s="785"/>
      <c r="K8" s="786"/>
      <c r="L8" s="781" t="s">
        <v>1739</v>
      </c>
      <c r="M8" s="782" t="e">
        <f ca="1">INDIRECT("'数据-取费表'!ai"&amp;$G$1)</f>
        <v>#N/A</v>
      </c>
    </row>
    <row r="9" spans="1:33" ht="18" customHeight="1">
      <c r="A9" s="783"/>
      <c r="B9" s="3822"/>
      <c r="C9" s="785"/>
      <c r="D9" s="786"/>
      <c r="E9" s="781" t="s">
        <v>1740</v>
      </c>
      <c r="F9" s="791" t="e">
        <f ca="1">INDIRECT("'数据-取费表'!w"&amp;$G$1)</f>
        <v>#N/A</v>
      </c>
      <c r="G9" s="1584"/>
      <c r="H9" s="2521"/>
      <c r="I9" s="3821"/>
      <c r="J9" s="785"/>
      <c r="K9" s="786"/>
      <c r="L9" s="792" t="s">
        <v>1740</v>
      </c>
      <c r="M9" s="793" t="e">
        <f ca="1">INDIRECT("'数据-取费表'!ab"&amp;$G$1)</f>
        <v>#N/A</v>
      </c>
    </row>
    <row r="10" spans="1:33" ht="18" customHeight="1">
      <c r="A10" s="1823" t="s">
        <v>1824</v>
      </c>
      <c r="B10" s="2510" t="s">
        <v>2462</v>
      </c>
      <c r="C10" s="796" t="e">
        <f ca="1">ROUND(IF(F10="押一",F6*F8*F7/12*F11,IF(F10="押二",F6*F8*F7/12*2*F11,IF(F10="押三",F6*F8*F7/12*3*F11,C11*F11)))/10000,0)</f>
        <v>#N/A</v>
      </c>
      <c r="D10" s="2517" t="s">
        <v>2469</v>
      </c>
      <c r="E10" s="2514" t="s">
        <v>2467</v>
      </c>
      <c r="F10" s="2637" t="s">
        <v>3299</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t="e">
        <f ca="1">ROUND(C29*F13,0)</f>
        <v>#N/A</v>
      </c>
      <c r="D13" s="1827" t="s">
        <v>2298</v>
      </c>
      <c r="E13" s="1827" t="s">
        <v>1743</v>
      </c>
      <c r="F13" s="2552" t="e">
        <f ca="1">INDIRECT("'数据-取费表'!y"&amp;$G$1)</f>
        <v>#N/A</v>
      </c>
      <c r="G13" s="1584"/>
      <c r="H13" s="1822">
        <v>2</v>
      </c>
      <c r="I13" s="1820" t="s">
        <v>1741</v>
      </c>
      <c r="J13" s="1812" t="e">
        <f ca="1">ROUND(J14*J15,0)</f>
        <v>#N/A</v>
      </c>
      <c r="K13" s="1814" t="s">
        <v>1742</v>
      </c>
      <c r="L13" s="2568"/>
      <c r="M13" s="2569"/>
    </row>
    <row r="14" spans="1:33" ht="18" customHeight="1">
      <c r="A14" s="1640" t="s">
        <v>1830</v>
      </c>
      <c r="B14" s="781" t="s">
        <v>646</v>
      </c>
      <c r="C14" s="801" t="e">
        <f ca="1">INDIRECT("'数据-取费表'!m"&amp;$G$1)+INDIRECT("'数据-取费表'!t"&amp;$G$1)</f>
        <v>#N/A</v>
      </c>
      <c r="D14" s="3484" t="s">
        <v>1744</v>
      </c>
      <c r="E14" s="3485"/>
      <c r="F14" s="802"/>
      <c r="G14" s="1584"/>
      <c r="H14" s="1641" t="s">
        <v>1823</v>
      </c>
      <c r="I14" s="2223" t="s">
        <v>2829</v>
      </c>
      <c r="J14" s="53" t="e">
        <f ca="1">C29</f>
        <v>#N/A</v>
      </c>
      <c r="K14" s="26"/>
      <c r="L14" s="798"/>
      <c r="M14" s="799"/>
    </row>
    <row r="15" spans="1:33" s="2056" customFormat="1" ht="18" customHeight="1" thickBot="1">
      <c r="A15" s="1640" t="s">
        <v>1831</v>
      </c>
      <c r="B15" s="781" t="s">
        <v>648</v>
      </c>
      <c r="C15" s="53" t="e">
        <f ca="1">ROUND(C14*F15,0)</f>
        <v>#N/A</v>
      </c>
      <c r="D15" s="803" t="s">
        <v>1745</v>
      </c>
      <c r="E15" s="803" t="s">
        <v>1746</v>
      </c>
      <c r="F15" s="804">
        <f>'数据-取费表'!B33</f>
        <v>0.03</v>
      </c>
      <c r="G15" s="1585"/>
      <c r="H15" s="2567" t="s">
        <v>1888</v>
      </c>
      <c r="I15" s="2562" t="s">
        <v>1743</v>
      </c>
      <c r="J15" s="2571" t="e">
        <f ca="1">INDIRECT("'数据-取费表'!ad"&amp;$G$1)</f>
        <v>#N/A</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t="e">
        <f ca="1">ROUND(INDIRECT("'数据-取费表'!m"&amp;$G$1)*F16,0)</f>
        <v>#N/A</v>
      </c>
      <c r="D16" s="781" t="s">
        <v>1745</v>
      </c>
      <c r="E16" s="781" t="s">
        <v>1746</v>
      </c>
      <c r="F16" s="806" t="e">
        <f ca="1">IF(INDIRECT("'数据-取费表'!c"&amp;$G$1)="住宅",'数据-取费表'!B34,0)</f>
        <v>#N/A</v>
      </c>
      <c r="G16" s="1584"/>
      <c r="H16" s="1822" t="s">
        <v>7</v>
      </c>
      <c r="I16" s="1820" t="s">
        <v>1748</v>
      </c>
      <c r="J16" s="789" t="e">
        <f ca="1">ROUND(J17+J22+J23+J24,0)</f>
        <v>#N/A</v>
      </c>
      <c r="K16" s="1814" t="s">
        <v>1749</v>
      </c>
      <c r="L16" s="3486"/>
      <c r="M16" s="2507"/>
    </row>
    <row r="17" spans="1:33" s="2056" customFormat="1" ht="18" customHeight="1">
      <c r="A17" s="1640" t="s">
        <v>1886</v>
      </c>
      <c r="B17" s="781" t="s">
        <v>654</v>
      </c>
      <c r="C17" s="53" t="e">
        <f ca="1">ROUND(F17*(F43+INDIRECT("'数据-取费表'!S"&amp;$G$1))/10000,0)</f>
        <v>#N/A</v>
      </c>
      <c r="D17" s="781" t="s">
        <v>1750</v>
      </c>
      <c r="E17" s="781" t="s">
        <v>1751</v>
      </c>
      <c r="F17" s="56">
        <f>'数据-取费表'!B35</f>
        <v>150</v>
      </c>
      <c r="G17" s="1585"/>
      <c r="H17" s="1641" t="s">
        <v>1823</v>
      </c>
      <c r="I17" s="781" t="s">
        <v>657</v>
      </c>
      <c r="J17" s="53" t="e">
        <f ca="1">ROUND(IF(项目基本情况!B11="自然人",J5*M17,J18+J19+J20),0)</f>
        <v>#N/A</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t="e">
        <f ca="1">ROUND(C14*F18,0)</f>
        <v>#N/A</v>
      </c>
      <c r="D18" s="781" t="s">
        <v>1745</v>
      </c>
      <c r="E18" s="781" t="s">
        <v>1746</v>
      </c>
      <c r="F18" s="806">
        <f>'数据-取费表'!B36</f>
        <v>1.4999999999999999E-2</v>
      </c>
      <c r="G18" s="1585"/>
      <c r="H18" s="1640" t="s">
        <v>1830</v>
      </c>
      <c r="I18" s="781" t="s">
        <v>1754</v>
      </c>
      <c r="J18" s="53" t="e">
        <f ca="1">ROUND(J5*M18/1.05,1)</f>
        <v>#N/A</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t="e">
        <f ca="1">SUM(C14:C18)</f>
        <v>#N/A</v>
      </c>
      <c r="D19" s="259" t="s">
        <v>1756</v>
      </c>
      <c r="E19" s="3489"/>
      <c r="F19" s="56"/>
      <c r="G19" s="1584"/>
      <c r="H19" s="1640" t="s">
        <v>1831</v>
      </c>
      <c r="I19" s="781" t="s">
        <v>1757</v>
      </c>
      <c r="J19" s="53" t="e">
        <f ca="1">IF(K19="按租金收入计税",ROUND(J5*M19,1),ROUND(C29*F33*0.7,1))</f>
        <v>#N/A</v>
      </c>
      <c r="K19" s="808" t="s">
        <v>666</v>
      </c>
      <c r="L19" s="781" t="s">
        <v>1746</v>
      </c>
      <c r="M19" s="806">
        <f>IF(K19="按租金收入计税",'数据-取费表'!B51,'数据-取费表'!B50)</f>
        <v>1.2E-2</v>
      </c>
    </row>
    <row r="20" spans="1:33" s="2056" customFormat="1" ht="18" customHeight="1">
      <c r="A20" s="1641" t="s">
        <v>1888</v>
      </c>
      <c r="B20" s="781" t="s">
        <v>667</v>
      </c>
      <c r="C20" s="53" t="e">
        <f ca="1">ROUND(C19*F20,0)</f>
        <v>#N/A</v>
      </c>
      <c r="D20" s="809" t="s">
        <v>1758</v>
      </c>
      <c r="E20" s="781" t="s">
        <v>1746</v>
      </c>
      <c r="F20" s="806">
        <f>'数据-取费表'!B37</f>
        <v>0.02</v>
      </c>
      <c r="G20" s="1585"/>
      <c r="H20" s="1643" t="s">
        <v>1832</v>
      </c>
      <c r="I20" s="339" t="s">
        <v>1759</v>
      </c>
      <c r="J20" s="54" t="e">
        <f ca="1">ROUND(M20*M21/10000,0)</f>
        <v>#N/A</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0.03</v>
      </c>
      <c r="G21" s="1585"/>
      <c r="H21" s="2522"/>
      <c r="I21" s="790"/>
      <c r="J21" s="69"/>
      <c r="K21" s="813"/>
      <c r="L21" s="781" t="s">
        <v>1765</v>
      </c>
      <c r="M21" s="782" t="e">
        <f ca="1">INDIRECT("'数据-取费表'!r"&amp;$G$1)</f>
        <v>#N/A</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t="e">
        <f ca="1">ROUND(J14*M22,0)</f>
        <v>#N/A</v>
      </c>
      <c r="K22" s="3483" t="s">
        <v>1768</v>
      </c>
      <c r="L22" s="781" t="s">
        <v>1746</v>
      </c>
      <c r="M22" s="814" t="e">
        <f ca="1">INDIRECT("'数据-取费表'!Ak"&amp;$G$1)</f>
        <v>#N/A</v>
      </c>
    </row>
    <row r="23" spans="1:33" s="2056" customFormat="1" ht="18" customHeight="1">
      <c r="A23" s="1640" t="s">
        <v>1830</v>
      </c>
      <c r="B23" s="781" t="s">
        <v>2439</v>
      </c>
      <c r="C23" s="53" t="e">
        <f ca="1">ROUND(IF('数据-取费表'!B22&lt;=1,(C19+C20)*F24*F23/2,(C19+C20)*(POWER((1+F24),F23/2)-1)),0)</f>
        <v>#N/A</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t="e">
        <f ca="1">ROUND(J13*M23,0)</f>
        <v>#N/A</v>
      </c>
      <c r="K23" s="3483" t="s">
        <v>1770</v>
      </c>
      <c r="L23" s="781" t="s">
        <v>1746</v>
      </c>
      <c r="M23" s="815" t="e">
        <f ca="1">INDIRECT("'数据-取费表'!Al"&amp;$G$1)</f>
        <v>#N/A</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2.2000000000000001E-3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t="e">
        <f ca="1">ROUND(J5*M24,0)</f>
        <v>#N/A</v>
      </c>
      <c r="K24" s="2561" t="s">
        <v>1773</v>
      </c>
      <c r="L24" s="2562" t="s">
        <v>1746</v>
      </c>
      <c r="M24" s="2558" t="e">
        <f ca="1">INDIRECT("'数据-取费表'!Am"&amp;$G$1)</f>
        <v>#N/A</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t="e">
        <f ca="1">J5-J16</f>
        <v>#N/A</v>
      </c>
      <c r="K25" s="2564" t="s">
        <v>1776</v>
      </c>
      <c r="L25" s="2565"/>
      <c r="M25" s="2566"/>
    </row>
    <row r="26" spans="1:33" ht="18" customHeight="1">
      <c r="A26" s="1640" t="s">
        <v>1830</v>
      </c>
      <c r="B26" s="781" t="s">
        <v>2440</v>
      </c>
      <c r="C26" s="53" t="e">
        <f ca="1">ROUND((C19+C20)*F26,0)</f>
        <v>#N/A</v>
      </c>
      <c r="D26" s="809" t="s">
        <v>1777</v>
      </c>
      <c r="E26" s="792" t="s">
        <v>1778</v>
      </c>
      <c r="F26" s="791" t="e">
        <f ca="1">INDIRECT("'数据-取费表'!q"&amp;$G$1)</f>
        <v>#N/A</v>
      </c>
      <c r="G26" s="1584"/>
      <c r="H26" s="2518" t="s">
        <v>1779</v>
      </c>
      <c r="I26" s="2224" t="s">
        <v>2831</v>
      </c>
      <c r="J26" s="780" t="e">
        <f ca="1">IF(J5&lt;&gt;0,ROUND(J25*(1-((1+M28)/(1+M26))^M27)/(M26-M28),0),0)</f>
        <v>#N/A</v>
      </c>
      <c r="K26" s="811" t="s">
        <v>1780</v>
      </c>
      <c r="L26" s="781" t="s">
        <v>2421</v>
      </c>
      <c r="M26" s="791" t="e">
        <f ca="1">INDIRECT("'数据-取费表'!I"&amp;$G$1)</f>
        <v>#N/A</v>
      </c>
    </row>
    <row r="27" spans="1:33" ht="18" customHeight="1">
      <c r="A27" s="1640" t="s">
        <v>1831</v>
      </c>
      <c r="B27" s="781" t="s">
        <v>687</v>
      </c>
      <c r="C27" s="53" t="e">
        <f ca="1">ROUND(F21*F26,4)</f>
        <v>#N/A</v>
      </c>
      <c r="D27" s="809" t="s">
        <v>1781</v>
      </c>
      <c r="E27" s="803"/>
      <c r="F27" s="804"/>
      <c r="G27" s="1584"/>
      <c r="H27" s="2519"/>
      <c r="I27" s="784"/>
      <c r="J27" s="785"/>
      <c r="K27" s="818" t="s">
        <v>1782</v>
      </c>
      <c r="L27" s="781" t="s">
        <v>1783</v>
      </c>
      <c r="M27" s="819" t="e">
        <f ca="1">INDIRECT("'数据-取费表'!ag"&amp;$G$1)</f>
        <v>#N/A</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t="e">
        <f ca="1">INDIRECT("'数据-取费表'!aa"&amp;$G$1)</f>
        <v>#N/A</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t="e">
        <f ca="1">ROUND((C19+C20+C23+C26)/(1-F21-C24-C27-C28),0)</f>
        <v>#N/A</v>
      </c>
      <c r="D29" s="2561"/>
      <c r="E29" s="2562"/>
      <c r="F29" s="2563"/>
      <c r="G29" s="1585"/>
      <c r="H29" s="820" t="s">
        <v>1786</v>
      </c>
      <c r="I29" s="821" t="s">
        <v>1787</v>
      </c>
      <c r="J29" s="822" t="e">
        <f ca="1">ROUND(J26/(1+F40)^F41,0)</f>
        <v>#N/A</v>
      </c>
      <c r="K29" s="823" t="s">
        <v>1788</v>
      </c>
      <c r="L29" s="824"/>
      <c r="M29" s="825" t="e">
        <f ca="1">INDIRECT("'数据-取费表'!k"&amp;$G$1)</f>
        <v>#N/A</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t="e">
        <f ca="1">ROUND(C31+C36+C37+C38,0)</f>
        <v>#N/A</v>
      </c>
      <c r="D30" s="1814" t="s">
        <v>1790</v>
      </c>
      <c r="E30" s="3486"/>
      <c r="F30" s="2507"/>
      <c r="G30" s="2054"/>
      <c r="H30" s="2057"/>
      <c r="I30" s="2058"/>
      <c r="J30" s="2059"/>
      <c r="K30" s="2060"/>
      <c r="L30" s="2061"/>
      <c r="M30" s="2062"/>
    </row>
    <row r="31" spans="1:33" ht="18" customHeight="1">
      <c r="A31" s="1641" t="s">
        <v>1823</v>
      </c>
      <c r="B31" s="781" t="s">
        <v>657</v>
      </c>
      <c r="C31" s="53" t="e">
        <f ca="1">ROUND(IF(项目基本情况!B11="自然人",C5*F31,C32+C33+C34),1)</f>
        <v>#N/A</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t="e">
        <f ca="1">ROUND(C5*F32/1.05,1)</f>
        <v>#N/A</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t="e">
        <f ca="1">IF(D33="按租金收入计税",ROUND(C5*F33,1),IF(D33="按房产原值计税",ROUND(C29*F33*0.7,1),INDIRECT("'数据-取费表'!Aj"&amp;$G$1)))</f>
        <v>#N/A</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t="e">
        <f ca="1">ROUND(F34*F35/10000,1)</f>
        <v>#N/A</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t="e">
        <f ca="1">INDIRECT("'数据-取费表'!r"&amp;$G$1)</f>
        <v>#N/A</v>
      </c>
      <c r="G35" s="2054"/>
      <c r="H35" s="2057"/>
      <c r="I35" s="834" t="s">
        <v>1813</v>
      </c>
      <c r="J35" s="835" t="e">
        <f ca="1">ROUND(C13*J36,0)</f>
        <v>#N/A</v>
      </c>
      <c r="K35" s="2070"/>
      <c r="L35" s="2069"/>
      <c r="M35" s="2069"/>
    </row>
    <row r="36" spans="1:18" ht="18" customHeight="1">
      <c r="A36" s="1641" t="s">
        <v>1888</v>
      </c>
      <c r="B36" s="781" t="s">
        <v>1767</v>
      </c>
      <c r="C36" s="53" t="e">
        <f ca="1">ROUND(C29*F36,1)</f>
        <v>#N/A</v>
      </c>
      <c r="D36" s="3483" t="s">
        <v>1802</v>
      </c>
      <c r="E36" s="781" t="s">
        <v>1746</v>
      </c>
      <c r="F36" s="814" t="e">
        <f ca="1">INDIRECT("'数据-取费表'!Ak"&amp;$G$1)</f>
        <v>#N/A</v>
      </c>
      <c r="G36" s="2054"/>
      <c r="H36" s="2069"/>
      <c r="I36" s="836" t="s">
        <v>1814</v>
      </c>
      <c r="J36" s="837" t="e">
        <f ca="1">INDIRECT("'数据-取费表'!j"&amp;$G$1)</f>
        <v>#N/A</v>
      </c>
      <c r="K36" s="2074"/>
      <c r="L36" s="2069"/>
      <c r="M36" s="2069"/>
    </row>
    <row r="37" spans="1:18" ht="18" customHeight="1">
      <c r="A37" s="1641" t="s">
        <v>1889</v>
      </c>
      <c r="B37" s="781" t="s">
        <v>680</v>
      </c>
      <c r="C37" s="53" t="e">
        <f ca="1">ROUND(C13*F37,1)</f>
        <v>#N/A</v>
      </c>
      <c r="D37" s="3483" t="s">
        <v>1770</v>
      </c>
      <c r="E37" s="781" t="s">
        <v>1746</v>
      </c>
      <c r="F37" s="815" t="e">
        <f ca="1">INDIRECT("'数据-取费表'!Al"&amp;$G$1)</f>
        <v>#N/A</v>
      </c>
      <c r="G37" s="2054"/>
      <c r="H37" s="2069"/>
      <c r="I37" s="838" t="s">
        <v>1815</v>
      </c>
      <c r="J37" s="839"/>
      <c r="K37" s="2074"/>
      <c r="L37" s="2069"/>
      <c r="M37" s="2069"/>
    </row>
    <row r="38" spans="1:18" ht="18" customHeight="1" thickBot="1">
      <c r="A38" s="2567" t="s">
        <v>1890</v>
      </c>
      <c r="B38" s="2562" t="s">
        <v>667</v>
      </c>
      <c r="C38" s="2560" t="e">
        <f ca="1">ROUND(C5*F38,1)</f>
        <v>#N/A</v>
      </c>
      <c r="D38" s="2561" t="s">
        <v>1773</v>
      </c>
      <c r="E38" s="2562" t="s">
        <v>1746</v>
      </c>
      <c r="F38" s="2558" t="e">
        <f ca="1">INDIRECT("'数据-取费表'!Am"&amp;$G$1)</f>
        <v>#N/A</v>
      </c>
      <c r="G38" s="2054"/>
      <c r="H38" s="2069"/>
      <c r="I38" s="840" t="s">
        <v>1816</v>
      </c>
      <c r="J38" s="841"/>
      <c r="K38" s="2075"/>
      <c r="L38" s="2069"/>
      <c r="M38" s="2069"/>
    </row>
    <row r="39" spans="1:18" ht="24.6" customHeight="1" thickTop="1">
      <c r="A39" s="1822" t="s">
        <v>1775</v>
      </c>
      <c r="B39" s="3026" t="s">
        <v>2826</v>
      </c>
      <c r="C39" s="789" t="e">
        <f ca="1">C5-C30</f>
        <v>#N/A</v>
      </c>
      <c r="D39" s="2564" t="s">
        <v>1776</v>
      </c>
      <c r="E39" s="2565"/>
      <c r="F39" s="2566"/>
      <c r="G39" s="2054"/>
      <c r="H39" s="2069"/>
      <c r="I39" s="834" t="s">
        <v>1817</v>
      </c>
      <c r="J39" s="842" t="e">
        <f ca="1">ROUND(J35/C39,3)</f>
        <v>#N/A</v>
      </c>
      <c r="K39" s="2075"/>
      <c r="L39" s="2069"/>
      <c r="M39" s="2069"/>
    </row>
    <row r="40" spans="1:18" ht="18" customHeight="1">
      <c r="A40" s="778" t="s">
        <v>1779</v>
      </c>
      <c r="B40" s="2224" t="s">
        <v>2302</v>
      </c>
      <c r="C40" s="780" t="e">
        <f ca="1">ROUND(C39*(1-((1+F42)/(1+F40))^F41)/(F40-F42),0)</f>
        <v>#N/A</v>
      </c>
      <c r="D40" s="811" t="s">
        <v>1780</v>
      </c>
      <c r="E40" s="781" t="s">
        <v>2421</v>
      </c>
      <c r="F40" s="791" t="e">
        <f ca="1">INDIRECT("'数据-取费表'!I"&amp;$G$1)</f>
        <v>#N/A</v>
      </c>
      <c r="G40" s="2054"/>
      <c r="H40" s="2054"/>
      <c r="I40" s="834" t="s">
        <v>1818</v>
      </c>
      <c r="J40" s="842" t="e">
        <f ca="1">1-J39</f>
        <v>#N/A</v>
      </c>
      <c r="K40" s="2075"/>
      <c r="L40" s="2054"/>
      <c r="M40" s="2054"/>
    </row>
    <row r="41" spans="1:18" ht="18" customHeight="1">
      <c r="A41" s="783"/>
      <c r="B41" s="784"/>
      <c r="C41" s="785"/>
      <c r="D41" s="818" t="s">
        <v>1807</v>
      </c>
      <c r="E41" s="781" t="s">
        <v>1783</v>
      </c>
      <c r="F41" s="819" t="e">
        <f ca="1">IF(INDIRECT("'数据-取费表'!af"&amp;$G$1)=0,INDIRECT("'数据-取费表'!ae"&amp;$G$1),INDIRECT("'数据-取费表'!af"&amp;$G$1))</f>
        <v>#N/A</v>
      </c>
      <c r="G41" s="2054"/>
      <c r="H41" s="1980"/>
      <c r="I41" s="840" t="s">
        <v>1819</v>
      </c>
      <c r="J41" s="843"/>
      <c r="K41" s="2074"/>
      <c r="L41" s="1980"/>
      <c r="M41" s="1980"/>
    </row>
    <row r="42" spans="1:18" ht="18" customHeight="1">
      <c r="A42" s="787"/>
      <c r="B42" s="788"/>
      <c r="C42" s="789"/>
      <c r="D42" s="813"/>
      <c r="E42" s="781" t="s">
        <v>1785</v>
      </c>
      <c r="F42" s="791" t="e">
        <f ca="1">INDIRECT("'数据-取费表'!v"&amp;$G$1)</f>
        <v>#N/A</v>
      </c>
      <c r="G42" s="2054"/>
      <c r="H42" s="1980"/>
      <c r="I42" s="844" t="s">
        <v>1820</v>
      </c>
      <c r="J42" s="842" t="e">
        <f ca="1">ROUND(C13/C40,3)</f>
        <v>#N/A</v>
      </c>
      <c r="K42" s="2074"/>
      <c r="L42" s="1980"/>
      <c r="M42" s="1980"/>
    </row>
    <row r="43" spans="1:18" ht="18" customHeight="1" thickBot="1">
      <c r="A43" s="820" t="s">
        <v>1786</v>
      </c>
      <c r="B43" s="821" t="s">
        <v>1809</v>
      </c>
      <c r="C43" s="822" t="e">
        <f ca="1">ROUND(C40*10000/F43,0)</f>
        <v>#N/A</v>
      </c>
      <c r="D43" s="823" t="s">
        <v>1810</v>
      </c>
      <c r="E43" s="824" t="s">
        <v>1811</v>
      </c>
      <c r="F43" s="825" t="e">
        <f ca="1">INDIRECT("'数据-取费表'!k"&amp;$G$1)</f>
        <v>#N/A</v>
      </c>
      <c r="G43" s="2054"/>
      <c r="H43" s="1980"/>
      <c r="I43" s="844" t="s">
        <v>1821</v>
      </c>
      <c r="J43" s="845" t="e">
        <f ca="1">1-J42</f>
        <v>#N/A</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t="e">
        <f ca="1">C67-C40</f>
        <v>#N/A</v>
      </c>
      <c r="D46" s="2077"/>
      <c r="E46" s="2077"/>
      <c r="F46" s="2077"/>
      <c r="I46" s="2370" t="s">
        <v>2344</v>
      </c>
      <c r="J46" s="2371"/>
      <c r="K46" s="2372"/>
      <c r="L46" s="2373" t="e">
        <f ca="1">IF(M47="住宅",0,IF(L48&gt;J51,L60,J60))</f>
        <v>#N/A</v>
      </c>
      <c r="O46" s="2410" t="s">
        <v>2412</v>
      </c>
      <c r="P46" s="1584"/>
      <c r="Q46" s="1596"/>
      <c r="R46" s="1584"/>
    </row>
    <row r="47" spans="1:18" s="2051" customFormat="1" ht="18" customHeight="1" thickBot="1">
      <c r="A47" s="2364">
        <v>1</v>
      </c>
      <c r="B47" s="2365" t="s">
        <v>636</v>
      </c>
      <c r="C47" s="2590" t="e">
        <f ca="1">C48+C52+C54</f>
        <v>#N/A</v>
      </c>
      <c r="D47" s="2077"/>
      <c r="E47" s="2077"/>
      <c r="F47" s="2077"/>
      <c r="I47" s="2374" t="s">
        <v>2345</v>
      </c>
      <c r="J47" s="2379" t="s">
        <v>3302</v>
      </c>
      <c r="K47" s="2380" t="s">
        <v>2351</v>
      </c>
      <c r="L47" s="2381" t="e">
        <f ca="1">INDIRECT("'数据-取费表'!d"&amp;$G$1)</f>
        <v>#N/A</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t="e">
        <f ca="1">ROUND(F48*F50*F49*(1-F51)/10000,0)</f>
        <v>#N/A</v>
      </c>
      <c r="D48" s="2367" t="s">
        <v>637</v>
      </c>
      <c r="E48" s="2368" t="s">
        <v>2297</v>
      </c>
      <c r="F48" s="2369"/>
      <c r="G48" s="2082"/>
      <c r="I48" s="2375" t="s">
        <v>2346</v>
      </c>
      <c r="J48" s="2382" t="s">
        <v>2352</v>
      </c>
      <c r="K48" s="2383" t="s">
        <v>2353</v>
      </c>
      <c r="L48" s="2384" t="e">
        <f ca="1">INDIRECT("'数据-取费表'!f"&amp;$G$1)</f>
        <v>#N/A</v>
      </c>
      <c r="O48" s="2414" t="s">
        <v>2381</v>
      </c>
      <c r="P48" s="2415" t="s">
        <v>2407</v>
      </c>
      <c r="Q48" s="2416" t="e">
        <f ca="1">C40+J29</f>
        <v>#N/A</v>
      </c>
      <c r="R48" s="2415" t="s">
        <v>2382</v>
      </c>
    </row>
    <row r="49" spans="1:18" s="2051" customFormat="1" ht="18" customHeight="1" thickBot="1">
      <c r="A49" s="783"/>
      <c r="B49" s="784"/>
      <c r="C49" s="785"/>
      <c r="D49" s="786"/>
      <c r="E49" s="781" t="s">
        <v>1738</v>
      </c>
      <c r="F49" s="782" t="e">
        <f ca="1">F7</f>
        <v>#N/A</v>
      </c>
      <c r="G49" s="2082"/>
      <c r="H49" s="2085"/>
      <c r="I49" s="2375" t="s">
        <v>2347</v>
      </c>
      <c r="J49" s="2385">
        <v>2018</v>
      </c>
      <c r="K49" s="2386" t="s">
        <v>2354</v>
      </c>
      <c r="L49" s="2387"/>
      <c r="O49" s="2414" t="s">
        <v>2383</v>
      </c>
      <c r="P49" s="2415" t="s">
        <v>2408</v>
      </c>
      <c r="Q49" s="2416" t="e">
        <f ca="1">J60</f>
        <v>#N/A</v>
      </c>
      <c r="R49" s="2415" t="s">
        <v>2384</v>
      </c>
    </row>
    <row r="50" spans="1:18" s="2051" customFormat="1" ht="18" customHeight="1" thickBot="1">
      <c r="A50" s="783"/>
      <c r="B50" s="784"/>
      <c r="C50" s="785"/>
      <c r="D50" s="786"/>
      <c r="E50" s="781" t="s">
        <v>1739</v>
      </c>
      <c r="F50" s="782" t="e">
        <f ca="1">F8</f>
        <v>#N/A</v>
      </c>
      <c r="G50" s="2087"/>
      <c r="H50" s="2085"/>
      <c r="I50" s="2375" t="s">
        <v>2348</v>
      </c>
      <c r="J50" s="2388">
        <f>SUMPRODUCT((I63:I65=J47)*(J62:L62=J48)*(J63:L65))</f>
        <v>60</v>
      </c>
      <c r="K50" s="2386" t="s">
        <v>2355</v>
      </c>
      <c r="L50" s="2387"/>
      <c r="O50" s="2417" t="s">
        <v>2385</v>
      </c>
      <c r="P50" s="2415" t="s">
        <v>2409</v>
      </c>
      <c r="Q50" s="2416" t="e">
        <f ca="1">C29</f>
        <v>#N/A</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t="e">
        <f ca="1">ROUND(-PV(INDIRECT("'数据-取费表'!h"&amp;$G$1),L48,(C39-C13*J36),0),0)</f>
        <v>#N/A</v>
      </c>
      <c r="O51" s="2417" t="s">
        <v>2386</v>
      </c>
      <c r="P51" s="2415" t="s">
        <v>2387</v>
      </c>
      <c r="Q51" s="2418" t="e">
        <f ca="1">J58</f>
        <v>#N/A</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t="e">
        <f ca="1">IF(M47="住宅",J51,IF(D1="——",MIN(J51,L48),IF(D1="土地（套用方法）",MIN(J51,L48-'数据-取费表'!B20))))</f>
        <v>#N/A</v>
      </c>
      <c r="K53" s="3871" t="s">
        <v>2969</v>
      </c>
      <c r="L53" s="3872"/>
      <c r="O53" s="2417" t="s">
        <v>2390</v>
      </c>
      <c r="P53" s="2415" t="s">
        <v>2391</v>
      </c>
      <c r="Q53" s="2416" t="e">
        <f ca="1">J53</f>
        <v>#N/A</v>
      </c>
      <c r="R53" s="2415" t="s">
        <v>2392</v>
      </c>
    </row>
    <row r="54" spans="1:18" s="2051" customFormat="1" ht="18" customHeight="1" thickBot="1">
      <c r="A54" s="2553" t="s">
        <v>2471</v>
      </c>
      <c r="B54" s="2554" t="s">
        <v>2463</v>
      </c>
      <c r="C54" s="2555"/>
      <c r="D54" s="2517"/>
      <c r="E54" s="2514"/>
      <c r="F54" s="797"/>
      <c r="I54" s="2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8"/>
      <c r="O54" s="2414" t="s">
        <v>2393</v>
      </c>
      <c r="P54" s="2415" t="s">
        <v>2410</v>
      </c>
      <c r="Q54" s="2416" t="e">
        <f ca="1">Q48+Q49</f>
        <v>#N/A</v>
      </c>
      <c r="R54" s="2419" t="s">
        <v>2394</v>
      </c>
    </row>
    <row r="55" spans="1:18" s="2051" customFormat="1" ht="18" customHeight="1" thickTop="1" thickBot="1">
      <c r="A55" s="794">
        <v>2</v>
      </c>
      <c r="B55" s="795" t="s">
        <v>645</v>
      </c>
      <c r="C55" s="796" t="e">
        <f ca="1">C13</f>
        <v>#N/A</v>
      </c>
      <c r="D55" s="792"/>
      <c r="E55" s="792"/>
      <c r="F55" s="797"/>
      <c r="I55" s="3115" t="s">
        <v>2357</v>
      </c>
      <c r="J55" s="3114" t="e">
        <f ca="1">ROUND(IF(J47="钢混",J57/J50,1-(1-2%)*(J50-J57)/J50),3)</f>
        <v>#N/A</v>
      </c>
      <c r="K55" s="2393" t="s">
        <v>2358</v>
      </c>
      <c r="L55" s="2394"/>
      <c r="O55" s="2420" t="s">
        <v>2413</v>
      </c>
      <c r="P55" s="1584"/>
      <c r="Q55" s="1596"/>
      <c r="R55" s="1584"/>
    </row>
    <row r="56" spans="1:18" s="2051" customFormat="1" ht="42.75" customHeight="1" thickBot="1">
      <c r="A56" s="1642"/>
      <c r="B56" s="2223" t="s">
        <v>2301</v>
      </c>
      <c r="C56" s="53" t="e">
        <f ca="1">C29</f>
        <v>#N/A</v>
      </c>
      <c r="D56" s="3483"/>
      <c r="E56" s="781"/>
      <c r="F56" s="806"/>
      <c r="I56" s="2395" t="s">
        <v>2359</v>
      </c>
      <c r="J56" s="3138" t="s">
        <v>1679</v>
      </c>
      <c r="K56" s="2375" t="s">
        <v>2364</v>
      </c>
      <c r="L56" s="2384" t="e">
        <f ca="1">IF(L48&lt;J51,"——",L48-J51)</f>
        <v>#N/A</v>
      </c>
      <c r="O56" s="2411" t="s">
        <v>2377</v>
      </c>
      <c r="P56" s="2412" t="s">
        <v>2378</v>
      </c>
      <c r="Q56" s="2413" t="s">
        <v>2379</v>
      </c>
      <c r="R56" s="2412" t="s">
        <v>2380</v>
      </c>
    </row>
    <row r="57" spans="1:18" s="2051" customFormat="1" ht="28.5" customHeight="1" thickBot="1">
      <c r="A57" s="794" t="s">
        <v>7</v>
      </c>
      <c r="B57" s="795" t="s">
        <v>652</v>
      </c>
      <c r="C57" s="796" t="e">
        <f ca="1">ROUND(C58+C63+C64+C65,0)</f>
        <v>#N/A</v>
      </c>
      <c r="D57" s="26" t="s">
        <v>1749</v>
      </c>
      <c r="E57" s="3489"/>
      <c r="F57" s="56"/>
      <c r="I57" s="2396" t="s">
        <v>2360</v>
      </c>
      <c r="J57" s="2398" t="e">
        <f ca="1">IF(OR(M47="住宅",J51&lt;L48,J56="是"),"——",J51-L48)</f>
        <v>#N/A</v>
      </c>
      <c r="K57" s="2375" t="s">
        <v>2365</v>
      </c>
      <c r="L57" s="2384" t="e">
        <f ca="1">IF(L48&lt;J51,"——",IF(L55="比较法",L49,IF(L55="基准地价",L50,L51)))</f>
        <v>#N/A</v>
      </c>
      <c r="O57" s="2414" t="s">
        <v>2381</v>
      </c>
      <c r="P57" s="2415" t="s">
        <v>2407</v>
      </c>
      <c r="Q57" s="2416" t="e">
        <f ca="1">C40+J29</f>
        <v>#N/A</v>
      </c>
      <c r="R57" s="2415" t="s">
        <v>2382</v>
      </c>
    </row>
    <row r="58" spans="1:18" s="2051" customFormat="1" ht="28.5" customHeight="1" thickBot="1">
      <c r="A58" s="1641" t="s">
        <v>1823</v>
      </c>
      <c r="B58" s="781" t="s">
        <v>657</v>
      </c>
      <c r="C58" s="53" t="e">
        <f ca="1">ROUND(IF(项目基本情况!B11="自然人",C47*F58,C59+C60+C61),1)</f>
        <v>#N/A</v>
      </c>
      <c r="D58" s="3484" t="s">
        <v>658</v>
      </c>
      <c r="E58" s="3483" t="s">
        <v>691</v>
      </c>
      <c r="F58" s="807" t="str">
        <f ca="1">IF(项目基本情况!B11="企业","",IF(INDIRECT("'数据-取费表'!c"&amp;$G$1)="住宅",5%,IF(F48*F49*F50/12/(1+'数据-取费表'!C42)&gt;20000,12%,7%)))</f>
        <v/>
      </c>
      <c r="I58" s="2396" t="s">
        <v>2361</v>
      </c>
      <c r="J58" s="3116" t="e">
        <f ca="1">IF(J55&lt;0.4,0.4,J55)</f>
        <v>#N/A</v>
      </c>
      <c r="K58" s="2375" t="s">
        <v>2366</v>
      </c>
      <c r="L58" s="2384" t="e">
        <f ca="1">ROUND(POWER(1+L52,L47-L48)*(POWER(1+L52,L48)-1)/(POWER(1+L52,L47)-1),4)</f>
        <v>#N/A</v>
      </c>
      <c r="O58" s="2414" t="s">
        <v>2383</v>
      </c>
      <c r="P58" s="2415" t="s">
        <v>2414</v>
      </c>
      <c r="Q58" s="2416" t="e">
        <f ca="1">L60</f>
        <v>#N/A</v>
      </c>
      <c r="R58" s="2419" t="s">
        <v>2416</v>
      </c>
    </row>
    <row r="59" spans="1:18" s="2051" customFormat="1" ht="28.5" customHeight="1" thickBot="1">
      <c r="A59" s="1640" t="s">
        <v>1830</v>
      </c>
      <c r="B59" s="781" t="s">
        <v>661</v>
      </c>
      <c r="C59" s="53" t="e">
        <f ca="1">ROUND(C47*F59/1.05,1)</f>
        <v>#N/A</v>
      </c>
      <c r="D59" s="3483" t="s">
        <v>1755</v>
      </c>
      <c r="E59" s="781" t="s">
        <v>1746</v>
      </c>
      <c r="F59" s="806">
        <f t="shared" ref="F59:F65" si="0">F32</f>
        <v>5.6000000000000001E-2</v>
      </c>
      <c r="I59" s="2396" t="s">
        <v>2362</v>
      </c>
      <c r="J59" s="2398"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#N/A</v>
      </c>
      <c r="O59" s="2417" t="s">
        <v>2385</v>
      </c>
      <c r="P59" s="2415" t="s">
        <v>2415</v>
      </c>
      <c r="Q59" s="2416">
        <f>IF(L55="比较法",L49,IF(L55="基准地价",L50,0))</f>
        <v>0</v>
      </c>
      <c r="R59" s="2415" t="s">
        <v>2382</v>
      </c>
    </row>
    <row r="60" spans="1:18" s="2051" customFormat="1" ht="18" customHeight="1" thickBot="1">
      <c r="A60" s="1640" t="s">
        <v>1831</v>
      </c>
      <c r="B60" s="781" t="s">
        <v>1757</v>
      </c>
      <c r="C60" s="53" t="e">
        <f ca="1">IF(D60="按租金收入计税",ROUND(C47*F60,1),IF(D60="按房产原值计税",ROUND(C56*F60*0.7,1),INDIRECT("'数据-取费表'!Aj"&amp;$G$1)))</f>
        <v>#N/A</v>
      </c>
      <c r="D60" s="3483" t="str">
        <f>D33</f>
        <v>按房产原值计税</v>
      </c>
      <c r="E60" s="781" t="s">
        <v>1746</v>
      </c>
      <c r="F60" s="806">
        <f t="shared" si="0"/>
        <v>1.2E-2</v>
      </c>
      <c r="I60" s="2397" t="s">
        <v>2363</v>
      </c>
      <c r="J60" s="2399" t="e">
        <f ca="1">IF(OR(M47="住宅",J51&lt;L48,J56="是"),"0",ROUND(J59/(1+J52)^J53,0))</f>
        <v>#N/A</v>
      </c>
      <c r="K60" s="2400" t="s">
        <v>2368</v>
      </c>
      <c r="L60" s="2399" t="e">
        <f ca="1">IF(OR(M47="住宅",L48&lt;J51),0,ROUND(L57*(L58/L59-1),0))</f>
        <v>#N/A</v>
      </c>
      <c r="O60" s="2417" t="s">
        <v>2386</v>
      </c>
      <c r="P60" s="2415" t="s">
        <v>2395</v>
      </c>
      <c r="Q60" s="2418">
        <f>L52</f>
        <v>0</v>
      </c>
      <c r="R60" s="2419"/>
    </row>
    <row r="61" spans="1:18" s="2051" customFormat="1" ht="18" customHeight="1" thickBot="1">
      <c r="A61" s="1643" t="s">
        <v>1832</v>
      </c>
      <c r="B61" s="339" t="s">
        <v>669</v>
      </c>
      <c r="C61" s="54" t="e">
        <f ca="1">ROUND(F61*F62/10000,1)</f>
        <v>#N/A</v>
      </c>
      <c r="D61" s="811" t="s">
        <v>670</v>
      </c>
      <c r="E61" s="781" t="s">
        <v>671</v>
      </c>
      <c r="F61" s="637">
        <f t="shared" si="0"/>
        <v>14</v>
      </c>
      <c r="K61" s="2078"/>
      <c r="O61" s="2417" t="s">
        <v>2388</v>
      </c>
      <c r="P61" s="2415" t="s">
        <v>2396</v>
      </c>
      <c r="Q61" s="2416" t="e">
        <f ca="1">L58</f>
        <v>#N/A</v>
      </c>
      <c r="R61" s="2419" t="s">
        <v>2397</v>
      </c>
    </row>
    <row r="62" spans="1:18" s="2051" customFormat="1" ht="15.75" thickBot="1">
      <c r="A62" s="812"/>
      <c r="B62" s="790"/>
      <c r="C62" s="69"/>
      <c r="D62" s="813"/>
      <c r="E62" s="781" t="s">
        <v>675</v>
      </c>
      <c r="F62" s="782" t="e">
        <f t="shared" ca="1" si="0"/>
        <v>#N/A</v>
      </c>
      <c r="I62" s="2401" t="s">
        <v>2369</v>
      </c>
      <c r="J62" s="2402" t="s">
        <v>2370</v>
      </c>
      <c r="K62" s="2402" t="s">
        <v>2371</v>
      </c>
      <c r="L62" s="2402" t="s">
        <v>2352</v>
      </c>
      <c r="M62" s="3117" t="s">
        <v>2944</v>
      </c>
      <c r="O62" s="2417" t="s">
        <v>2390</v>
      </c>
      <c r="P62" s="2415" t="str">
        <f>K59</f>
        <v>建设期及建筑物耐用年限下的土地年期修正系数Kn</v>
      </c>
      <c r="Q62" s="2416" t="e">
        <f ca="1">L59</f>
        <v>#N/A</v>
      </c>
      <c r="R62" s="2419" t="s">
        <v>2399</v>
      </c>
    </row>
    <row r="63" spans="1:18" s="2051" customFormat="1" ht="15.75" thickBot="1">
      <c r="A63" s="1641" t="s">
        <v>1888</v>
      </c>
      <c r="B63" s="781" t="s">
        <v>677</v>
      </c>
      <c r="C63" s="53" t="e">
        <f ca="1">ROUND(C56*F63,1)</f>
        <v>#N/A</v>
      </c>
      <c r="D63" s="3483" t="s">
        <v>1802</v>
      </c>
      <c r="E63" s="781" t="s">
        <v>1746</v>
      </c>
      <c r="F63" s="814" t="e">
        <f t="shared" ca="1" si="0"/>
        <v>#N/A</v>
      </c>
      <c r="I63" s="2401" t="s">
        <v>2372</v>
      </c>
      <c r="J63" s="2402">
        <v>70</v>
      </c>
      <c r="K63" s="2402">
        <v>50</v>
      </c>
      <c r="L63" s="2402">
        <v>80</v>
      </c>
      <c r="M63" s="3118">
        <v>0.02</v>
      </c>
      <c r="O63" s="2414" t="s">
        <v>2393</v>
      </c>
      <c r="P63" s="2415" t="s">
        <v>2410</v>
      </c>
      <c r="Q63" s="2416" t="e">
        <f ca="1">Q57+Q58</f>
        <v>#N/A</v>
      </c>
      <c r="R63" s="2419" t="s">
        <v>2394</v>
      </c>
    </row>
    <row r="64" spans="1:18" s="2051" customFormat="1" ht="16.5" thickBot="1">
      <c r="A64" s="1641" t="s">
        <v>1889</v>
      </c>
      <c r="B64" s="781" t="s">
        <v>680</v>
      </c>
      <c r="C64" s="53" t="e">
        <f ca="1">ROUND(C55*F64,1)</f>
        <v>#N/A</v>
      </c>
      <c r="D64" s="3483" t="s">
        <v>681</v>
      </c>
      <c r="E64" s="781" t="s">
        <v>1746</v>
      </c>
      <c r="F64" s="815" t="e">
        <f t="shared" ca="1" si="0"/>
        <v>#N/A</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t="e">
        <f ca="1">ROUND(C47*F65,1)</f>
        <v>#N/A</v>
      </c>
      <c r="D65" s="3483" t="s">
        <v>684</v>
      </c>
      <c r="E65" s="781" t="s">
        <v>1746</v>
      </c>
      <c r="F65" s="791" t="e">
        <f t="shared" ca="1" si="0"/>
        <v>#N/A</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t="e">
        <f ca="1">C47-C57</f>
        <v>#N/A</v>
      </c>
      <c r="D66" s="3484" t="s">
        <v>701</v>
      </c>
      <c r="E66" s="3488"/>
      <c r="F66" s="817"/>
      <c r="K66" s="2078"/>
      <c r="O66" s="2414" t="s">
        <v>2381</v>
      </c>
      <c r="P66" s="2415" t="s">
        <v>2407</v>
      </c>
      <c r="Q66" s="2416" t="e">
        <f ca="1">C40+J29</f>
        <v>#N/A</v>
      </c>
      <c r="R66" s="2415" t="s">
        <v>2382</v>
      </c>
    </row>
    <row r="67" spans="1:18" s="2051" customFormat="1" ht="20.25" thickBot="1">
      <c r="A67" s="778" t="s">
        <v>1779</v>
      </c>
      <c r="B67" s="2224" t="s">
        <v>2302</v>
      </c>
      <c r="C67" s="780" t="e">
        <f ca="1">ROUND(C66*(1-((1+F69)/(1+F67))^F68)/(F67-F69),0)</f>
        <v>#N/A</v>
      </c>
      <c r="D67" s="811" t="s">
        <v>705</v>
      </c>
      <c r="E67" s="781" t="s">
        <v>706</v>
      </c>
      <c r="F67" s="791" t="e">
        <f ca="1">F40</f>
        <v>#N/A</v>
      </c>
      <c r="K67" s="2078"/>
      <c r="O67" s="2414" t="s">
        <v>2383</v>
      </c>
      <c r="P67" s="2415" t="s">
        <v>2414</v>
      </c>
      <c r="Q67" s="2416" t="e">
        <f ca="1">L60</f>
        <v>#N/A</v>
      </c>
      <c r="R67" s="2419" t="s">
        <v>2416</v>
      </c>
    </row>
    <row r="68" spans="1:18" ht="21.75" thickBot="1">
      <c r="A68" s="783"/>
      <c r="B68" s="784"/>
      <c r="C68" s="785"/>
      <c r="D68" s="818" t="s">
        <v>1807</v>
      </c>
      <c r="E68" s="781" t="s">
        <v>1783</v>
      </c>
      <c r="F68" s="819" t="e">
        <f ca="1">F41</f>
        <v>#N/A</v>
      </c>
      <c r="O68" s="2417" t="s">
        <v>2385</v>
      </c>
      <c r="P68" s="2415" t="s">
        <v>2415</v>
      </c>
      <c r="Q68" s="2421" t="e">
        <f ca="1">L51</f>
        <v>#N/A</v>
      </c>
      <c r="R68" s="2422" t="s">
        <v>2418</v>
      </c>
    </row>
    <row r="69" spans="1:18" ht="20.25" thickBot="1">
      <c r="A69" s="787"/>
      <c r="B69" s="788"/>
      <c r="C69" s="789"/>
      <c r="D69" s="813"/>
      <c r="E69" s="781" t="s">
        <v>711</v>
      </c>
      <c r="F69" s="2363"/>
      <c r="O69" s="2417" t="s">
        <v>2386</v>
      </c>
      <c r="P69" s="2423" t="s">
        <v>2400</v>
      </c>
      <c r="Q69" s="2416" t="e">
        <f ca="1">ROUND(Q70-Q71*Q72,0)</f>
        <v>#N/A</v>
      </c>
      <c r="R69" s="2419"/>
    </row>
    <row r="70" spans="1:18" ht="15.75" thickBot="1">
      <c r="A70" s="820" t="s">
        <v>1786</v>
      </c>
      <c r="B70" s="821" t="s">
        <v>1809</v>
      </c>
      <c r="C70" s="822" t="e">
        <f ca="1">ROUND(C67*10000/F70,0)</f>
        <v>#N/A</v>
      </c>
      <c r="D70" s="823" t="s">
        <v>1810</v>
      </c>
      <c r="E70" s="824" t="s">
        <v>1811</v>
      </c>
      <c r="F70" s="825" t="e">
        <f ca="1">F43</f>
        <v>#N/A</v>
      </c>
      <c r="O70" s="2417" t="s">
        <v>2401</v>
      </c>
      <c r="P70" s="2423" t="s">
        <v>2402</v>
      </c>
      <c r="Q70" s="2416" t="e">
        <f ca="1">C39</f>
        <v>#N/A</v>
      </c>
      <c r="R70" s="2415" t="s">
        <v>2382</v>
      </c>
    </row>
    <row r="71" spans="1:18" ht="15.75" thickBot="1">
      <c r="O71" s="2417" t="s">
        <v>2403</v>
      </c>
      <c r="P71" s="2423" t="s">
        <v>2404</v>
      </c>
      <c r="Q71" s="2416" t="e">
        <f ca="1">C13</f>
        <v>#N/A</v>
      </c>
      <c r="R71" s="2415" t="s">
        <v>2382</v>
      </c>
    </row>
    <row r="72" spans="1:18" ht="15.75" thickBot="1">
      <c r="O72" s="2417" t="s">
        <v>2405</v>
      </c>
      <c r="P72" s="2423" t="s">
        <v>2406</v>
      </c>
      <c r="Q72" s="2418" t="e">
        <f ca="1">J36</f>
        <v>#N/A</v>
      </c>
      <c r="R72" s="2419"/>
    </row>
    <row r="73" spans="1:18" ht="15.75" thickBot="1">
      <c r="O73" s="2417" t="s">
        <v>2388</v>
      </c>
      <c r="P73" s="2415" t="s">
        <v>2395</v>
      </c>
      <c r="Q73" s="2418">
        <f>L52</f>
        <v>0</v>
      </c>
      <c r="R73" s="2419"/>
    </row>
    <row r="74" spans="1:18" ht="20.25" thickBot="1">
      <c r="O74" s="2417" t="s">
        <v>2390</v>
      </c>
      <c r="P74" s="2415" t="s">
        <v>2396</v>
      </c>
      <c r="Q74" s="2416" t="e">
        <f ca="1">L58</f>
        <v>#N/A</v>
      </c>
      <c r="R74" s="2419" t="s">
        <v>2397</v>
      </c>
    </row>
    <row r="75" spans="1:18" ht="15.75" thickBot="1">
      <c r="O75" s="2417" t="s">
        <v>2419</v>
      </c>
      <c r="P75" s="2415" t="str">
        <f>K59</f>
        <v>建设期及建筑物耐用年限下的土地年期修正系数Kn</v>
      </c>
      <c r="Q75" s="2416" t="e">
        <f ca="1">L59</f>
        <v>#N/A</v>
      </c>
      <c r="R75" s="2419" t="s">
        <v>2399</v>
      </c>
    </row>
    <row r="76" spans="1:18" ht="15.75" thickBot="1">
      <c r="O76" s="2414" t="s">
        <v>2393</v>
      </c>
      <c r="P76" s="2415" t="s">
        <v>2410</v>
      </c>
      <c r="Q76" s="2416" t="e">
        <f ca="1">Q66+Q67</f>
        <v>#N/A</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1678</v>
      </c>
      <c r="D1" s="3144" t="s">
        <v>3301</v>
      </c>
      <c r="E1" s="2403" t="s">
        <v>2376</v>
      </c>
      <c r="F1" s="2404">
        <f ca="1">J53</f>
        <v>32.76</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0</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0</v>
      </c>
      <c r="D5" s="2512" t="s">
        <v>2464</v>
      </c>
      <c r="E5" s="2506"/>
      <c r="F5" s="2507"/>
      <c r="G5" s="1584"/>
      <c r="H5" s="778">
        <v>1</v>
      </c>
      <c r="I5" s="779" t="s">
        <v>2461</v>
      </c>
      <c r="J5" s="55">
        <f ca="1">J6+J10+J12</f>
        <v>0</v>
      </c>
      <c r="K5" s="2512" t="s">
        <v>2464</v>
      </c>
      <c r="L5" s="2506"/>
      <c r="M5" s="2507"/>
    </row>
    <row r="6" spans="1:33" ht="18" customHeight="1">
      <c r="A6" s="1823" t="s">
        <v>1823</v>
      </c>
      <c r="B6" s="3819" t="s">
        <v>2466</v>
      </c>
      <c r="C6" s="780">
        <f ca="1">ROUND(F6*F8*F7*(1-F9)/10000,0)</f>
        <v>0</v>
      </c>
      <c r="D6" s="2513" t="s">
        <v>2465</v>
      </c>
      <c r="E6" s="781" t="s">
        <v>1737</v>
      </c>
      <c r="F6" s="782">
        <f ca="1">INDIRECT("'数据-取费表'!u"&amp;$G$1)</f>
        <v>0</v>
      </c>
      <c r="G6" s="1584"/>
      <c r="H6" s="2520" t="s">
        <v>1823</v>
      </c>
      <c r="I6" s="3819" t="s">
        <v>2466</v>
      </c>
      <c r="J6" s="780">
        <f ca="1">ROUND(M6*M8*M7*(1-M9)/10000,0)</f>
        <v>0</v>
      </c>
      <c r="K6" s="339" t="s">
        <v>1736</v>
      </c>
      <c r="L6" s="781" t="s">
        <v>1737</v>
      </c>
      <c r="M6" s="782">
        <f ca="1">INDIRECT("'数据-取费表'!z"&amp;$G$1)</f>
        <v>0</v>
      </c>
    </row>
    <row r="7" spans="1:33" ht="18" customHeight="1">
      <c r="A7" s="2516"/>
      <c r="B7" s="3820"/>
      <c r="C7" s="785"/>
      <c r="D7" s="786"/>
      <c r="E7" s="781" t="s">
        <v>1738</v>
      </c>
      <c r="F7" s="782">
        <f ca="1">IF(INDIRECT("'数据-取费表'!ah"&amp;$G$1)="",INDIRECT("'数据-取费表'!k"&amp;$G$1),INDIRECT("'数据-取费表'!ah"&amp;$G$1))</f>
        <v>273359</v>
      </c>
      <c r="G7" s="1584"/>
      <c r="H7" s="2505"/>
      <c r="I7" s="3820"/>
      <c r="J7" s="785"/>
      <c r="K7" s="786"/>
      <c r="L7" s="781" t="s">
        <v>1738</v>
      </c>
      <c r="M7" s="782">
        <f ca="1">F7</f>
        <v>273359</v>
      </c>
    </row>
    <row r="8" spans="1:33" ht="18" customHeight="1">
      <c r="A8" s="2509"/>
      <c r="B8" s="3821"/>
      <c r="C8" s="785"/>
      <c r="D8" s="786"/>
      <c r="E8" s="781" t="s">
        <v>1739</v>
      </c>
      <c r="F8" s="782">
        <f ca="1">INDIRECT("'数据-取费表'!ai"&amp;$G$1)</f>
        <v>0</v>
      </c>
      <c r="G8" s="1584"/>
      <c r="H8" s="2505"/>
      <c r="I8" s="3821"/>
      <c r="J8" s="785"/>
      <c r="K8" s="786"/>
      <c r="L8" s="781" t="s">
        <v>1739</v>
      </c>
      <c r="M8" s="782">
        <f ca="1">INDIRECT("'数据-取费表'!ai"&amp;$G$1)</f>
        <v>0</v>
      </c>
    </row>
    <row r="9" spans="1:33" ht="18" customHeight="1">
      <c r="A9" s="783"/>
      <c r="B9" s="3822"/>
      <c r="C9" s="785"/>
      <c r="D9" s="786"/>
      <c r="E9" s="781" t="s">
        <v>1740</v>
      </c>
      <c r="F9" s="791">
        <f ca="1">INDIRECT("'数据-取费表'!w"&amp;$G$1)</f>
        <v>0</v>
      </c>
      <c r="G9" s="1584"/>
      <c r="H9" s="2521"/>
      <c r="I9" s="3821"/>
      <c r="J9" s="785"/>
      <c r="K9" s="786"/>
      <c r="L9" s="792" t="s">
        <v>1740</v>
      </c>
      <c r="M9" s="793">
        <f ca="1">INDIRECT("'数据-取费表'!ab"&amp;$G$1)</f>
        <v>0</v>
      </c>
    </row>
    <row r="10" spans="1:33" ht="18" customHeight="1">
      <c r="A10" s="1823" t="s">
        <v>1824</v>
      </c>
      <c r="B10" s="2510" t="s">
        <v>2462</v>
      </c>
      <c r="C10" s="796">
        <f ca="1">ROUND(IF(F10="押一",F6*F8*F7/12*F11,IF(F10="押二",F6*F8*F7/12*2*F11,IF(F10="押三",F6*F8*F7/12*3*F11,C11*F11)))/10000,0)</f>
        <v>0</v>
      </c>
      <c r="D10" s="2517" t="s">
        <v>2469</v>
      </c>
      <c r="E10" s="2514" t="s">
        <v>2467</v>
      </c>
      <c r="F10" s="2637" t="s">
        <v>3299</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f ca="1">ROUND(C29*F13,0)</f>
        <v>131865</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1830</v>
      </c>
      <c r="B14" s="781" t="s">
        <v>646</v>
      </c>
      <c r="C14" s="801">
        <f ca="1">INDIRECT("'数据-取费表'!m"&amp;$G$1)+INDIRECT("'数据-取费表'!t"&amp;$G$1)</f>
        <v>84266</v>
      </c>
      <c r="D14" s="3484" t="s">
        <v>1744</v>
      </c>
      <c r="E14" s="3485"/>
      <c r="F14" s="802"/>
      <c r="G14" s="1584"/>
      <c r="H14" s="1641" t="s">
        <v>1823</v>
      </c>
      <c r="I14" s="2223" t="s">
        <v>2829</v>
      </c>
      <c r="J14" s="53">
        <f ca="1">C29</f>
        <v>131865</v>
      </c>
      <c r="K14" s="26"/>
      <c r="L14" s="798"/>
      <c r="M14" s="799"/>
    </row>
    <row r="15" spans="1:33" s="2056" customFormat="1" ht="18" customHeight="1" thickBot="1">
      <c r="A15" s="1640" t="s">
        <v>1831</v>
      </c>
      <c r="B15" s="781" t="s">
        <v>648</v>
      </c>
      <c r="C15" s="53">
        <f ca="1">ROUND(C14*F15,0)</f>
        <v>2528</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1170</v>
      </c>
      <c r="K16" s="1814" t="s">
        <v>1749</v>
      </c>
      <c r="L16" s="3486"/>
      <c r="M16" s="2507"/>
    </row>
    <row r="17" spans="1:33" s="2056" customFormat="1" ht="18" customHeight="1">
      <c r="A17" s="1640" t="s">
        <v>1886</v>
      </c>
      <c r="B17" s="781" t="s">
        <v>654</v>
      </c>
      <c r="C17" s="53">
        <f ca="1">ROUND(F17*(F43+INDIRECT("'数据-取费表'!S"&amp;$G$1))/10000,0)</f>
        <v>4270</v>
      </c>
      <c r="D17" s="781" t="s">
        <v>1750</v>
      </c>
      <c r="E17" s="781" t="s">
        <v>1751</v>
      </c>
      <c r="F17" s="56">
        <f>'数据-取费表'!B35</f>
        <v>150</v>
      </c>
      <c r="G17" s="1585"/>
      <c r="H17" s="1641" t="s">
        <v>1823</v>
      </c>
      <c r="I17" s="781" t="s">
        <v>657</v>
      </c>
      <c r="J17" s="53">
        <f ca="1">ROUND(IF(项目基本情况!B11="自然人",J5*M17,J18+J19+J20),0)</f>
        <v>1170</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1264</v>
      </c>
      <c r="D18" s="781" t="s">
        <v>1745</v>
      </c>
      <c r="E18" s="781" t="s">
        <v>1746</v>
      </c>
      <c r="F18" s="806">
        <f>'数据-取费表'!B36</f>
        <v>1.4999999999999999E-2</v>
      </c>
      <c r="G18" s="1585"/>
      <c r="H18" s="1640" t="s">
        <v>1830</v>
      </c>
      <c r="I18" s="781" t="s">
        <v>1754</v>
      </c>
      <c r="J18" s="53">
        <f ca="1">ROUND(J5*M18/1.05,1)</f>
        <v>0</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f ca="1">SUM(C14:C18)</f>
        <v>92328</v>
      </c>
      <c r="D19" s="259" t="s">
        <v>1756</v>
      </c>
      <c r="E19" s="3489"/>
      <c r="F19" s="56"/>
      <c r="G19" s="1584"/>
      <c r="H19" s="1640" t="s">
        <v>1831</v>
      </c>
      <c r="I19" s="781" t="s">
        <v>1757</v>
      </c>
      <c r="J19" s="53">
        <f ca="1">IF(K19="按租金收入计税",ROUND(J5*M19,1),ROUND(C29*F33*0.7,1))</f>
        <v>1107.7</v>
      </c>
      <c r="K19" s="808" t="s">
        <v>666</v>
      </c>
      <c r="L19" s="781" t="s">
        <v>1746</v>
      </c>
      <c r="M19" s="806">
        <f>IF(K19="按租金收入计税",'数据-取费表'!B51,'数据-取费表'!B50)</f>
        <v>1.2E-2</v>
      </c>
    </row>
    <row r="20" spans="1:33" s="2056" customFormat="1" ht="18" customHeight="1">
      <c r="A20" s="1641" t="s">
        <v>1888</v>
      </c>
      <c r="B20" s="781" t="s">
        <v>667</v>
      </c>
      <c r="C20" s="53">
        <f ca="1">ROUND(C19*F20,0)</f>
        <v>1847</v>
      </c>
      <c r="D20" s="809" t="s">
        <v>1758</v>
      </c>
      <c r="E20" s="781" t="s">
        <v>1746</v>
      </c>
      <c r="F20" s="806">
        <f>'数据-取费表'!B37</f>
        <v>0.02</v>
      </c>
      <c r="G20" s="1585"/>
      <c r="H20" s="1643" t="s">
        <v>1832</v>
      </c>
      <c r="I20" s="339" t="s">
        <v>1759</v>
      </c>
      <c r="J20" s="54">
        <f ca="1">ROUND(M20*M21/10000,0)</f>
        <v>62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0.03</v>
      </c>
      <c r="G21" s="1585"/>
      <c r="H21" s="2522"/>
      <c r="I21" s="790"/>
      <c r="J21" s="69"/>
      <c r="K21" s="813"/>
      <c r="L21" s="781" t="s">
        <v>1765</v>
      </c>
      <c r="M21" s="782">
        <f ca="1">INDIRECT("'数据-取费表'!r"&amp;$G$1)</f>
        <v>44323.45</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f ca="1">ROUND(J14*M22,0)</f>
        <v>0</v>
      </c>
      <c r="K22" s="3483" t="s">
        <v>1768</v>
      </c>
      <c r="L22" s="781" t="s">
        <v>1746</v>
      </c>
      <c r="M22" s="814">
        <f ca="1">INDIRECT("'数据-取费表'!Ak"&amp;$G$1)</f>
        <v>0</v>
      </c>
    </row>
    <row r="23" spans="1:33" s="2056" customFormat="1" ht="18" customHeight="1">
      <c r="A23" s="1640" t="s">
        <v>1830</v>
      </c>
      <c r="B23" s="781" t="s">
        <v>2439</v>
      </c>
      <c r="C23" s="53">
        <f ca="1">ROUND(IF('数据-取费表'!B22&lt;=1,(C19+C20)*F24*F23/2,(C19+C20)*(POWER((1+F24),F23/2)-1)),0)</f>
        <v>6789</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3483" t="s">
        <v>1770</v>
      </c>
      <c r="L23" s="781" t="s">
        <v>1746</v>
      </c>
      <c r="M23" s="815">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2.2000000000000001E-3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f ca="1">J5-J16</f>
        <v>-1170</v>
      </c>
      <c r="K25" s="2564" t="s">
        <v>1776</v>
      </c>
      <c r="L25" s="2565"/>
      <c r="M25" s="2566"/>
    </row>
    <row r="26" spans="1:33" ht="18" customHeight="1">
      <c r="A26" s="1640" t="s">
        <v>1830</v>
      </c>
      <c r="B26" s="781" t="s">
        <v>2440</v>
      </c>
      <c r="C26" s="53">
        <f ca="1">ROUND((C19+C20)*F26,0)</f>
        <v>18835</v>
      </c>
      <c r="D26" s="809" t="s">
        <v>1777</v>
      </c>
      <c r="E26" s="792" t="s">
        <v>1778</v>
      </c>
      <c r="F26" s="791">
        <f ca="1">INDIRECT("'数据-取费表'!q"&amp;$G$1)</f>
        <v>0.2</v>
      </c>
      <c r="G26" s="1584"/>
      <c r="H26" s="2518" t="s">
        <v>1779</v>
      </c>
      <c r="I26" s="2224"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6.0000000000000001E-3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131865</v>
      </c>
      <c r="D29" s="2561"/>
      <c r="E29" s="2562"/>
      <c r="F29" s="2563"/>
      <c r="G29" s="1585"/>
      <c r="H29" s="820" t="s">
        <v>1786</v>
      </c>
      <c r="I29" s="821" t="s">
        <v>1787</v>
      </c>
      <c r="J29" s="822">
        <f ca="1">ROUND(J26/(1+F40)^F41,0)</f>
        <v>0</v>
      </c>
      <c r="K29" s="823" t="s">
        <v>1788</v>
      </c>
      <c r="L29" s="824"/>
      <c r="M29" s="825">
        <f ca="1">INDIRECT("'数据-取费表'!k"&amp;$G$1)</f>
        <v>273359</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f ca="1">ROUND(C31+C36+C37+C38,0)</f>
        <v>1170</v>
      </c>
      <c r="D30" s="1814" t="s">
        <v>1790</v>
      </c>
      <c r="E30" s="3486"/>
      <c r="F30" s="2507"/>
      <c r="G30" s="2054"/>
      <c r="H30" s="2057"/>
      <c r="I30" s="2058"/>
      <c r="J30" s="2059"/>
      <c r="K30" s="2060"/>
      <c r="L30" s="2061"/>
      <c r="M30" s="2062"/>
    </row>
    <row r="31" spans="1:33" ht="18" customHeight="1">
      <c r="A31" s="1641" t="s">
        <v>1823</v>
      </c>
      <c r="B31" s="781" t="s">
        <v>657</v>
      </c>
      <c r="C31" s="53">
        <f ca="1">ROUND(IF(项目基本情况!B11="自然人",C5*F31,C32+C33+C34),1)</f>
        <v>1169.8</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f ca="1">ROUND(C5*F32/1.05,1)</f>
        <v>0</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f ca="1">IF(D33="按租金收入计税",ROUND(C5*F33,1),IF(D33="按房产原值计税",ROUND(C29*F33*0.7,1),INDIRECT("'数据-取费表'!Aj"&amp;$G$1)))</f>
        <v>1107.7</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f ca="1">ROUND(F34*F35/10000,1)</f>
        <v>62.1</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f ca="1">INDIRECT("'数据-取费表'!r"&amp;$G$1)</f>
        <v>44323.45</v>
      </c>
      <c r="G35" s="2054"/>
      <c r="H35" s="2057"/>
      <c r="I35" s="834" t="s">
        <v>1813</v>
      </c>
      <c r="J35" s="835">
        <f ca="1">ROUND(C13*J36,0)</f>
        <v>11209</v>
      </c>
      <c r="K35" s="2070"/>
      <c r="L35" s="2069"/>
      <c r="M35" s="2069"/>
    </row>
    <row r="36" spans="1:18" ht="18" customHeight="1">
      <c r="A36" s="1641" t="s">
        <v>1888</v>
      </c>
      <c r="B36" s="781" t="s">
        <v>1767</v>
      </c>
      <c r="C36" s="53">
        <f ca="1">ROUND(C29*F36,1)</f>
        <v>0</v>
      </c>
      <c r="D36" s="3483" t="s">
        <v>1802</v>
      </c>
      <c r="E36" s="781" t="s">
        <v>1746</v>
      </c>
      <c r="F36" s="814">
        <f ca="1">INDIRECT("'数据-取费表'!Ak"&amp;$G$1)</f>
        <v>0</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0</v>
      </c>
      <c r="D37" s="3483" t="s">
        <v>1770</v>
      </c>
      <c r="E37" s="781" t="s">
        <v>1746</v>
      </c>
      <c r="F37" s="815">
        <f ca="1">INDIRECT("'数据-取费表'!Al"&amp;$G$1)</f>
        <v>0</v>
      </c>
      <c r="G37" s="2054"/>
      <c r="H37" s="2069"/>
      <c r="I37" s="838" t="s">
        <v>1815</v>
      </c>
      <c r="J37" s="839"/>
      <c r="K37" s="2074"/>
      <c r="L37" s="2069"/>
      <c r="M37" s="2069"/>
    </row>
    <row r="38" spans="1:18" ht="18" customHeight="1" thickBot="1">
      <c r="A38" s="2567" t="s">
        <v>1890</v>
      </c>
      <c r="B38" s="2562" t="s">
        <v>667</v>
      </c>
      <c r="C38" s="2560">
        <f ca="1">ROUND(C5*F38,1)</f>
        <v>0</v>
      </c>
      <c r="D38" s="2561" t="s">
        <v>1773</v>
      </c>
      <c r="E38" s="2562" t="s">
        <v>1746</v>
      </c>
      <c r="F38" s="2558">
        <f ca="1">INDIRECT("'数据-取费表'!Am"&amp;$G$1)</f>
        <v>0</v>
      </c>
      <c r="G38" s="2054"/>
      <c r="H38" s="2069"/>
      <c r="I38" s="840" t="s">
        <v>1816</v>
      </c>
      <c r="J38" s="841"/>
      <c r="K38" s="2075"/>
      <c r="L38" s="2069"/>
      <c r="M38" s="2069"/>
    </row>
    <row r="39" spans="1:18" ht="24.6" customHeight="1" thickTop="1">
      <c r="A39" s="1822" t="s">
        <v>1775</v>
      </c>
      <c r="B39" s="3026" t="s">
        <v>2826</v>
      </c>
      <c r="C39" s="789">
        <f ca="1">C5-C30</f>
        <v>-1170</v>
      </c>
      <c r="D39" s="2564" t="s">
        <v>1776</v>
      </c>
      <c r="E39" s="2565"/>
      <c r="F39" s="2566"/>
      <c r="G39" s="2054"/>
      <c r="H39" s="2069"/>
      <c r="I39" s="834" t="s">
        <v>1817</v>
      </c>
      <c r="J39" s="842">
        <f ca="1">ROUND(J35/C39,3)</f>
        <v>-9.58</v>
      </c>
      <c r="K39" s="2075"/>
      <c r="L39" s="2069"/>
      <c r="M39" s="2069"/>
    </row>
    <row r="40" spans="1:18" ht="18" customHeight="1">
      <c r="A40" s="778" t="s">
        <v>1779</v>
      </c>
      <c r="B40" s="2224" t="s">
        <v>2302</v>
      </c>
      <c r="C40" s="780">
        <f ca="1">ROUND(C39*(1-((1+F42)/(1+F40))^F41)/(F40-F42),0)</f>
        <v>0</v>
      </c>
      <c r="D40" s="811" t="s">
        <v>1780</v>
      </c>
      <c r="E40" s="781" t="s">
        <v>2421</v>
      </c>
      <c r="F40" s="791">
        <f ca="1">INDIRECT("'数据-取费表'!I"&amp;$G$1)</f>
        <v>5.5E-2</v>
      </c>
      <c r="G40" s="2054"/>
      <c r="H40" s="2054"/>
      <c r="I40" s="834" t="s">
        <v>1818</v>
      </c>
      <c r="J40" s="842">
        <f ca="1">1-J39</f>
        <v>10.58</v>
      </c>
      <c r="K40" s="2075"/>
      <c r="L40" s="2054"/>
      <c r="M40" s="2054"/>
    </row>
    <row r="41" spans="1:18" ht="18" customHeight="1">
      <c r="A41" s="783"/>
      <c r="B41" s="784"/>
      <c r="C41" s="785"/>
      <c r="D41" s="818" t="s">
        <v>1807</v>
      </c>
      <c r="E41" s="781" t="s">
        <v>1783</v>
      </c>
      <c r="F41" s="819">
        <f ca="1">IF(INDIRECT("'数据-取费表'!af"&amp;$G$1)=0,INDIRECT("'数据-取费表'!ae"&amp;$G$1),INDIRECT("'数据-取费表'!af"&amp;$G$1))</f>
        <v>0</v>
      </c>
      <c r="G41" s="2054"/>
      <c r="H41" s="1980"/>
      <c r="I41" s="840" t="s">
        <v>1819</v>
      </c>
      <c r="J41" s="843"/>
      <c r="K41" s="2074"/>
      <c r="L41" s="1980"/>
      <c r="M41" s="1980"/>
    </row>
    <row r="42" spans="1:18" ht="18" customHeight="1">
      <c r="A42" s="787"/>
      <c r="B42" s="788"/>
      <c r="C42" s="789"/>
      <c r="D42" s="813"/>
      <c r="E42" s="781" t="s">
        <v>1785</v>
      </c>
      <c r="F42" s="791">
        <f ca="1">INDIRECT("'数据-取费表'!v"&amp;$G$1)</f>
        <v>0</v>
      </c>
      <c r="G42" s="2054"/>
      <c r="H42" s="1980"/>
      <c r="I42" s="844" t="s">
        <v>1820</v>
      </c>
      <c r="J42" s="842" t="e">
        <f ca="1">ROUND(C13/C40,3)</f>
        <v>#DIV/0!</v>
      </c>
      <c r="K42" s="2074"/>
      <c r="L42" s="1980"/>
      <c r="M42" s="1980"/>
    </row>
    <row r="43" spans="1:18" ht="18" customHeight="1" thickBot="1">
      <c r="A43" s="820" t="s">
        <v>1786</v>
      </c>
      <c r="B43" s="821" t="s">
        <v>1809</v>
      </c>
      <c r="C43" s="822">
        <f ca="1">ROUND(C40*10000/F43,0)</f>
        <v>0</v>
      </c>
      <c r="D43" s="823" t="s">
        <v>1810</v>
      </c>
      <c r="E43" s="824" t="s">
        <v>1811</v>
      </c>
      <c r="F43" s="825">
        <f ca="1">INDIRECT("'数据-取费表'!k"&amp;$G$1)</f>
        <v>273359</v>
      </c>
      <c r="G43" s="2054"/>
      <c r="H43" s="1980"/>
      <c r="I43" s="844" t="s">
        <v>1821</v>
      </c>
      <c r="J43" s="845"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0</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3302</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35.76</v>
      </c>
      <c r="O48" s="2414" t="s">
        <v>2381</v>
      </c>
      <c r="P48" s="2415" t="s">
        <v>2407</v>
      </c>
      <c r="Q48" s="2416">
        <f ca="1">C40+J29</f>
        <v>0</v>
      </c>
      <c r="R48" s="2415" t="s">
        <v>2382</v>
      </c>
    </row>
    <row r="49" spans="1:18" s="2051" customFormat="1" ht="18" customHeight="1" thickBot="1">
      <c r="A49" s="783"/>
      <c r="B49" s="784"/>
      <c r="C49" s="785"/>
      <c r="D49" s="786"/>
      <c r="E49" s="781" t="s">
        <v>1738</v>
      </c>
      <c r="F49" s="782">
        <f ca="1">F7</f>
        <v>273359</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0</v>
      </c>
      <c r="G50" s="2087"/>
      <c r="H50" s="2085"/>
      <c r="I50" s="2375" t="s">
        <v>2348</v>
      </c>
      <c r="J50" s="2388">
        <f>SUMPRODUCT((I63:I65=J47)*(J62:L62=J48)*(J63:L65))</f>
        <v>60</v>
      </c>
      <c r="K50" s="2386" t="s">
        <v>2355</v>
      </c>
      <c r="L50" s="2387"/>
      <c r="O50" s="2417" t="s">
        <v>2385</v>
      </c>
      <c r="P50" s="2415" t="s">
        <v>2409</v>
      </c>
      <c r="Q50" s="2416">
        <f ca="1">C29</f>
        <v>131865</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f ca="1">ROUND(-PV(INDIRECT("'数据-取费表'!h"&amp;$G$1),L48,(C39-C13*J36),0),0)</f>
        <v>-204322</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32.76</v>
      </c>
      <c r="K53" s="3871" t="s">
        <v>2969</v>
      </c>
      <c r="L53" s="3872"/>
      <c r="O53" s="2417" t="s">
        <v>2390</v>
      </c>
      <c r="P53" s="2415" t="s">
        <v>2391</v>
      </c>
      <c r="Q53" s="2416">
        <f ca="1">J53</f>
        <v>32.76</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0</v>
      </c>
      <c r="R54" s="2419" t="s">
        <v>2394</v>
      </c>
    </row>
    <row r="55" spans="1:18" s="2051" customFormat="1" ht="18" customHeight="1" thickTop="1" thickBot="1">
      <c r="A55" s="794">
        <v>2</v>
      </c>
      <c r="B55" s="795" t="s">
        <v>645</v>
      </c>
      <c r="C55" s="796">
        <f ca="1">C13</f>
        <v>131865</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2301</v>
      </c>
      <c r="C56" s="53">
        <f ca="1">C29</f>
        <v>131865</v>
      </c>
      <c r="D56" s="3483"/>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7</v>
      </c>
      <c r="B57" s="795" t="s">
        <v>652</v>
      </c>
      <c r="C57" s="796">
        <f ca="1">ROUND(C58+C63+C64+C65,0)</f>
        <v>1170</v>
      </c>
      <c r="D57" s="26" t="s">
        <v>1749</v>
      </c>
      <c r="E57" s="3489"/>
      <c r="F57" s="56"/>
      <c r="I57" s="2396" t="s">
        <v>2360</v>
      </c>
      <c r="J57" s="2398" t="str">
        <f ca="1">IF(OR(M47="住宅",J51&lt;L48,J56="是"),"——",J51-L48)</f>
        <v>——</v>
      </c>
      <c r="K57" s="2375" t="s">
        <v>2365</v>
      </c>
      <c r="L57" s="2384" t="str">
        <f ca="1">IF(L48&lt;J51,"——",IF(L55="比较法",L49,IF(L55="基准地价",L50,L51)))</f>
        <v>——</v>
      </c>
      <c r="O57" s="2414" t="s">
        <v>2381</v>
      </c>
      <c r="P57" s="2415" t="s">
        <v>2407</v>
      </c>
      <c r="Q57" s="2416">
        <f ca="1">C40+J29</f>
        <v>0</v>
      </c>
      <c r="R57" s="2415" t="s">
        <v>2382</v>
      </c>
    </row>
    <row r="58" spans="1:18" s="2051" customFormat="1" ht="28.5" customHeight="1" thickBot="1">
      <c r="A58" s="1641" t="s">
        <v>1823</v>
      </c>
      <c r="B58" s="781" t="s">
        <v>657</v>
      </c>
      <c r="C58" s="53">
        <f ca="1">ROUND(IF(项目基本情况!B11="自然人",C47*F58,C59+C60+C61),1)</f>
        <v>1169.8</v>
      </c>
      <c r="D58" s="3484" t="s">
        <v>658</v>
      </c>
      <c r="E58" s="3483"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3483"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1107.7</v>
      </c>
      <c r="D60" s="3483" t="str">
        <f>D33</f>
        <v>按房产原值计税</v>
      </c>
      <c r="E60" s="781" t="s">
        <v>1746</v>
      </c>
      <c r="F60" s="806">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62.1</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44323.45</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0</v>
      </c>
      <c r="D63" s="3483" t="s">
        <v>1802</v>
      </c>
      <c r="E63" s="781" t="s">
        <v>1746</v>
      </c>
      <c r="F63" s="814">
        <f t="shared" ca="1" si="0"/>
        <v>0</v>
      </c>
      <c r="I63" s="2401" t="s">
        <v>2372</v>
      </c>
      <c r="J63" s="2402">
        <v>70</v>
      </c>
      <c r="K63" s="2402">
        <v>50</v>
      </c>
      <c r="L63" s="2402">
        <v>80</v>
      </c>
      <c r="M63" s="3118">
        <v>0.02</v>
      </c>
      <c r="O63" s="2414" t="s">
        <v>2393</v>
      </c>
      <c r="P63" s="2415" t="s">
        <v>2410</v>
      </c>
      <c r="Q63" s="2416">
        <f ca="1">Q57+Q58</f>
        <v>0</v>
      </c>
      <c r="R63" s="2419" t="s">
        <v>2394</v>
      </c>
    </row>
    <row r="64" spans="1:18" s="2051" customFormat="1" ht="16.5" thickBot="1">
      <c r="A64" s="1641" t="s">
        <v>1889</v>
      </c>
      <c r="B64" s="781" t="s">
        <v>680</v>
      </c>
      <c r="C64" s="53">
        <f ca="1">ROUND(C55*F64,1)</f>
        <v>0</v>
      </c>
      <c r="D64" s="3483" t="s">
        <v>681</v>
      </c>
      <c r="E64" s="781" t="s">
        <v>1746</v>
      </c>
      <c r="F64" s="815">
        <f t="shared" ca="1" si="0"/>
        <v>0</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3483" t="s">
        <v>684</v>
      </c>
      <c r="E65" s="781" t="s">
        <v>1746</v>
      </c>
      <c r="F65" s="791">
        <f t="shared" ca="1" si="0"/>
        <v>0</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-1170</v>
      </c>
      <c r="D66" s="3484" t="s">
        <v>701</v>
      </c>
      <c r="E66" s="3488"/>
      <c r="F66" s="817"/>
      <c r="K66" s="2078"/>
      <c r="O66" s="2414" t="s">
        <v>2381</v>
      </c>
      <c r="P66" s="2415" t="s">
        <v>2407</v>
      </c>
      <c r="Q66" s="2416">
        <f ca="1">C40+J29</f>
        <v>0</v>
      </c>
      <c r="R66" s="2415" t="s">
        <v>2382</v>
      </c>
    </row>
    <row r="67" spans="1:18" s="2051" customFormat="1" ht="20.25" thickBot="1">
      <c r="A67" s="778" t="s">
        <v>1779</v>
      </c>
      <c r="B67" s="2224" t="s">
        <v>2302</v>
      </c>
      <c r="C67" s="780">
        <f ca="1">ROUND(C66*(1-((1+F69)/(1+F67))^F68)/(F67-F69),0)</f>
        <v>0</v>
      </c>
      <c r="D67" s="811" t="s">
        <v>705</v>
      </c>
      <c r="E67" s="781" t="s">
        <v>706</v>
      </c>
      <c r="F67" s="791">
        <f ca="1">F40</f>
        <v>5.5E-2</v>
      </c>
      <c r="K67" s="2078"/>
      <c r="O67" s="2414" t="s">
        <v>2383</v>
      </c>
      <c r="P67" s="2415" t="s">
        <v>2414</v>
      </c>
      <c r="Q67" s="2416">
        <f ca="1">L60</f>
        <v>0</v>
      </c>
      <c r="R67" s="2419" t="s">
        <v>2416</v>
      </c>
    </row>
    <row r="68" spans="1:18" ht="21.75" thickBot="1">
      <c r="A68" s="783"/>
      <c r="B68" s="784"/>
      <c r="C68" s="785"/>
      <c r="D68" s="818" t="s">
        <v>1807</v>
      </c>
      <c r="E68" s="781" t="s">
        <v>1783</v>
      </c>
      <c r="F68" s="819">
        <f ca="1">F41</f>
        <v>0</v>
      </c>
      <c r="O68" s="2417" t="s">
        <v>2385</v>
      </c>
      <c r="P68" s="2415" t="s">
        <v>2415</v>
      </c>
      <c r="Q68" s="2421">
        <f ca="1">L51</f>
        <v>-204322</v>
      </c>
      <c r="R68" s="2422" t="s">
        <v>2418</v>
      </c>
    </row>
    <row r="69" spans="1:18" ht="20.25" thickBot="1">
      <c r="A69" s="787"/>
      <c r="B69" s="788"/>
      <c r="C69" s="789"/>
      <c r="D69" s="813"/>
      <c r="E69" s="781" t="s">
        <v>711</v>
      </c>
      <c r="F69" s="2363"/>
      <c r="O69" s="2417" t="s">
        <v>2386</v>
      </c>
      <c r="P69" s="2423" t="s">
        <v>2400</v>
      </c>
      <c r="Q69" s="2416">
        <f ca="1">ROUND(Q70-Q71*Q72,0)</f>
        <v>-12379</v>
      </c>
      <c r="R69" s="2419"/>
    </row>
    <row r="70" spans="1:18" ht="15.75" thickBot="1">
      <c r="A70" s="820" t="s">
        <v>1786</v>
      </c>
      <c r="B70" s="821" t="s">
        <v>1809</v>
      </c>
      <c r="C70" s="822">
        <f ca="1">ROUND(C67*10000/F70,0)</f>
        <v>0</v>
      </c>
      <c r="D70" s="823" t="s">
        <v>1810</v>
      </c>
      <c r="E70" s="824" t="s">
        <v>1811</v>
      </c>
      <c r="F70" s="825">
        <f ca="1">F43</f>
        <v>273359</v>
      </c>
      <c r="O70" s="2417" t="s">
        <v>2401</v>
      </c>
      <c r="P70" s="2423" t="s">
        <v>2402</v>
      </c>
      <c r="Q70" s="2416">
        <f ca="1">C39</f>
        <v>-1170</v>
      </c>
      <c r="R70" s="2415" t="s">
        <v>2382</v>
      </c>
    </row>
    <row r="71" spans="1:18" ht="15.75" thickBot="1">
      <c r="O71" s="2417" t="s">
        <v>2403</v>
      </c>
      <c r="P71" s="2423" t="s">
        <v>2404</v>
      </c>
      <c r="Q71" s="2416">
        <f ca="1">C13</f>
        <v>131865</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0</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4"/>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522</v>
      </c>
      <c r="B4" s="511"/>
      <c r="C4" s="3764" t="s">
        <v>523</v>
      </c>
      <c r="D4" s="3765"/>
      <c r="E4" s="3789" t="s">
        <v>524</v>
      </c>
      <c r="F4" s="3790"/>
      <c r="G4" s="3764" t="s">
        <v>525</v>
      </c>
      <c r="H4" s="3765"/>
      <c r="I4" s="3764" t="s">
        <v>526</v>
      </c>
      <c r="J4" s="3765"/>
      <c r="K4" s="512" t="s">
        <v>527</v>
      </c>
      <c r="L4" s="2125"/>
      <c r="M4" s="2126"/>
      <c r="N4" s="2126"/>
      <c r="O4" s="2126"/>
      <c r="P4" s="3766" t="s">
        <v>528</v>
      </c>
      <c r="Q4" s="3767"/>
      <c r="R4" s="3752" t="s">
        <v>524</v>
      </c>
      <c r="S4" s="3753"/>
      <c r="T4" s="3752" t="s">
        <v>525</v>
      </c>
      <c r="U4" s="3753"/>
      <c r="V4" s="3772" t="s">
        <v>526</v>
      </c>
      <c r="W4" s="3772"/>
      <c r="X4" s="1559"/>
      <c r="Y4" s="3752" t="s">
        <v>528</v>
      </c>
      <c r="Z4" s="3753"/>
      <c r="AA4" s="3747" t="s">
        <v>524</v>
      </c>
      <c r="AB4" s="3748" t="s">
        <v>525</v>
      </c>
      <c r="AC4" s="3747" t="s">
        <v>526</v>
      </c>
    </row>
    <row r="5" spans="1:29" ht="15">
      <c r="A5" s="513"/>
      <c r="B5" s="514"/>
      <c r="C5" s="3775" t="s">
        <v>2929</v>
      </c>
      <c r="D5" s="3776"/>
      <c r="E5" s="3791" t="s">
        <v>2930</v>
      </c>
      <c r="F5" s="3792"/>
      <c r="G5" s="3775" t="s">
        <v>2931</v>
      </c>
      <c r="H5" s="3776"/>
      <c r="I5" s="3775" t="s">
        <v>2932</v>
      </c>
      <c r="J5" s="3776"/>
      <c r="K5" s="512"/>
      <c r="L5" s="2125"/>
      <c r="M5" s="2126"/>
      <c r="N5" s="2126"/>
      <c r="O5" s="2126"/>
      <c r="P5" s="3768"/>
      <c r="Q5" s="3769"/>
      <c r="R5" s="3754"/>
      <c r="S5" s="3755"/>
      <c r="T5" s="3754"/>
      <c r="U5" s="3755"/>
      <c r="V5" s="3772"/>
      <c r="W5" s="3772"/>
      <c r="X5" s="1559"/>
      <c r="Y5" s="3754"/>
      <c r="Z5" s="3755"/>
      <c r="AA5" s="3748"/>
      <c r="AB5" s="3748"/>
      <c r="AC5" s="3748"/>
    </row>
    <row r="6" spans="1:29" ht="15.75" thickBot="1">
      <c r="A6" s="515"/>
      <c r="B6" s="516"/>
      <c r="C6" s="3773" t="s">
        <v>2933</v>
      </c>
      <c r="D6" s="3774"/>
      <c r="E6" s="3793" t="s">
        <v>2933</v>
      </c>
      <c r="F6" s="3794"/>
      <c r="G6" s="3773" t="s">
        <v>2933</v>
      </c>
      <c r="H6" s="3774"/>
      <c r="I6" s="3773" t="s">
        <v>2933</v>
      </c>
      <c r="J6" s="3774"/>
      <c r="K6" s="512" t="s">
        <v>529</v>
      </c>
      <c r="L6" s="2125"/>
      <c r="M6" s="2126"/>
      <c r="N6" s="2126"/>
      <c r="O6" s="2126"/>
      <c r="P6" s="3770"/>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c r="F7" s="520">
        <f>SUMIF(52:52,YEAR(E7)&amp;"-"&amp;MONTH(E7),53:53)</f>
        <v>0</v>
      </c>
      <c r="G7" s="519"/>
      <c r="H7" s="518">
        <f>SUMIF(52:52,YEAR(G7)&amp;"-"&amp;MONTH(G7),53:53)</f>
        <v>0</v>
      </c>
      <c r="I7" s="519"/>
      <c r="J7" s="518">
        <f>SUMIF(52:52,YEAR(I7)&amp;"-"&amp;MONTH(I7),53:53)</f>
        <v>0</v>
      </c>
      <c r="K7" s="522"/>
      <c r="L7" s="2127"/>
      <c r="M7" s="2128"/>
      <c r="N7" s="2128"/>
      <c r="O7" s="2128"/>
      <c r="P7" s="3750" t="s">
        <v>531</v>
      </c>
      <c r="Q7" s="3759"/>
      <c r="R7" s="1560" t="s">
        <v>8</v>
      </c>
      <c r="S7" s="1561">
        <f t="shared" ref="S7:S15" si="0">F7</f>
        <v>0</v>
      </c>
      <c r="T7" s="1560" t="s">
        <v>8</v>
      </c>
      <c r="U7" s="1561">
        <f t="shared" ref="U7:U15" si="1">H7</f>
        <v>0</v>
      </c>
      <c r="V7" s="1560" t="s">
        <v>8</v>
      </c>
      <c r="W7" s="1561">
        <f t="shared" ref="W7:W15" si="2">J7</f>
        <v>0</v>
      </c>
      <c r="X7" s="1562"/>
      <c r="Y7" s="3750" t="s">
        <v>531</v>
      </c>
      <c r="Z7" s="3751"/>
      <c r="AA7" s="1563" t="e">
        <f>D7/F7</f>
        <v>#DIV/0!</v>
      </c>
      <c r="AB7" s="1563" t="e">
        <f>D7/H7</f>
        <v>#DIV/0!</v>
      </c>
      <c r="AC7" s="1563" t="e">
        <f>D7/J7</f>
        <v>#DIV/0!</v>
      </c>
    </row>
    <row r="8" spans="1:29" s="1213" customFormat="1" ht="15.75" thickBot="1">
      <c r="A8" s="2929"/>
      <c r="B8" s="2936" t="s">
        <v>532</v>
      </c>
      <c r="C8" s="523" t="s">
        <v>577</v>
      </c>
      <c r="D8" s="518">
        <v>100</v>
      </c>
      <c r="E8" s="523"/>
      <c r="F8" s="520">
        <f>SUMIF(55:55,E8,56:56)-SUMIF(55:55,C8,56:56)+100</f>
        <v>0</v>
      </c>
      <c r="G8" s="523"/>
      <c r="H8" s="518">
        <f>SUMIF(55:55,G8,56:56)-SUMIF(55:55,C8,56:56)+100</f>
        <v>0</v>
      </c>
      <c r="I8" s="523"/>
      <c r="J8" s="518">
        <f>SUMIF(55:55,I8,56:56)-SUMIF(55:55,C8,56:56)+100</f>
        <v>0</v>
      </c>
      <c r="K8" s="522"/>
      <c r="L8" s="2127"/>
      <c r="M8" s="2128"/>
      <c r="N8" s="2128"/>
      <c r="O8" s="2128"/>
      <c r="P8" s="3750" t="s">
        <v>534</v>
      </c>
      <c r="Q8" s="3751"/>
      <c r="R8" s="1560" t="s">
        <v>8</v>
      </c>
      <c r="S8" s="1561">
        <f t="shared" si="0"/>
        <v>0</v>
      </c>
      <c r="T8" s="1560" t="s">
        <v>8</v>
      </c>
      <c r="U8" s="1561">
        <f t="shared" si="1"/>
        <v>0</v>
      </c>
      <c r="V8" s="1560" t="s">
        <v>8</v>
      </c>
      <c r="W8" s="1561">
        <f t="shared" si="2"/>
        <v>0</v>
      </c>
      <c r="X8" s="1562"/>
      <c r="Y8" s="3750" t="s">
        <v>534</v>
      </c>
      <c r="Z8" s="3751"/>
      <c r="AA8" s="1563" t="e">
        <f t="shared" ref="AA8:AA40" si="3">D8/F8</f>
        <v>#DIV/0!</v>
      </c>
      <c r="AB8" s="1563" t="e">
        <f t="shared" ref="AB8:AB40" si="4">D8/H8</f>
        <v>#DIV/0!</v>
      </c>
      <c r="AC8" s="1563" t="e">
        <f t="shared" ref="AC8:AC40" si="5">D8/J8</f>
        <v>#DIV/0!</v>
      </c>
    </row>
    <row r="9" spans="1:29" s="1213" customFormat="1" ht="15">
      <c r="A9" s="2930"/>
      <c r="B9" s="2937" t="s">
        <v>2760</v>
      </c>
      <c r="C9" s="854"/>
      <c r="D9" s="252">
        <v>100</v>
      </c>
      <c r="E9" s="857"/>
      <c r="F9" s="252">
        <f>SUMIF(57:57,E9,58:58)-SUMIF(57:57,C9,58:58)+100</f>
        <v>100</v>
      </c>
      <c r="G9" s="855"/>
      <c r="H9" s="252">
        <f>SUMIF(57:57,G9,58:58)-SUMIF(57:57,C9,58:58)+100</f>
        <v>100</v>
      </c>
      <c r="I9" s="855"/>
      <c r="J9" s="252">
        <f>SUMIF(57:57,I9,58:58)-SUMIF(57:57,C9,58:58)+100</f>
        <v>100</v>
      </c>
      <c r="K9" s="522"/>
      <c r="L9" s="2127"/>
      <c r="M9" s="2128"/>
      <c r="N9" s="2128"/>
      <c r="O9" s="2129"/>
      <c r="P9" s="3758" t="s">
        <v>536</v>
      </c>
      <c r="Q9" s="1144" t="str">
        <f t="shared" ref="Q9:Q15" si="6">B9</f>
        <v>用途</v>
      </c>
      <c r="R9" s="1560" t="s">
        <v>8</v>
      </c>
      <c r="S9" s="1561">
        <f t="shared" si="0"/>
        <v>100</v>
      </c>
      <c r="T9" s="1560" t="s">
        <v>8</v>
      </c>
      <c r="U9" s="1561">
        <f t="shared" si="1"/>
        <v>100</v>
      </c>
      <c r="V9" s="1560" t="s">
        <v>8</v>
      </c>
      <c r="W9" s="1561">
        <f t="shared" si="2"/>
        <v>100</v>
      </c>
      <c r="X9" s="1562"/>
      <c r="Y9" s="3715" t="s">
        <v>537</v>
      </c>
      <c r="Z9" s="1143" t="str">
        <f t="shared" ref="Z9:Z15" si="7">Q9</f>
        <v>用途</v>
      </c>
      <c r="AA9" s="1563">
        <f t="shared" si="3"/>
        <v>1</v>
      </c>
      <c r="AB9" s="1563">
        <f t="shared" si="4"/>
        <v>1</v>
      </c>
      <c r="AC9" s="1563">
        <f t="shared" si="5"/>
        <v>1</v>
      </c>
    </row>
    <row r="10" spans="1:29" s="1331" customFormat="1" ht="27">
      <c r="A10" s="2931"/>
      <c r="B10" s="2936" t="s">
        <v>2761</v>
      </c>
      <c r="C10" s="858"/>
      <c r="D10" s="253">
        <v>100</v>
      </c>
      <c r="E10" s="858"/>
      <c r="F10" s="253">
        <f>SUMIF(59:59,E10,60:60)-SUMIF(59:59,C10,60:60)+100</f>
        <v>100</v>
      </c>
      <c r="G10" s="859"/>
      <c r="H10" s="253">
        <f>SUMIF(59:59,G10,60:60)-SUMIF(59:59,C10,60:60)+100</f>
        <v>100</v>
      </c>
      <c r="I10" s="858"/>
      <c r="J10" s="253">
        <f>SUMIF(59:59,I10,60:60)-SUMIF(59:59,C10,60:60)+100</f>
        <v>100</v>
      </c>
      <c r="K10" s="581"/>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2"/>
      <c r="M11" s="2126"/>
      <c r="N11" s="2126"/>
      <c r="O11" s="2133"/>
      <c r="P11" s="3758"/>
      <c r="Q11" s="1144" t="str">
        <f t="shared" si="6"/>
        <v>容积率</v>
      </c>
      <c r="R11" s="1560" t="s">
        <v>8</v>
      </c>
      <c r="S11" s="1561" t="e">
        <f t="shared" si="0"/>
        <v>#N/A</v>
      </c>
      <c r="T11" s="1560" t="s">
        <v>8</v>
      </c>
      <c r="U11" s="1561" t="e">
        <f t="shared" si="1"/>
        <v>#N/A</v>
      </c>
      <c r="V11" s="1560" t="s">
        <v>8</v>
      </c>
      <c r="W11" s="1561" t="e">
        <f t="shared" si="2"/>
        <v>#N/A</v>
      </c>
      <c r="X11" s="1562"/>
      <c r="Y11" s="3715"/>
      <c r="Z11" s="1143" t="str">
        <f t="shared" si="7"/>
        <v>容积率</v>
      </c>
      <c r="AA11" s="1563" t="e">
        <f t="shared" si="3"/>
        <v>#N/A</v>
      </c>
      <c r="AB11" s="1563" t="e">
        <f t="shared" si="4"/>
        <v>#N/A</v>
      </c>
      <c r="AC11" s="1563" t="e">
        <f t="shared" si="5"/>
        <v>#N/A</v>
      </c>
    </row>
    <row r="12" spans="1:29" s="1213" customFormat="1" ht="15">
      <c r="A12" s="2933"/>
      <c r="B12" s="2939">
        <v>111</v>
      </c>
      <c r="C12" s="526"/>
      <c r="D12" s="536">
        <v>100</v>
      </c>
      <c r="E12" s="537"/>
      <c r="F12" s="253">
        <f>SUMIF(64:64,E12,65:65)-SUMIF(64:64,C12,65:65)+100</f>
        <v>100</v>
      </c>
      <c r="G12" s="913"/>
      <c r="H12" s="253">
        <f>SUMIF(64:64,G12,65:65)-SUMIF(64:64,C12,65:65)+100</f>
        <v>100</v>
      </c>
      <c r="I12" s="875"/>
      <c r="J12" s="253">
        <f>SUMIF(64:64,I12,65:65)-SUMIF(64:64,C12,65:65)+100</f>
        <v>100</v>
      </c>
      <c r="K12" s="578"/>
      <c r="L12" s="2127"/>
      <c r="M12" s="2128"/>
      <c r="N12" s="2128"/>
      <c r="O12" s="2129"/>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
      <c r="A13" s="2933"/>
      <c r="B13" s="2939">
        <v>111</v>
      </c>
      <c r="C13" s="537"/>
      <c r="D13" s="538">
        <v>100</v>
      </c>
      <c r="E13" s="537"/>
      <c r="F13" s="253">
        <f>SUMIF(66:66,E13,67:67)-SUMIF(66:66,C13,67:67)+100</f>
        <v>100</v>
      </c>
      <c r="G13" s="913"/>
      <c r="H13" s="538">
        <f>SUMIF(66:66,G13,67:67)-SUMIF(66:66,C13,67:67)+100</f>
        <v>100</v>
      </c>
      <c r="I13" s="875"/>
      <c r="J13" s="538">
        <f>SUMIF(66:66,I13,67:67)-SUMIF(66:66,C13,67:67)+100</f>
        <v>100</v>
      </c>
      <c r="K13" s="578"/>
      <c r="L13" s="2134"/>
      <c r="M13" s="2126"/>
      <c r="N13" s="2126"/>
      <c r="O13" s="2133"/>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5.75" thickBot="1">
      <c r="A14" s="2934"/>
      <c r="B14" s="2940">
        <v>111</v>
      </c>
      <c r="C14" s="543"/>
      <c r="D14" s="544">
        <v>100</v>
      </c>
      <c r="E14" s="543"/>
      <c r="F14" s="544">
        <f>SUMIF(68:68,E14,69:69)-SUMIF(68:68,C14,69:69)+100</f>
        <v>100</v>
      </c>
      <c r="G14" s="913"/>
      <c r="H14" s="544">
        <f>SUMIF(68:68,G14,69:69)-SUMIF(68:68,C14,69:69)+100</f>
        <v>100</v>
      </c>
      <c r="I14" s="875"/>
      <c r="J14" s="544">
        <f>SUMIF(68:68,I14,69:69)-SUMIF(68:68,C14,69:69)+100</f>
        <v>100</v>
      </c>
      <c r="K14" s="578"/>
      <c r="L14" s="2134"/>
      <c r="M14" s="2126"/>
      <c r="N14" s="2126"/>
      <c r="O14" s="2133"/>
      <c r="P14" s="3758"/>
      <c r="Q14" s="1144">
        <f t="shared" si="6"/>
        <v>111</v>
      </c>
      <c r="R14" s="1560" t="s">
        <v>8</v>
      </c>
      <c r="S14" s="1561">
        <f t="shared" si="0"/>
        <v>100</v>
      </c>
      <c r="T14" s="1560" t="s">
        <v>8</v>
      </c>
      <c r="U14" s="1561">
        <f t="shared" si="1"/>
        <v>100</v>
      </c>
      <c r="V14" s="1560" t="s">
        <v>8</v>
      </c>
      <c r="W14" s="1561">
        <f t="shared" si="2"/>
        <v>100</v>
      </c>
      <c r="X14" s="1562"/>
      <c r="Y14" s="3715"/>
      <c r="Z14" s="1143">
        <f t="shared" si="7"/>
        <v>111</v>
      </c>
      <c r="AA14" s="1563">
        <f t="shared" si="3"/>
        <v>1</v>
      </c>
      <c r="AB14" s="1563">
        <f t="shared" si="4"/>
        <v>1</v>
      </c>
      <c r="AC14" s="1563">
        <f t="shared" si="5"/>
        <v>1</v>
      </c>
    </row>
    <row r="15" spans="1:29" ht="57">
      <c r="A15" s="2926"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4"/>
      <c r="M15" s="2126"/>
      <c r="N15" s="2126"/>
      <c r="O15" s="2133"/>
      <c r="P15" s="3760" t="s">
        <v>541</v>
      </c>
      <c r="Q15" s="1564" t="str">
        <f t="shared" si="6"/>
        <v>产业集聚程度</v>
      </c>
      <c r="R15" s="1565" t="s">
        <v>8</v>
      </c>
      <c r="S15" s="1566">
        <f t="shared" si="0"/>
        <v>100</v>
      </c>
      <c r="T15" s="1565" t="s">
        <v>8</v>
      </c>
      <c r="U15" s="1566">
        <f t="shared" si="1"/>
        <v>100</v>
      </c>
      <c r="V15" s="1565" t="s">
        <v>8</v>
      </c>
      <c r="W15" s="1566">
        <f t="shared" si="2"/>
        <v>100</v>
      </c>
      <c r="X15" s="1559"/>
      <c r="Y15" s="3760"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4"/>
      <c r="M16" s="2126"/>
      <c r="N16" s="2126"/>
      <c r="O16" s="2133"/>
      <c r="P16" s="3761"/>
      <c r="Q16" s="1564"/>
      <c r="R16" s="1565"/>
      <c r="S16" s="1566"/>
      <c r="T16" s="1565"/>
      <c r="U16" s="1566"/>
      <c r="V16" s="1565"/>
      <c r="W16" s="1566"/>
      <c r="X16" s="1559"/>
      <c r="Y16" s="3761"/>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4"/>
      <c r="M17" s="2126"/>
      <c r="N17" s="2126"/>
      <c r="O17" s="2133"/>
      <c r="P17" s="3761"/>
      <c r="Q17" s="1564" t="str">
        <f>B17</f>
        <v>交通便捷度</v>
      </c>
      <c r="R17" s="1565" t="s">
        <v>8</v>
      </c>
      <c r="S17" s="1566">
        <f>F17</f>
        <v>100</v>
      </c>
      <c r="T17" s="1565" t="s">
        <v>8</v>
      </c>
      <c r="U17" s="1566">
        <f>H17</f>
        <v>100</v>
      </c>
      <c r="V17" s="1565" t="s">
        <v>8</v>
      </c>
      <c r="W17" s="1566">
        <f>J17</f>
        <v>100</v>
      </c>
      <c r="X17" s="1559"/>
      <c r="Y17" s="3761"/>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4"/>
      <c r="M18" s="2126"/>
      <c r="N18" s="2126"/>
      <c r="O18" s="2133"/>
      <c r="P18" s="3761"/>
      <c r="Q18" s="1564"/>
      <c r="R18" s="1565"/>
      <c r="S18" s="1566"/>
      <c r="T18" s="1565"/>
      <c r="U18" s="1566"/>
      <c r="V18" s="1565"/>
      <c r="W18" s="1566"/>
      <c r="X18" s="1559"/>
      <c r="Y18" s="3761"/>
      <c r="Z18" s="1567"/>
      <c r="AA18" s="1568">
        <v>1</v>
      </c>
      <c r="AB18" s="1568">
        <v>1</v>
      </c>
      <c r="AC18" s="1568">
        <v>1</v>
      </c>
    </row>
    <row r="19" spans="1:29" ht="42.75">
      <c r="A19" s="530"/>
      <c r="B19" s="2619"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4"/>
      <c r="M19" s="2126"/>
      <c r="N19" s="2126"/>
      <c r="O19" s="2133"/>
      <c r="P19" s="3761"/>
      <c r="Q19" s="1564" t="str">
        <f>B19</f>
        <v>公共配套设施</v>
      </c>
      <c r="R19" s="1565" t="s">
        <v>8</v>
      </c>
      <c r="S19" s="1566">
        <f>F19</f>
        <v>100</v>
      </c>
      <c r="T19" s="1565" t="s">
        <v>8</v>
      </c>
      <c r="U19" s="1566">
        <f>H19</f>
        <v>100</v>
      </c>
      <c r="V19" s="1565" t="s">
        <v>8</v>
      </c>
      <c r="W19" s="1566">
        <f>J19</f>
        <v>100</v>
      </c>
      <c r="X19" s="1559"/>
      <c r="Y19" s="3761"/>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4"/>
      <c r="M20" s="2126"/>
      <c r="N20" s="2126"/>
      <c r="O20" s="2133"/>
      <c r="P20" s="3761"/>
      <c r="Q20" s="1564"/>
      <c r="R20" s="1565"/>
      <c r="S20" s="1566"/>
      <c r="T20" s="1565"/>
      <c r="U20" s="1566"/>
      <c r="V20" s="1565"/>
      <c r="W20" s="1566"/>
      <c r="X20" s="1559"/>
      <c r="Y20" s="3761"/>
      <c r="Z20" s="1567"/>
      <c r="AA20" s="1568">
        <v>1</v>
      </c>
      <c r="AB20" s="1568">
        <v>1</v>
      </c>
      <c r="AC20" s="1568">
        <v>1</v>
      </c>
    </row>
    <row r="21" spans="1:29" ht="28.5">
      <c r="A21" s="530"/>
      <c r="B21" s="2607"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4"/>
      <c r="M21" s="2126"/>
      <c r="N21" s="2126"/>
      <c r="O21" s="2133"/>
      <c r="P21" s="3761"/>
      <c r="Q21" s="2595" t="str">
        <f>B21</f>
        <v>基础设施水平</v>
      </c>
      <c r="R21" s="1565" t="s">
        <v>8</v>
      </c>
      <c r="S21" s="1566">
        <f>F21</f>
        <v>100</v>
      </c>
      <c r="T21" s="1565" t="s">
        <v>8</v>
      </c>
      <c r="U21" s="1566">
        <f>H21</f>
        <v>100</v>
      </c>
      <c r="V21" s="1565" t="s">
        <v>8</v>
      </c>
      <c r="W21" s="1566">
        <f>J21</f>
        <v>100</v>
      </c>
      <c r="X21" s="2597"/>
      <c r="Y21" s="3761"/>
      <c r="Z21" s="2596"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8"/>
      <c r="L22" s="2134"/>
      <c r="M22" s="2126"/>
      <c r="N22" s="2126"/>
      <c r="O22" s="2133"/>
      <c r="P22" s="3761"/>
      <c r="Q22" s="2595"/>
      <c r="R22" s="1565"/>
      <c r="S22" s="1566"/>
      <c r="T22" s="1565"/>
      <c r="U22" s="1566"/>
      <c r="V22" s="1565"/>
      <c r="W22" s="1566"/>
      <c r="X22" s="2597"/>
      <c r="Y22" s="3761"/>
      <c r="Z22" s="2596"/>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4"/>
      <c r="M23" s="2126"/>
      <c r="N23" s="2126"/>
      <c r="O23" s="2133"/>
      <c r="P23" s="3761"/>
      <c r="Q23" s="1564" t="str">
        <f>B23</f>
        <v>环境质量</v>
      </c>
      <c r="R23" s="1565" t="s">
        <v>8</v>
      </c>
      <c r="S23" s="1566">
        <f>F23</f>
        <v>100</v>
      </c>
      <c r="T23" s="1565" t="s">
        <v>8</v>
      </c>
      <c r="U23" s="1566">
        <f>H23</f>
        <v>100</v>
      </c>
      <c r="V23" s="1565" t="s">
        <v>8</v>
      </c>
      <c r="W23" s="1566">
        <f>J23</f>
        <v>100</v>
      </c>
      <c r="X23" s="1559"/>
      <c r="Y23" s="3761"/>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4"/>
      <c r="M24" s="2126"/>
      <c r="N24" s="2126"/>
      <c r="O24" s="2133"/>
      <c r="P24" s="3761"/>
      <c r="Q24" s="1564"/>
      <c r="R24" s="1565"/>
      <c r="S24" s="1566"/>
      <c r="T24" s="1565"/>
      <c r="U24" s="1566"/>
      <c r="V24" s="1565"/>
      <c r="W24" s="1566"/>
      <c r="X24" s="1559"/>
      <c r="Y24" s="3761"/>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4"/>
      <c r="M25" s="2126"/>
      <c r="N25" s="2126"/>
      <c r="O25" s="2133"/>
      <c r="P25" s="3761"/>
      <c r="Q25" s="1564">
        <f>B25</f>
        <v>111</v>
      </c>
      <c r="R25" s="1565" t="s">
        <v>8</v>
      </c>
      <c r="S25" s="1566">
        <f>F25</f>
        <v>100</v>
      </c>
      <c r="T25" s="1565" t="s">
        <v>8</v>
      </c>
      <c r="U25" s="1566">
        <f>H25</f>
        <v>100</v>
      </c>
      <c r="V25" s="1565" t="s">
        <v>8</v>
      </c>
      <c r="W25" s="1566">
        <f>J25</f>
        <v>100</v>
      </c>
      <c r="X25" s="1559"/>
      <c r="Y25" s="3761"/>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4"/>
      <c r="M26" s="2126"/>
      <c r="N26" s="2126"/>
      <c r="O26" s="2133"/>
      <c r="P26" s="3761"/>
      <c r="Q26" s="1564">
        <f t="shared" ref="Q26:Q40" si="11">B26</f>
        <v>111</v>
      </c>
      <c r="R26" s="1565" t="s">
        <v>8</v>
      </c>
      <c r="S26" s="1566">
        <f>F26</f>
        <v>100</v>
      </c>
      <c r="T26" s="1565" t="s">
        <v>8</v>
      </c>
      <c r="U26" s="1566">
        <f>H26</f>
        <v>100</v>
      </c>
      <c r="V26" s="1565" t="s">
        <v>8</v>
      </c>
      <c r="W26" s="1566">
        <f>J26</f>
        <v>100</v>
      </c>
      <c r="X26" s="1559"/>
      <c r="Y26" s="3761"/>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7"/>
      <c r="M27" s="2128"/>
      <c r="N27" s="2128"/>
      <c r="O27" s="2129"/>
      <c r="P27" s="3761"/>
      <c r="Q27" s="1144">
        <f t="shared" si="11"/>
        <v>111</v>
      </c>
      <c r="R27" s="1560" t="s">
        <v>8</v>
      </c>
      <c r="S27" s="1561">
        <f>F27</f>
        <v>100</v>
      </c>
      <c r="T27" s="1560" t="s">
        <v>8</v>
      </c>
      <c r="U27" s="1561">
        <f>H27</f>
        <v>100</v>
      </c>
      <c r="V27" s="1560" t="s">
        <v>8</v>
      </c>
      <c r="W27" s="1561">
        <f>J27</f>
        <v>100</v>
      </c>
      <c r="X27" s="1562"/>
      <c r="Y27" s="3761"/>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4"/>
      <c r="M28" s="2126"/>
      <c r="N28" s="2126"/>
      <c r="O28" s="2133"/>
      <c r="P28" s="3761"/>
      <c r="Q28" s="1564">
        <f t="shared" si="11"/>
        <v>111</v>
      </c>
      <c r="R28" s="1565" t="s">
        <v>8</v>
      </c>
      <c r="S28" s="1566">
        <f t="shared" ref="S28:S40" si="12">F28</f>
        <v>100</v>
      </c>
      <c r="T28" s="1565" t="s">
        <v>8</v>
      </c>
      <c r="U28" s="1566">
        <f t="shared" ref="U28:U40" si="13">H28</f>
        <v>100</v>
      </c>
      <c r="V28" s="1565" t="s">
        <v>8</v>
      </c>
      <c r="W28" s="1566">
        <f t="shared" ref="W28:W40" si="14">J28</f>
        <v>100</v>
      </c>
      <c r="X28" s="1559"/>
      <c r="Y28" s="3761"/>
      <c r="Z28" s="1567">
        <f t="shared" ref="Z28:Z40" si="15">Q28</f>
        <v>111</v>
      </c>
      <c r="AA28" s="1568">
        <f t="shared" si="3"/>
        <v>1</v>
      </c>
      <c r="AB28" s="1568">
        <f t="shared" si="4"/>
        <v>1</v>
      </c>
      <c r="AC28" s="1568">
        <f t="shared" si="5"/>
        <v>1</v>
      </c>
    </row>
    <row r="29" spans="1:29" ht="15">
      <c r="A29" s="2924"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4"/>
      <c r="M29" s="2126"/>
      <c r="N29" s="2126"/>
      <c r="O29" s="2133"/>
      <c r="P29" s="3762" t="s">
        <v>551</v>
      </c>
      <c r="Q29" s="1564" t="str">
        <f t="shared" si="11"/>
        <v>建筑类型</v>
      </c>
      <c r="R29" s="1565" t="s">
        <v>8</v>
      </c>
      <c r="S29" s="1566">
        <f t="shared" si="12"/>
        <v>100</v>
      </c>
      <c r="T29" s="1565" t="s">
        <v>8</v>
      </c>
      <c r="U29" s="1566">
        <f t="shared" si="13"/>
        <v>100</v>
      </c>
      <c r="V29" s="1565" t="s">
        <v>8</v>
      </c>
      <c r="W29" s="1566">
        <f t="shared" si="14"/>
        <v>100</v>
      </c>
      <c r="X29" s="1559"/>
      <c r="Y29" s="3763"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2"/>
      <c r="M30" s="2163"/>
      <c r="N30" s="2163"/>
      <c r="O30" s="2135"/>
      <c r="P30" s="3763"/>
      <c r="Q30" s="1597" t="str">
        <f t="shared" si="11"/>
        <v>项目建筑规模</v>
      </c>
      <c r="R30" s="1569" t="s">
        <v>8</v>
      </c>
      <c r="S30" s="1570" t="e">
        <f t="shared" si="12"/>
        <v>#N/A</v>
      </c>
      <c r="T30" s="1569" t="s">
        <v>8</v>
      </c>
      <c r="U30" s="1570" t="e">
        <f t="shared" si="13"/>
        <v>#N/A</v>
      </c>
      <c r="V30" s="1569" t="s">
        <v>8</v>
      </c>
      <c r="W30" s="1570" t="e">
        <f t="shared" si="14"/>
        <v>#N/A</v>
      </c>
      <c r="X30" s="1571"/>
      <c r="Y30" s="3763"/>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4"/>
      <c r="M31" s="2126"/>
      <c r="N31" s="2126"/>
      <c r="O31" s="2133"/>
      <c r="P31" s="3763"/>
      <c r="Q31" s="1564" t="str">
        <f t="shared" si="11"/>
        <v>建筑结构</v>
      </c>
      <c r="R31" s="1565" t="s">
        <v>8</v>
      </c>
      <c r="S31" s="1566">
        <f t="shared" si="12"/>
        <v>100</v>
      </c>
      <c r="T31" s="1565" t="s">
        <v>8</v>
      </c>
      <c r="U31" s="1566">
        <f t="shared" si="13"/>
        <v>100</v>
      </c>
      <c r="V31" s="1565" t="s">
        <v>8</v>
      </c>
      <c r="W31" s="1566">
        <f t="shared" si="14"/>
        <v>100</v>
      </c>
      <c r="X31" s="1559"/>
      <c r="Y31" s="3763"/>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4"/>
      <c r="M32" s="2126"/>
      <c r="N32" s="2126"/>
      <c r="O32" s="2133"/>
      <c r="P32" s="3763"/>
      <c r="Q32" s="1564" t="str">
        <f t="shared" si="11"/>
        <v>公共部分装修</v>
      </c>
      <c r="R32" s="1565" t="s">
        <v>8</v>
      </c>
      <c r="S32" s="1566">
        <f t="shared" si="12"/>
        <v>100</v>
      </c>
      <c r="T32" s="1565" t="s">
        <v>8</v>
      </c>
      <c r="U32" s="1566">
        <f t="shared" si="13"/>
        <v>100</v>
      </c>
      <c r="V32" s="1565" t="s">
        <v>8</v>
      </c>
      <c r="W32" s="1566">
        <f t="shared" si="14"/>
        <v>100</v>
      </c>
      <c r="X32" s="1559"/>
      <c r="Y32" s="3763"/>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4"/>
      <c r="M33" s="2126"/>
      <c r="N33" s="2126"/>
      <c r="O33" s="2133"/>
      <c r="P33" s="3763"/>
      <c r="Q33" s="1564" t="str">
        <f t="shared" si="11"/>
        <v>成新度</v>
      </c>
      <c r="R33" s="1565" t="s">
        <v>8</v>
      </c>
      <c r="S33" s="1566" t="e">
        <f t="shared" si="12"/>
        <v>#N/A</v>
      </c>
      <c r="T33" s="1565" t="s">
        <v>8</v>
      </c>
      <c r="U33" s="1566" t="e">
        <f t="shared" si="13"/>
        <v>#N/A</v>
      </c>
      <c r="V33" s="1565" t="s">
        <v>8</v>
      </c>
      <c r="W33" s="1566" t="e">
        <f t="shared" si="14"/>
        <v>#N/A</v>
      </c>
      <c r="X33" s="1559"/>
      <c r="Y33" s="3763"/>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7"/>
      <c r="M34" s="2128"/>
      <c r="N34" s="2128"/>
      <c r="O34" s="2129"/>
      <c r="P34" s="3763"/>
      <c r="Q34" s="1144" t="str">
        <f t="shared" si="11"/>
        <v>物业管理</v>
      </c>
      <c r="R34" s="1560" t="s">
        <v>8</v>
      </c>
      <c r="S34" s="1561">
        <f t="shared" si="12"/>
        <v>100</v>
      </c>
      <c r="T34" s="1560" t="s">
        <v>8</v>
      </c>
      <c r="U34" s="1561">
        <f t="shared" si="13"/>
        <v>100</v>
      </c>
      <c r="V34" s="1560" t="s">
        <v>8</v>
      </c>
      <c r="W34" s="1561">
        <f t="shared" si="14"/>
        <v>100</v>
      </c>
      <c r="X34" s="1562"/>
      <c r="Y34" s="3763"/>
      <c r="Z34" s="1143" t="str">
        <f t="shared" si="15"/>
        <v>物业管理</v>
      </c>
      <c r="AA34" s="1563">
        <f t="shared" si="3"/>
        <v>1</v>
      </c>
      <c r="AB34" s="1563">
        <f t="shared" si="4"/>
        <v>1</v>
      </c>
      <c r="AC34" s="1563">
        <f t="shared" si="5"/>
        <v>1</v>
      </c>
    </row>
    <row r="35" spans="1:29" ht="15">
      <c r="A35" s="591"/>
      <c r="B35" s="1887"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4"/>
      <c r="M35" s="2126"/>
      <c r="N35" s="2126"/>
      <c r="O35" s="2133"/>
      <c r="P35" s="3763" t="s">
        <v>551</v>
      </c>
      <c r="Q35" s="1564" t="str">
        <f t="shared" si="11"/>
        <v>市政基础设施</v>
      </c>
      <c r="R35" s="1565" t="s">
        <v>8</v>
      </c>
      <c r="S35" s="1566">
        <f t="shared" si="12"/>
        <v>100</v>
      </c>
      <c r="T35" s="1565" t="s">
        <v>8</v>
      </c>
      <c r="U35" s="1566">
        <f t="shared" si="13"/>
        <v>100</v>
      </c>
      <c r="V35" s="1565" t="s">
        <v>8</v>
      </c>
      <c r="W35" s="1566">
        <f t="shared" si="14"/>
        <v>100</v>
      </c>
      <c r="X35" s="1559"/>
      <c r="Y35" s="3763"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4"/>
      <c r="M36" s="2126"/>
      <c r="N36" s="2126"/>
      <c r="O36" s="2133"/>
      <c r="P36" s="3763"/>
      <c r="Q36" s="1564" t="str">
        <f t="shared" si="11"/>
        <v>内部装修</v>
      </c>
      <c r="R36" s="1565" t="s">
        <v>8</v>
      </c>
      <c r="S36" s="1566">
        <f t="shared" si="12"/>
        <v>100</v>
      </c>
      <c r="T36" s="1565" t="s">
        <v>8</v>
      </c>
      <c r="U36" s="1566">
        <f t="shared" si="13"/>
        <v>100</v>
      </c>
      <c r="V36" s="1565" t="s">
        <v>8</v>
      </c>
      <c r="W36" s="1566">
        <f t="shared" si="14"/>
        <v>100</v>
      </c>
      <c r="X36" s="1559"/>
      <c r="Y36" s="3763"/>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4"/>
      <c r="M37" s="2126"/>
      <c r="N37" s="2126"/>
      <c r="O37" s="2133"/>
      <c r="P37" s="3763"/>
      <c r="Q37" s="1564" t="str">
        <f t="shared" si="11"/>
        <v>内部装修状况</v>
      </c>
      <c r="R37" s="1565" t="s">
        <v>8</v>
      </c>
      <c r="S37" s="1566">
        <f t="shared" si="12"/>
        <v>100</v>
      </c>
      <c r="T37" s="1565" t="s">
        <v>8</v>
      </c>
      <c r="U37" s="1566">
        <f t="shared" si="13"/>
        <v>100</v>
      </c>
      <c r="V37" s="1565" t="s">
        <v>8</v>
      </c>
      <c r="W37" s="1566">
        <f t="shared" si="14"/>
        <v>100</v>
      </c>
      <c r="X37" s="1559"/>
      <c r="Y37" s="3763"/>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2"/>
      <c r="M38" s="2163"/>
      <c r="N38" s="2163"/>
      <c r="O38" s="2135"/>
      <c r="P38" s="3763"/>
      <c r="Q38" s="1597">
        <f t="shared" si="11"/>
        <v>111</v>
      </c>
      <c r="R38" s="1569" t="s">
        <v>8</v>
      </c>
      <c r="S38" s="1570">
        <f t="shared" si="12"/>
        <v>100</v>
      </c>
      <c r="T38" s="1569" t="s">
        <v>8</v>
      </c>
      <c r="U38" s="1570">
        <f t="shared" si="13"/>
        <v>100</v>
      </c>
      <c r="V38" s="1569" t="s">
        <v>8</v>
      </c>
      <c r="W38" s="1570">
        <f t="shared" si="14"/>
        <v>100</v>
      </c>
      <c r="X38" s="1571"/>
      <c r="Y38" s="3763"/>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4"/>
      <c r="M39" s="2126"/>
      <c r="N39" s="2126"/>
      <c r="O39" s="2133"/>
      <c r="P39" s="3763"/>
      <c r="Q39" s="1564">
        <f t="shared" si="11"/>
        <v>111</v>
      </c>
      <c r="R39" s="1565" t="s">
        <v>8</v>
      </c>
      <c r="S39" s="1566">
        <f t="shared" si="12"/>
        <v>100</v>
      </c>
      <c r="T39" s="1565" t="s">
        <v>8</v>
      </c>
      <c r="U39" s="1566">
        <f t="shared" si="13"/>
        <v>100</v>
      </c>
      <c r="V39" s="1565" t="s">
        <v>8</v>
      </c>
      <c r="W39" s="1566">
        <f t="shared" si="14"/>
        <v>100</v>
      </c>
      <c r="X39" s="1559"/>
      <c r="Y39" s="3763"/>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4"/>
      <c r="M40" s="2126"/>
      <c r="N40" s="2126"/>
      <c r="O40" s="2133"/>
      <c r="P40" s="3860"/>
      <c r="Q40" s="1564">
        <f t="shared" si="11"/>
        <v>111</v>
      </c>
      <c r="R40" s="1565" t="s">
        <v>8</v>
      </c>
      <c r="S40" s="1566">
        <f t="shared" si="12"/>
        <v>100</v>
      </c>
      <c r="T40" s="1565" t="s">
        <v>8</v>
      </c>
      <c r="U40" s="1566">
        <f t="shared" si="13"/>
        <v>100</v>
      </c>
      <c r="V40" s="1565" t="s">
        <v>8</v>
      </c>
      <c r="W40" s="1566">
        <f t="shared" si="14"/>
        <v>100</v>
      </c>
      <c r="X40" s="1559"/>
      <c r="Y40" s="3860"/>
      <c r="Z40" s="1567">
        <f t="shared" si="15"/>
        <v>111</v>
      </c>
      <c r="AA40" s="1568">
        <f t="shared" si="3"/>
        <v>1</v>
      </c>
      <c r="AB40" s="1568">
        <f t="shared" si="4"/>
        <v>1</v>
      </c>
      <c r="AC40" s="1568">
        <f t="shared" si="5"/>
        <v>1</v>
      </c>
    </row>
    <row r="41" spans="1:29" ht="15">
      <c r="A41" s="604" t="s">
        <v>737</v>
      </c>
      <c r="B41" s="880"/>
      <c r="C41" s="2643" t="s">
        <v>1</v>
      </c>
      <c r="D41" s="2644"/>
      <c r="E41" s="2645"/>
      <c r="F41" s="2646"/>
      <c r="G41" s="2647"/>
      <c r="H41" s="2648"/>
      <c r="I41" s="2645"/>
      <c r="J41" s="2648"/>
      <c r="K41" s="1603"/>
      <c r="L41" s="2136"/>
      <c r="M41" s="2137"/>
      <c r="N41" s="2126"/>
      <c r="O41" s="2137"/>
      <c r="P41" s="3758" t="str">
        <f>A41</f>
        <v>成交单价（元/平方米）</v>
      </c>
      <c r="Q41" s="3758"/>
      <c r="R41" s="3859">
        <f>E41</f>
        <v>0</v>
      </c>
      <c r="S41" s="3859"/>
      <c r="T41" s="3859">
        <f>G41</f>
        <v>0</v>
      </c>
      <c r="U41" s="3859"/>
      <c r="V41" s="3859">
        <f>I41</f>
        <v>0</v>
      </c>
      <c r="W41" s="3859"/>
      <c r="X41" s="1551"/>
      <c r="Y41" s="1573"/>
      <c r="Z41" s="1551"/>
      <c r="AA41" s="1551"/>
      <c r="AB41" s="1551"/>
      <c r="AC41" s="1551"/>
    </row>
    <row r="42" spans="1:29" ht="15.75" thickBot="1">
      <c r="A42" s="612" t="s">
        <v>2764</v>
      </c>
      <c r="B42" s="881"/>
      <c r="C42" s="2649" t="e">
        <f>R43</f>
        <v>#DIV/0!</v>
      </c>
      <c r="D42" s="2650"/>
      <c r="E42" s="2651" t="e">
        <f>R42</f>
        <v>#DIV/0!</v>
      </c>
      <c r="F42" s="2651"/>
      <c r="G42" s="2649" t="e">
        <f>T42</f>
        <v>#DIV/0!</v>
      </c>
      <c r="H42" s="2650"/>
      <c r="I42" s="2651" t="e">
        <f>V42</f>
        <v>#DIV/0!</v>
      </c>
      <c r="J42" s="2650"/>
      <c r="K42" s="1604"/>
      <c r="L42" s="2136"/>
      <c r="M42" s="2137"/>
      <c r="N42" s="2126"/>
      <c r="O42" s="2137"/>
      <c r="P42" s="3758" t="str">
        <f>A42</f>
        <v>比较价格（元/平方米）</v>
      </c>
      <c r="Q42" s="3758"/>
      <c r="R42" s="3859" t="e">
        <f>IF(F1="售价",ROUND(PRODUCT(R41,AA7:AA40),0),ROUND(PRODUCT(R41,AA7:AA40),1))</f>
        <v>#DIV/0!</v>
      </c>
      <c r="S42" s="3859"/>
      <c r="T42" s="3859" t="e">
        <f>IF(F1="售价",ROUND(PRODUCT(T41,AB7:AB40),0),ROUND(PRODUCT(T41,AB7:AB40),1))</f>
        <v>#DIV/0!</v>
      </c>
      <c r="U42" s="3859"/>
      <c r="V42" s="3859" t="e">
        <f>IF(F1="售价",ROUND(PRODUCT(V41,AC7:AC40),0),ROUND(PRODUCT(V41,AC7:AC40),1))</f>
        <v>#DIV/0!</v>
      </c>
      <c r="W42" s="3859"/>
      <c r="X42" s="1551"/>
      <c r="Y42" s="1551"/>
      <c r="Z42" s="1551"/>
      <c r="AA42" s="1551"/>
      <c r="AB42" s="1551"/>
      <c r="AC42" s="1551"/>
    </row>
    <row r="43" spans="1:29" ht="15.75" thickBot="1">
      <c r="A43" s="618" t="s">
        <v>2935</v>
      </c>
      <c r="B43" s="619"/>
      <c r="C43" s="2652" t="e">
        <f>R43</f>
        <v>#DIV/0!</v>
      </c>
      <c r="D43" s="2652"/>
      <c r="E43" s="2652"/>
      <c r="F43" s="2652"/>
      <c r="G43" s="2652"/>
      <c r="H43" s="2652"/>
      <c r="I43" s="2652"/>
      <c r="J43" s="2652"/>
      <c r="K43" s="1605"/>
      <c r="L43" s="2136"/>
      <c r="M43" s="2137"/>
      <c r="N43" s="2137"/>
      <c r="O43" s="2137"/>
      <c r="P43" s="3779" t="str">
        <f>A43</f>
        <v>估价对象XX用房的比较价格（楼面单价，元/平方米）</v>
      </c>
      <c r="Q43" s="3780"/>
      <c r="R43" s="3858" t="e">
        <f>IF(F1="售价",ROUND(AVERAGE(R42:V42),0),ROUND(AVERAGE(R42:V42),1))</f>
        <v>#DIV/0!</v>
      </c>
      <c r="S43" s="3858"/>
      <c r="T43" s="3858"/>
      <c r="U43" s="3858"/>
      <c r="V43" s="3858"/>
      <c r="W43" s="3858"/>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8" customFormat="1" ht="13.5" customHeight="1">
      <c r="A48" s="2138"/>
      <c r="B48" s="2138"/>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8"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575</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40" customFormat="1" ht="15">
      <c r="A52" s="642" t="s">
        <v>530</v>
      </c>
      <c r="B52" s="643"/>
      <c r="C52" s="2819" t="str">
        <f>YEAR(C7)&amp;"-"&amp;MONTH(C7)</f>
        <v>2018-6</v>
      </c>
      <c r="D52" s="2821">
        <f>EDATE(C52,-1)</f>
        <v>43221</v>
      </c>
      <c r="E52" s="2821">
        <f t="shared" ref="E52:O52" si="16">EDATE(D52,-1)</f>
        <v>43191</v>
      </c>
      <c r="F52" s="2821">
        <f t="shared" si="16"/>
        <v>43160</v>
      </c>
      <c r="G52" s="2821">
        <f t="shared" si="16"/>
        <v>43132</v>
      </c>
      <c r="H52" s="2821">
        <f t="shared" si="16"/>
        <v>43101</v>
      </c>
      <c r="I52" s="2821">
        <f t="shared" si="16"/>
        <v>43070</v>
      </c>
      <c r="J52" s="2821">
        <f t="shared" si="16"/>
        <v>43040</v>
      </c>
      <c r="K52" s="2821">
        <f t="shared" si="16"/>
        <v>43009</v>
      </c>
      <c r="L52" s="2821">
        <f t="shared" si="16"/>
        <v>42979</v>
      </c>
      <c r="M52" s="2821">
        <f t="shared" si="16"/>
        <v>42948</v>
      </c>
      <c r="N52" s="2821">
        <f t="shared" si="16"/>
        <v>42917</v>
      </c>
      <c r="O52" s="2821">
        <f t="shared" si="16"/>
        <v>42887</v>
      </c>
      <c r="P52" s="2152"/>
      <c r="Q52" s="2153"/>
      <c r="R52" s="2153"/>
      <c r="S52" s="2153"/>
      <c r="T52" s="2153"/>
      <c r="U52" s="2153"/>
      <c r="V52" s="2153"/>
      <c r="W52" s="2153"/>
      <c r="X52" s="2153"/>
      <c r="Y52" s="2153"/>
      <c r="Z52" s="2153"/>
      <c r="AA52" s="2153"/>
      <c r="AB52" s="2153"/>
      <c r="AC52" s="2153"/>
    </row>
    <row r="53" spans="1:29" s="1213"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3" customFormat="1" ht="15.75" thickBot="1">
      <c r="A54" s="650" t="s">
        <v>576</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3" customFormat="1" ht="15">
      <c r="A55" s="656" t="s">
        <v>532</v>
      </c>
      <c r="B55" s="645"/>
      <c r="C55" s="657" t="s">
        <v>577</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3"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578</v>
      </c>
      <c r="B57" s="662" t="s">
        <v>535</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9"/>
      <c r="D62" s="539"/>
      <c r="E62" s="539"/>
      <c r="F62" s="539"/>
      <c r="G62" s="539"/>
      <c r="H62" s="539"/>
      <c r="I62" s="539"/>
      <c r="J62" s="539"/>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2"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2"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2"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2"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2"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2"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540</v>
      </c>
      <c r="B70" s="662" t="s">
        <v>586</v>
      </c>
      <c r="C70" s="700" t="s">
        <v>580</v>
      </c>
      <c r="D70" s="700" t="s">
        <v>581</v>
      </c>
      <c r="E70" s="700" t="s">
        <v>582</v>
      </c>
      <c r="F70" s="700" t="s">
        <v>583</v>
      </c>
      <c r="G70" s="700" t="s">
        <v>584</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587</v>
      </c>
      <c r="C72" s="705" t="s">
        <v>580</v>
      </c>
      <c r="D72" s="705" t="s">
        <v>581</v>
      </c>
      <c r="E72" s="705" t="s">
        <v>582</v>
      </c>
      <c r="F72" s="705" t="s">
        <v>583</v>
      </c>
      <c r="G72" s="705" t="s">
        <v>584</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2561</v>
      </c>
      <c r="C74" s="705" t="s">
        <v>580</v>
      </c>
      <c r="D74" s="705" t="s">
        <v>581</v>
      </c>
      <c r="E74" s="705" t="s">
        <v>582</v>
      </c>
      <c r="F74" s="705" t="s">
        <v>583</v>
      </c>
      <c r="G74" s="705" t="s">
        <v>584</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2562</v>
      </c>
      <c r="C76" s="2614" t="s">
        <v>2563</v>
      </c>
      <c r="D76" s="2614" t="s">
        <v>2564</v>
      </c>
      <c r="E76" s="2614" t="s">
        <v>2565</v>
      </c>
      <c r="F76" s="2614" t="s">
        <v>2566</v>
      </c>
      <c r="G76" s="2614" t="s">
        <v>2567</v>
      </c>
      <c r="H76" s="928"/>
      <c r="I76" s="928"/>
      <c r="J76" s="928"/>
      <c r="K76" s="928"/>
      <c r="L76" s="928"/>
      <c r="M76" s="557"/>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785</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3" customFormat="1" ht="15.75" thickTop="1">
      <c r="A80" s="706"/>
      <c r="B80" s="670">
        <f>B25</f>
        <v>111</v>
      </c>
      <c r="C80" s="685"/>
      <c r="D80" s="685"/>
      <c r="E80" s="685"/>
      <c r="F80" s="685"/>
      <c r="G80" s="685"/>
      <c r="H80" s="685"/>
      <c r="I80" s="685"/>
      <c r="J80" s="685"/>
      <c r="K80" s="685"/>
      <c r="L80" s="883"/>
      <c r="M80" s="884"/>
      <c r="N80" s="2154"/>
      <c r="O80" s="2154"/>
      <c r="P80" s="2157"/>
      <c r="Q80" s="2150"/>
      <c r="R80" s="1985"/>
      <c r="S80" s="1985"/>
      <c r="T80" s="1985"/>
      <c r="U80" s="1985"/>
      <c r="V80" s="1985"/>
      <c r="W80" s="1985"/>
      <c r="X80" s="1985"/>
      <c r="Y80" s="1985"/>
      <c r="Z80" s="1985"/>
      <c r="AA80" s="1985"/>
      <c r="AB80" s="1985"/>
      <c r="AC80" s="1985"/>
    </row>
    <row r="81" spans="1:29" s="1213"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3" customFormat="1" ht="15.75" thickTop="1">
      <c r="A82" s="706"/>
      <c r="B82" s="670">
        <f>B26</f>
        <v>111</v>
      </c>
      <c r="C82" s="685"/>
      <c r="D82" s="685"/>
      <c r="E82" s="685"/>
      <c r="F82" s="685"/>
      <c r="G82" s="685"/>
      <c r="H82" s="685"/>
      <c r="I82" s="685"/>
      <c r="J82" s="685"/>
      <c r="K82" s="685"/>
      <c r="L82" s="883"/>
      <c r="M82" s="884"/>
      <c r="N82" s="2154"/>
      <c r="O82" s="2154"/>
      <c r="P82" s="2157"/>
      <c r="Q82" s="2150"/>
      <c r="R82" s="1985"/>
      <c r="S82" s="1985"/>
      <c r="T82" s="1985"/>
      <c r="U82" s="1985"/>
      <c r="V82" s="1985"/>
      <c r="W82" s="1985"/>
      <c r="X82" s="1985"/>
      <c r="Y82" s="1985"/>
      <c r="Z82" s="1985"/>
      <c r="AA82" s="1985"/>
      <c r="AB82" s="1985"/>
      <c r="AC82" s="1985"/>
    </row>
    <row r="83" spans="1:29" s="1213"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2" customFormat="1" ht="15.75" thickTop="1">
      <c r="A84" s="684"/>
      <c r="B84" s="670">
        <f>B27</f>
        <v>111</v>
      </c>
      <c r="C84" s="685"/>
      <c r="D84" s="685"/>
      <c r="E84" s="685"/>
      <c r="F84" s="685"/>
      <c r="G84" s="685"/>
      <c r="H84" s="685"/>
      <c r="I84" s="685"/>
      <c r="J84" s="685"/>
      <c r="K84" s="685"/>
      <c r="L84" s="883"/>
      <c r="M84" s="884"/>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86"/>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552</v>
      </c>
      <c r="B88" s="662" t="s">
        <v>748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2"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750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752</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87">
        <v>0.5</v>
      </c>
      <c r="D98" s="887">
        <v>0.6</v>
      </c>
      <c r="E98" s="887">
        <v>0.7</v>
      </c>
      <c r="F98" s="887">
        <v>0.8</v>
      </c>
      <c r="G98" s="887">
        <v>0.9</v>
      </c>
      <c r="H98" s="887">
        <v>1.0001</v>
      </c>
      <c r="I98" s="898"/>
      <c r="J98" s="898"/>
      <c r="K98" s="899"/>
      <c r="L98" s="900"/>
      <c r="M98" s="901"/>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2" customFormat="1" ht="15" thickTop="1">
      <c r="A100" s="725"/>
      <c r="B100" s="670" t="s">
        <v>754</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2560</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756</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2"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2"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86"/>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0" t="s">
        <v>2077</v>
      </c>
      <c r="F3" s="848">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64" t="s">
        <v>799</v>
      </c>
      <c r="D4" s="3765"/>
      <c r="E4" s="3764" t="s">
        <v>800</v>
      </c>
      <c r="F4" s="3765"/>
      <c r="G4" s="3764" t="s">
        <v>801</v>
      </c>
      <c r="H4" s="3765"/>
      <c r="I4" s="3764" t="s">
        <v>802</v>
      </c>
      <c r="J4" s="3765"/>
      <c r="K4" s="512" t="s">
        <v>803</v>
      </c>
      <c r="L4" s="2125"/>
      <c r="M4" s="2126"/>
      <c r="N4" s="2126"/>
      <c r="O4" s="2126"/>
      <c r="P4" s="3766" t="s">
        <v>804</v>
      </c>
      <c r="Q4" s="3767"/>
      <c r="R4" s="3752" t="s">
        <v>800</v>
      </c>
      <c r="S4" s="3753"/>
      <c r="T4" s="3752" t="s">
        <v>801</v>
      </c>
      <c r="U4" s="3753"/>
      <c r="V4" s="3772" t="s">
        <v>802</v>
      </c>
      <c r="W4" s="3772"/>
      <c r="X4" s="1559"/>
      <c r="Y4" s="3752" t="s">
        <v>804</v>
      </c>
      <c r="Z4" s="3753"/>
      <c r="AA4" s="3747" t="s">
        <v>800</v>
      </c>
      <c r="AB4" s="3748" t="s">
        <v>801</v>
      </c>
      <c r="AC4" s="3747" t="s">
        <v>802</v>
      </c>
    </row>
    <row r="5" spans="1:29" ht="15">
      <c r="A5" s="513"/>
      <c r="B5" s="514"/>
      <c r="C5" s="3775" t="s">
        <v>2929</v>
      </c>
      <c r="D5" s="3776"/>
      <c r="E5" s="3775" t="s">
        <v>2930</v>
      </c>
      <c r="F5" s="3776"/>
      <c r="G5" s="3775" t="s">
        <v>2931</v>
      </c>
      <c r="H5" s="3776"/>
      <c r="I5" s="3775" t="s">
        <v>2932</v>
      </c>
      <c r="J5" s="3776"/>
      <c r="K5" s="512"/>
      <c r="L5" s="2125"/>
      <c r="M5" s="2126"/>
      <c r="N5" s="2126"/>
      <c r="O5" s="2126"/>
      <c r="P5" s="3768"/>
      <c r="Q5" s="3769"/>
      <c r="R5" s="3754"/>
      <c r="S5" s="3755"/>
      <c r="T5" s="3754"/>
      <c r="U5" s="3755"/>
      <c r="V5" s="3772"/>
      <c r="W5" s="3772"/>
      <c r="X5" s="1559"/>
      <c r="Y5" s="3754"/>
      <c r="Z5" s="3755"/>
      <c r="AA5" s="3748"/>
      <c r="AB5" s="3748"/>
      <c r="AC5" s="3748"/>
    </row>
    <row r="6" spans="1:29" ht="15.75" thickBot="1">
      <c r="A6" s="515"/>
      <c r="B6" s="516"/>
      <c r="C6" s="3773" t="s">
        <v>2933</v>
      </c>
      <c r="D6" s="3774"/>
      <c r="E6" s="3777" t="s">
        <v>2933</v>
      </c>
      <c r="F6" s="3778"/>
      <c r="G6" s="3773" t="s">
        <v>2933</v>
      </c>
      <c r="H6" s="3774"/>
      <c r="I6" s="3773" t="s">
        <v>2933</v>
      </c>
      <c r="J6" s="3774"/>
      <c r="K6" s="512" t="s">
        <v>529</v>
      </c>
      <c r="L6" s="2125"/>
      <c r="M6" s="2126"/>
      <c r="N6" s="2126"/>
      <c r="O6" s="2126"/>
      <c r="P6" s="3770"/>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c r="F7" s="520">
        <f>SUMIF(48:48,YEAR(E7)&amp;"-"&amp;MONTH(E7),49:49)</f>
        <v>0</v>
      </c>
      <c r="G7" s="521"/>
      <c r="H7" s="518">
        <f>SUMIF(48:48,YEAR(G7)&amp;"-"&amp;MONTH(G7),49:49)</f>
        <v>0</v>
      </c>
      <c r="I7" s="521"/>
      <c r="J7" s="518">
        <f>SUMIF(48:48,YEAR(I7)&amp;"-"&amp;MONTH(I7),49:49)</f>
        <v>0</v>
      </c>
      <c r="K7" s="522"/>
      <c r="L7" s="2127"/>
      <c r="M7" s="2128"/>
      <c r="N7" s="2128"/>
      <c r="O7" s="2128"/>
      <c r="P7" s="3750" t="s">
        <v>531</v>
      </c>
      <c r="Q7" s="3759"/>
      <c r="R7" s="1560" t="s">
        <v>8</v>
      </c>
      <c r="S7" s="1561">
        <f t="shared" ref="S7:S14" si="0">F7</f>
        <v>0</v>
      </c>
      <c r="T7" s="1560" t="s">
        <v>8</v>
      </c>
      <c r="U7" s="1561">
        <f t="shared" ref="U7:U14" si="1">H7</f>
        <v>0</v>
      </c>
      <c r="V7" s="1560" t="s">
        <v>8</v>
      </c>
      <c r="W7" s="1561">
        <f t="shared" ref="W7:W14" si="2">J7</f>
        <v>0</v>
      </c>
      <c r="X7" s="1562"/>
      <c r="Y7" s="3750" t="s">
        <v>531</v>
      </c>
      <c r="Z7" s="3751"/>
      <c r="AA7" s="1563" t="e">
        <f>D7/F7</f>
        <v>#DIV/0!</v>
      </c>
      <c r="AB7" s="1563" t="e">
        <f>D7/H7</f>
        <v>#DIV/0!</v>
      </c>
      <c r="AC7" s="1563" t="e">
        <f>D7/J7</f>
        <v>#DIV/0!</v>
      </c>
    </row>
    <row r="8" spans="1:29" s="1213" customFormat="1" ht="15.75" thickBot="1">
      <c r="A8" s="2929"/>
      <c r="B8" s="2936" t="s">
        <v>532</v>
      </c>
      <c r="C8" s="523" t="s">
        <v>577</v>
      </c>
      <c r="D8" s="518">
        <v>100</v>
      </c>
      <c r="E8" s="523"/>
      <c r="F8" s="520">
        <f>SUMIF(51:51,E8,52:52)-SUMIF(51:51,C8,52:52)+100</f>
        <v>0</v>
      </c>
      <c r="G8" s="523"/>
      <c r="H8" s="518">
        <f>SUMIF(51:51,G8,52:52)-SUMIF(51:51,C8,52:52)+100</f>
        <v>0</v>
      </c>
      <c r="I8" s="523"/>
      <c r="J8" s="518">
        <f>SUMIF(51:51,I8,52:52)-SUMIF(51:51,C8,52:52)+100</f>
        <v>0</v>
      </c>
      <c r="K8" s="522"/>
      <c r="L8" s="2127"/>
      <c r="M8" s="2128"/>
      <c r="N8" s="2128"/>
      <c r="O8" s="2128"/>
      <c r="P8" s="3750" t="s">
        <v>534</v>
      </c>
      <c r="Q8" s="3751"/>
      <c r="R8" s="1560" t="s">
        <v>8</v>
      </c>
      <c r="S8" s="1561">
        <f t="shared" si="0"/>
        <v>0</v>
      </c>
      <c r="T8" s="1560" t="s">
        <v>8</v>
      </c>
      <c r="U8" s="1561">
        <f t="shared" si="1"/>
        <v>0</v>
      </c>
      <c r="V8" s="1560" t="s">
        <v>8</v>
      </c>
      <c r="W8" s="1561">
        <f t="shared" si="2"/>
        <v>0</v>
      </c>
      <c r="X8" s="1562"/>
      <c r="Y8" s="3750" t="s">
        <v>534</v>
      </c>
      <c r="Z8" s="3751"/>
      <c r="AA8" s="1563" t="e">
        <f t="shared" ref="AA8:AA36" si="3">D8/F8</f>
        <v>#DIV/0!</v>
      </c>
      <c r="AB8" s="1563" t="e">
        <f t="shared" ref="AB8:AB36" si="4">D8/H8</f>
        <v>#DIV/0!</v>
      </c>
      <c r="AC8" s="1563" t="e">
        <f t="shared" ref="AC8:AC36" si="5">D8/J8</f>
        <v>#DIV/0!</v>
      </c>
    </row>
    <row r="9" spans="1:29" s="1213" customFormat="1" ht="15">
      <c r="A9" s="2930"/>
      <c r="B9" s="2937" t="s">
        <v>2760</v>
      </c>
      <c r="C9" s="854"/>
      <c r="D9" s="252">
        <v>100</v>
      </c>
      <c r="E9" s="857"/>
      <c r="F9" s="252">
        <f>SUMIF(53:53,E9,54:54)-SUMIF(53:53,C9,54:54)+100</f>
        <v>100</v>
      </c>
      <c r="G9" s="855"/>
      <c r="H9" s="252">
        <f>SUMIF(53:53,G9,54:54)-SUMIF(53:53,C9,54:54)+100</f>
        <v>100</v>
      </c>
      <c r="I9" s="855"/>
      <c r="J9" s="252">
        <f>SUMIF(53:53,I9,54:54)-SUMIF(53:53,C9,54:54)+100</f>
        <v>100</v>
      </c>
      <c r="K9" s="522"/>
      <c r="L9" s="2127"/>
      <c r="M9" s="2128"/>
      <c r="N9" s="2128"/>
      <c r="O9" s="2129"/>
      <c r="P9" s="3758" t="s">
        <v>536</v>
      </c>
      <c r="Q9" s="1144" t="str">
        <f t="shared" ref="Q9:Q14" si="6">B9</f>
        <v>用途</v>
      </c>
      <c r="R9" s="1560" t="s">
        <v>8</v>
      </c>
      <c r="S9" s="1561">
        <f t="shared" si="0"/>
        <v>100</v>
      </c>
      <c r="T9" s="1560" t="s">
        <v>8</v>
      </c>
      <c r="U9" s="1561">
        <f t="shared" si="1"/>
        <v>100</v>
      </c>
      <c r="V9" s="1560" t="s">
        <v>8</v>
      </c>
      <c r="W9" s="1561">
        <f t="shared" si="2"/>
        <v>100</v>
      </c>
      <c r="X9" s="1562"/>
      <c r="Y9" s="3715"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SUMIF(55:55,E10,56:56)-SUMIF(55:55,C10,56:56)+100</f>
        <v>100</v>
      </c>
      <c r="G10" s="859"/>
      <c r="H10" s="253">
        <f>SUMIF(55:55,G10,56:56)-SUMIF(55:55,C10,56:56)+100</f>
        <v>100</v>
      </c>
      <c r="I10" s="858"/>
      <c r="J10" s="253">
        <f>SUMIF(55:55,I10,56:56)-SUMIF(55:55,C10,56:56)+100</f>
        <v>100</v>
      </c>
      <c r="K10" s="581"/>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3"/>
      <c r="B11" s="2939">
        <v>111</v>
      </c>
      <c r="C11" s="526"/>
      <c r="D11" s="253">
        <v>100</v>
      </c>
      <c r="E11" s="526"/>
      <c r="F11" s="253">
        <f>SUMIF(57:57,E11,58:58)-SUMIF(57:57,C11,58:58)+100</f>
        <v>100</v>
      </c>
      <c r="G11" s="526"/>
      <c r="H11" s="253">
        <f>SUMIF(57:57,G11,58:58)-SUMIF(57:57,C11,58:58)+100</f>
        <v>100</v>
      </c>
      <c r="I11" s="526"/>
      <c r="J11" s="253">
        <f>SUMIF(57:57,I11,58:58)-SUMIF(57:57,C11,58:58)+100</f>
        <v>100</v>
      </c>
      <c r="K11" s="578"/>
      <c r="L11" s="2132"/>
      <c r="M11" s="2126"/>
      <c r="N11" s="2126"/>
      <c r="O11" s="2133"/>
      <c r="P11" s="3758"/>
      <c r="Q11" s="1144">
        <f t="shared" si="6"/>
        <v>111</v>
      </c>
      <c r="R11" s="1560" t="s">
        <v>8</v>
      </c>
      <c r="S11" s="1561">
        <f t="shared" si="0"/>
        <v>100</v>
      </c>
      <c r="T11" s="1560" t="s">
        <v>8</v>
      </c>
      <c r="U11" s="1561">
        <f t="shared" si="1"/>
        <v>100</v>
      </c>
      <c r="V11" s="1560" t="s">
        <v>8</v>
      </c>
      <c r="W11" s="1561">
        <f t="shared" si="2"/>
        <v>100</v>
      </c>
      <c r="X11" s="1562"/>
      <c r="Y11" s="3715"/>
      <c r="Z11" s="1143">
        <f t="shared" si="7"/>
        <v>111</v>
      </c>
      <c r="AA11" s="1563">
        <f t="shared" si="3"/>
        <v>1</v>
      </c>
      <c r="AB11" s="1563">
        <f t="shared" si="4"/>
        <v>1</v>
      </c>
      <c r="AC11" s="1563">
        <f t="shared" si="5"/>
        <v>1</v>
      </c>
    </row>
    <row r="12" spans="1:29" s="1213" customFormat="1" ht="15">
      <c r="A12" s="2933"/>
      <c r="B12" s="2939">
        <v>111</v>
      </c>
      <c r="C12" s="526"/>
      <c r="D12" s="536">
        <v>100</v>
      </c>
      <c r="E12" s="526"/>
      <c r="F12" s="253">
        <f>SUMIF(59:59,E12,60:60)-SUMIF(59:59,C12,60:60)+100</f>
        <v>100</v>
      </c>
      <c r="G12" s="526"/>
      <c r="H12" s="253">
        <f>SUMIF(59:59,G12,60:60)-SUMIF(59:59,C12,60:60)+100</f>
        <v>100</v>
      </c>
      <c r="I12" s="526"/>
      <c r="J12" s="253">
        <f>SUMIF(59:59,I12,60:60)-SUMIF(59:59,C12,60:60)+100</f>
        <v>100</v>
      </c>
      <c r="K12" s="578"/>
      <c r="L12" s="2127"/>
      <c r="M12" s="2128"/>
      <c r="N12" s="2128"/>
      <c r="O12" s="2129"/>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75" thickBot="1">
      <c r="A13" s="2934"/>
      <c r="B13" s="2940">
        <v>111</v>
      </c>
      <c r="C13" s="537"/>
      <c r="D13" s="538">
        <v>100</v>
      </c>
      <c r="E13" s="526"/>
      <c r="F13" s="253">
        <f>SUMIF(61:61,E13,62:62)-SUMIF(61:61,C13,62:62)+100</f>
        <v>100</v>
      </c>
      <c r="G13" s="526"/>
      <c r="H13" s="538">
        <f>SUMIF(61:61,G13,62:62)-SUMIF(61:61,C13,62:62)+100</f>
        <v>100</v>
      </c>
      <c r="I13" s="526"/>
      <c r="J13" s="538">
        <f>SUMIF(61:61,I13,62:62)-SUMIF(61:61,C13,62:62)+100</f>
        <v>100</v>
      </c>
      <c r="K13" s="578"/>
      <c r="L13" s="2134"/>
      <c r="M13" s="2126"/>
      <c r="N13" s="2126"/>
      <c r="O13" s="2133"/>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14">
      <c r="A14" s="2926"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4"/>
      <c r="M14" s="2126"/>
      <c r="N14" s="2126"/>
      <c r="O14" s="2133"/>
      <c r="P14" s="3760" t="s">
        <v>541</v>
      </c>
      <c r="Q14" s="1564" t="str">
        <f t="shared" si="6"/>
        <v>交通便捷度</v>
      </c>
      <c r="R14" s="1565" t="s">
        <v>8</v>
      </c>
      <c r="S14" s="1566">
        <f t="shared" si="0"/>
        <v>100</v>
      </c>
      <c r="T14" s="1565" t="s">
        <v>8</v>
      </c>
      <c r="U14" s="1566">
        <f t="shared" si="1"/>
        <v>100</v>
      </c>
      <c r="V14" s="1565" t="s">
        <v>8</v>
      </c>
      <c r="W14" s="1566">
        <f t="shared" si="2"/>
        <v>100</v>
      </c>
      <c r="X14" s="1559"/>
      <c r="Y14" s="3760"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4"/>
      <c r="M15" s="2126"/>
      <c r="N15" s="2126"/>
      <c r="O15" s="2133"/>
      <c r="P15" s="3761"/>
      <c r="Q15" s="1564"/>
      <c r="R15" s="1565"/>
      <c r="S15" s="1566"/>
      <c r="T15" s="1565"/>
      <c r="U15" s="1566"/>
      <c r="V15" s="1565"/>
      <c r="W15" s="1566"/>
      <c r="X15" s="1559"/>
      <c r="Y15" s="3761"/>
      <c r="Z15" s="1567"/>
      <c r="AA15" s="1568">
        <v>1</v>
      </c>
      <c r="AB15" s="1568">
        <v>1</v>
      </c>
      <c r="AC15" s="1568">
        <v>1</v>
      </c>
    </row>
    <row r="16" spans="1:29" ht="99.75">
      <c r="A16" s="513"/>
      <c r="B16" s="2619"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4"/>
      <c r="M16" s="2126"/>
      <c r="N16" s="2126"/>
      <c r="O16" s="2133"/>
      <c r="P16" s="3761"/>
      <c r="Q16" s="1564" t="str">
        <f>B16</f>
        <v>公共配套设施</v>
      </c>
      <c r="R16" s="1565" t="s">
        <v>8</v>
      </c>
      <c r="S16" s="1566">
        <f>F16</f>
        <v>100</v>
      </c>
      <c r="T16" s="1565" t="s">
        <v>8</v>
      </c>
      <c r="U16" s="1566">
        <f>H16</f>
        <v>100</v>
      </c>
      <c r="V16" s="1565" t="s">
        <v>8</v>
      </c>
      <c r="W16" s="1566">
        <f>J16</f>
        <v>100</v>
      </c>
      <c r="X16" s="1559"/>
      <c r="Y16" s="3761"/>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4"/>
      <c r="M17" s="2126"/>
      <c r="N17" s="2126"/>
      <c r="O17" s="2133"/>
      <c r="P17" s="3761"/>
      <c r="Q17" s="1564"/>
      <c r="R17" s="1565"/>
      <c r="S17" s="1566"/>
      <c r="T17" s="1565"/>
      <c r="U17" s="1566"/>
      <c r="V17" s="1565"/>
      <c r="W17" s="1566"/>
      <c r="X17" s="1559"/>
      <c r="Y17" s="3761"/>
      <c r="Z17" s="1567"/>
      <c r="AA17" s="1568">
        <v>1</v>
      </c>
      <c r="AB17" s="1568">
        <v>1</v>
      </c>
      <c r="AC17" s="1568">
        <v>1</v>
      </c>
    </row>
    <row r="18" spans="1:29" ht="42.75">
      <c r="A18" s="513"/>
      <c r="B18" s="2607"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4"/>
      <c r="M18" s="2126"/>
      <c r="N18" s="2126"/>
      <c r="O18" s="2133"/>
      <c r="P18" s="3761"/>
      <c r="Q18" s="2595" t="str">
        <f>B18</f>
        <v>基础设施水平</v>
      </c>
      <c r="R18" s="1565" t="s">
        <v>8</v>
      </c>
      <c r="S18" s="1566">
        <f>F18</f>
        <v>100</v>
      </c>
      <c r="T18" s="1565" t="s">
        <v>8</v>
      </c>
      <c r="U18" s="1566">
        <f>H18</f>
        <v>100</v>
      </c>
      <c r="V18" s="1565" t="s">
        <v>8</v>
      </c>
      <c r="W18" s="1566">
        <f>J18</f>
        <v>100</v>
      </c>
      <c r="X18" s="2597"/>
      <c r="Y18" s="3761"/>
      <c r="Z18" s="2596"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8"/>
      <c r="L19" s="2134"/>
      <c r="M19" s="2126"/>
      <c r="N19" s="2126"/>
      <c r="O19" s="2133"/>
      <c r="P19" s="3761"/>
      <c r="Q19" s="2595"/>
      <c r="R19" s="1565"/>
      <c r="S19" s="1566"/>
      <c r="T19" s="1565"/>
      <c r="U19" s="1566"/>
      <c r="V19" s="1565"/>
      <c r="W19" s="1566"/>
      <c r="X19" s="2597"/>
      <c r="Y19" s="3761"/>
      <c r="Z19" s="2596"/>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4"/>
      <c r="M20" s="2126"/>
      <c r="N20" s="2126"/>
      <c r="O20" s="2133"/>
      <c r="P20" s="3761"/>
      <c r="Q20" s="1564" t="str">
        <f>B20</f>
        <v>自然及人文环境</v>
      </c>
      <c r="R20" s="1565" t="s">
        <v>8</v>
      </c>
      <c r="S20" s="1566">
        <f>F20</f>
        <v>100</v>
      </c>
      <c r="T20" s="1565" t="s">
        <v>8</v>
      </c>
      <c r="U20" s="1566">
        <f>H20</f>
        <v>100</v>
      </c>
      <c r="V20" s="1565" t="s">
        <v>8</v>
      </c>
      <c r="W20" s="1566">
        <f>J20</f>
        <v>100</v>
      </c>
      <c r="X20" s="1559"/>
      <c r="Y20" s="3761"/>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4"/>
      <c r="M21" s="2126"/>
      <c r="N21" s="2126"/>
      <c r="O21" s="2133"/>
      <c r="P21" s="3761"/>
      <c r="Q21" s="1564"/>
      <c r="R21" s="1565"/>
      <c r="S21" s="1566"/>
      <c r="T21" s="1565"/>
      <c r="U21" s="1566"/>
      <c r="V21" s="1565"/>
      <c r="W21" s="1566"/>
      <c r="X21" s="1559"/>
      <c r="Y21" s="3761"/>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4"/>
      <c r="M22" s="2126"/>
      <c r="N22" s="2126"/>
      <c r="O22" s="2133"/>
      <c r="P22" s="3761"/>
      <c r="Q22" s="1564" t="str">
        <f>B22</f>
        <v>楼层</v>
      </c>
      <c r="R22" s="1565" t="s">
        <v>8</v>
      </c>
      <c r="S22" s="1566">
        <f>F22</f>
        <v>100</v>
      </c>
      <c r="T22" s="1565" t="s">
        <v>8</v>
      </c>
      <c r="U22" s="1566">
        <f>H22</f>
        <v>100</v>
      </c>
      <c r="V22" s="1565" t="s">
        <v>8</v>
      </c>
      <c r="W22" s="1566">
        <f>J22</f>
        <v>100</v>
      </c>
      <c r="X22" s="1559"/>
      <c r="Y22" s="3761"/>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4"/>
      <c r="M23" s="2126"/>
      <c r="N23" s="2126"/>
      <c r="O23" s="2133"/>
      <c r="P23" s="3761"/>
      <c r="Q23" s="1564">
        <f>B23</f>
        <v>111</v>
      </c>
      <c r="R23" s="1565" t="s">
        <v>8</v>
      </c>
      <c r="S23" s="1566">
        <f>F23</f>
        <v>100</v>
      </c>
      <c r="T23" s="1565" t="s">
        <v>8</v>
      </c>
      <c r="U23" s="1566">
        <f>H23</f>
        <v>100</v>
      </c>
      <c r="V23" s="1565" t="s">
        <v>8</v>
      </c>
      <c r="W23" s="1566">
        <f>J23</f>
        <v>100</v>
      </c>
      <c r="X23" s="1559"/>
      <c r="Y23" s="3761"/>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4"/>
      <c r="M24" s="2126"/>
      <c r="N24" s="2126"/>
      <c r="O24" s="2133"/>
      <c r="P24" s="3761"/>
      <c r="Q24" s="1564">
        <f t="shared" ref="Q24:Q36" si="11">B24</f>
        <v>111</v>
      </c>
      <c r="R24" s="1565" t="s">
        <v>8</v>
      </c>
      <c r="S24" s="1566">
        <f>F24</f>
        <v>100</v>
      </c>
      <c r="T24" s="1565" t="s">
        <v>8</v>
      </c>
      <c r="U24" s="1566">
        <f>H24</f>
        <v>100</v>
      </c>
      <c r="V24" s="1565" t="s">
        <v>8</v>
      </c>
      <c r="W24" s="1566">
        <f>J24</f>
        <v>100</v>
      </c>
      <c r="X24" s="1559"/>
      <c r="Y24" s="3761"/>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7"/>
      <c r="M25" s="2128"/>
      <c r="N25" s="2128"/>
      <c r="O25" s="2129"/>
      <c r="P25" s="3761"/>
      <c r="Q25" s="1144">
        <f t="shared" si="11"/>
        <v>111</v>
      </c>
      <c r="R25" s="1560" t="s">
        <v>8</v>
      </c>
      <c r="S25" s="1561">
        <f>F25</f>
        <v>100</v>
      </c>
      <c r="T25" s="1560" t="s">
        <v>8</v>
      </c>
      <c r="U25" s="1561">
        <f>H25</f>
        <v>100</v>
      </c>
      <c r="V25" s="1560" t="s">
        <v>8</v>
      </c>
      <c r="W25" s="1561">
        <f>J25</f>
        <v>100</v>
      </c>
      <c r="X25" s="1562"/>
      <c r="Y25" s="3761"/>
      <c r="Z25" s="1143">
        <f>Q25</f>
        <v>111</v>
      </c>
      <c r="AA25" s="1568">
        <f>D25/F25</f>
        <v>1</v>
      </c>
      <c r="AB25" s="1568">
        <f>D25/H25</f>
        <v>1</v>
      </c>
      <c r="AC25" s="1568">
        <f>D25/J25</f>
        <v>1</v>
      </c>
    </row>
    <row r="26" spans="1:29" ht="15">
      <c r="A26" s="2924"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4"/>
      <c r="M26" s="2126"/>
      <c r="N26" s="2126"/>
      <c r="O26" s="2133"/>
      <c r="P26" s="3762"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63"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2"/>
      <c r="M27" s="2163"/>
      <c r="N27" s="2163"/>
      <c r="O27" s="2135"/>
      <c r="P27" s="3763"/>
      <c r="Q27" s="1597" t="str">
        <f t="shared" si="11"/>
        <v>项目停车位配比</v>
      </c>
      <c r="R27" s="1569" t="s">
        <v>8</v>
      </c>
      <c r="S27" s="1570">
        <f t="shared" si="12"/>
        <v>100</v>
      </c>
      <c r="T27" s="1569" t="s">
        <v>8</v>
      </c>
      <c r="U27" s="1570">
        <f t="shared" si="13"/>
        <v>100</v>
      </c>
      <c r="V27" s="1569" t="s">
        <v>8</v>
      </c>
      <c r="W27" s="1570">
        <f t="shared" si="14"/>
        <v>100</v>
      </c>
      <c r="X27" s="1571"/>
      <c r="Y27" s="3763"/>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4"/>
      <c r="M28" s="2126"/>
      <c r="N28" s="2126"/>
      <c r="O28" s="2133"/>
      <c r="P28" s="3763"/>
      <c r="Q28" s="1564" t="str">
        <f t="shared" si="11"/>
        <v>公共部分装修</v>
      </c>
      <c r="R28" s="1565" t="s">
        <v>8</v>
      </c>
      <c r="S28" s="1566">
        <f t="shared" si="12"/>
        <v>100</v>
      </c>
      <c r="T28" s="1565" t="s">
        <v>8</v>
      </c>
      <c r="U28" s="1566">
        <f t="shared" si="13"/>
        <v>100</v>
      </c>
      <c r="V28" s="1565" t="s">
        <v>8</v>
      </c>
      <c r="W28" s="1566">
        <f t="shared" si="14"/>
        <v>100</v>
      </c>
      <c r="X28" s="1559"/>
      <c r="Y28" s="3763"/>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4"/>
      <c r="M29" s="2126"/>
      <c r="N29" s="2126"/>
      <c r="O29" s="2133"/>
      <c r="P29" s="3763"/>
      <c r="Q29" s="1564" t="str">
        <f t="shared" si="11"/>
        <v>成新率</v>
      </c>
      <c r="R29" s="1565" t="s">
        <v>8</v>
      </c>
      <c r="S29" s="1566" t="e">
        <f t="shared" si="12"/>
        <v>#N/A</v>
      </c>
      <c r="T29" s="1565" t="s">
        <v>8</v>
      </c>
      <c r="U29" s="1566" t="e">
        <f t="shared" si="13"/>
        <v>#N/A</v>
      </c>
      <c r="V29" s="1565" t="s">
        <v>8</v>
      </c>
      <c r="W29" s="1566" t="e">
        <f t="shared" si="14"/>
        <v>#N/A</v>
      </c>
      <c r="X29" s="1559"/>
      <c r="Y29" s="3763"/>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4"/>
      <c r="M30" s="2126"/>
      <c r="N30" s="2126"/>
      <c r="O30" s="2133"/>
      <c r="P30" s="3763"/>
      <c r="Q30" s="1564" t="str">
        <f t="shared" si="11"/>
        <v>物业等级</v>
      </c>
      <c r="R30" s="1565" t="s">
        <v>8</v>
      </c>
      <c r="S30" s="1566">
        <f t="shared" si="12"/>
        <v>100</v>
      </c>
      <c r="T30" s="1565" t="s">
        <v>8</v>
      </c>
      <c r="U30" s="1566">
        <f t="shared" si="13"/>
        <v>100</v>
      </c>
      <c r="V30" s="1565" t="s">
        <v>8</v>
      </c>
      <c r="W30" s="1566">
        <f t="shared" si="14"/>
        <v>100</v>
      </c>
      <c r="X30" s="1559"/>
      <c r="Y30" s="3763"/>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7"/>
      <c r="M31" s="2128"/>
      <c r="N31" s="2128"/>
      <c r="O31" s="2129"/>
      <c r="P31" s="3763"/>
      <c r="Q31" s="1144" t="str">
        <f t="shared" si="11"/>
        <v>停车位面积</v>
      </c>
      <c r="R31" s="1560" t="s">
        <v>8</v>
      </c>
      <c r="S31" s="1561" t="e">
        <f t="shared" si="12"/>
        <v>#N/A</v>
      </c>
      <c r="T31" s="1560" t="s">
        <v>8</v>
      </c>
      <c r="U31" s="1561" t="e">
        <f t="shared" si="13"/>
        <v>#N/A</v>
      </c>
      <c r="V31" s="1560" t="s">
        <v>8</v>
      </c>
      <c r="W31" s="1561" t="e">
        <f t="shared" si="14"/>
        <v>#N/A</v>
      </c>
      <c r="X31" s="1562"/>
      <c r="Y31" s="3763"/>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4"/>
      <c r="M32" s="2126"/>
      <c r="N32" s="2126"/>
      <c r="O32" s="2133"/>
      <c r="P32" s="3763" t="s">
        <v>551</v>
      </c>
      <c r="Q32" s="1564" t="str">
        <f t="shared" si="11"/>
        <v>车位类型</v>
      </c>
      <c r="R32" s="1565" t="s">
        <v>8</v>
      </c>
      <c r="S32" s="1566">
        <f t="shared" si="12"/>
        <v>100</v>
      </c>
      <c r="T32" s="1565" t="s">
        <v>8</v>
      </c>
      <c r="U32" s="1566">
        <f t="shared" si="13"/>
        <v>100</v>
      </c>
      <c r="V32" s="1565" t="s">
        <v>8</v>
      </c>
      <c r="W32" s="1566">
        <f t="shared" si="14"/>
        <v>100</v>
      </c>
      <c r="X32" s="1559"/>
      <c r="Y32" s="3763"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4"/>
      <c r="M33" s="2126"/>
      <c r="N33" s="2126"/>
      <c r="O33" s="2133"/>
      <c r="P33" s="3763"/>
      <c r="Q33" s="1564" t="str">
        <f t="shared" si="11"/>
        <v>是否直接入户</v>
      </c>
      <c r="R33" s="1565" t="s">
        <v>8</v>
      </c>
      <c r="S33" s="1566">
        <f t="shared" si="12"/>
        <v>100</v>
      </c>
      <c r="T33" s="1565" t="s">
        <v>8</v>
      </c>
      <c r="U33" s="1566">
        <f t="shared" si="13"/>
        <v>100</v>
      </c>
      <c r="V33" s="1565" t="s">
        <v>8</v>
      </c>
      <c r="W33" s="1566">
        <f t="shared" si="14"/>
        <v>100</v>
      </c>
      <c r="X33" s="1559"/>
      <c r="Y33" s="3763"/>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4"/>
      <c r="M34" s="2126"/>
      <c r="N34" s="2126"/>
      <c r="O34" s="2133"/>
      <c r="P34" s="3763"/>
      <c r="Q34" s="1564">
        <f t="shared" si="11"/>
        <v>111</v>
      </c>
      <c r="R34" s="1565" t="s">
        <v>8</v>
      </c>
      <c r="S34" s="1566">
        <f t="shared" si="12"/>
        <v>100</v>
      </c>
      <c r="T34" s="1565" t="s">
        <v>8</v>
      </c>
      <c r="U34" s="1566">
        <f t="shared" si="13"/>
        <v>100</v>
      </c>
      <c r="V34" s="1565" t="s">
        <v>8</v>
      </c>
      <c r="W34" s="1566">
        <f t="shared" si="14"/>
        <v>100</v>
      </c>
      <c r="X34" s="1559"/>
      <c r="Y34" s="3763"/>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2"/>
      <c r="M35" s="2163"/>
      <c r="N35" s="2163"/>
      <c r="O35" s="2135"/>
      <c r="P35" s="3763"/>
      <c r="Q35" s="1597">
        <f t="shared" si="11"/>
        <v>111</v>
      </c>
      <c r="R35" s="1569" t="s">
        <v>8</v>
      </c>
      <c r="S35" s="1570">
        <f t="shared" si="12"/>
        <v>100</v>
      </c>
      <c r="T35" s="1569" t="s">
        <v>8</v>
      </c>
      <c r="U35" s="1570">
        <f t="shared" si="13"/>
        <v>100</v>
      </c>
      <c r="V35" s="1569" t="s">
        <v>8</v>
      </c>
      <c r="W35" s="1570">
        <f t="shared" si="14"/>
        <v>100</v>
      </c>
      <c r="X35" s="1571"/>
      <c r="Y35" s="3763"/>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4"/>
      <c r="M36" s="2126"/>
      <c r="N36" s="2126"/>
      <c r="O36" s="2133"/>
      <c r="P36" s="3763"/>
      <c r="Q36" s="1564">
        <f t="shared" si="11"/>
        <v>111</v>
      </c>
      <c r="R36" s="1565" t="s">
        <v>8</v>
      </c>
      <c r="S36" s="1566">
        <f t="shared" si="12"/>
        <v>100</v>
      </c>
      <c r="T36" s="1565" t="s">
        <v>8</v>
      </c>
      <c r="U36" s="1566">
        <f t="shared" si="13"/>
        <v>100</v>
      </c>
      <c r="V36" s="1565" t="s">
        <v>8</v>
      </c>
      <c r="W36" s="1566">
        <f t="shared" si="14"/>
        <v>100</v>
      </c>
      <c r="X36" s="1559"/>
      <c r="Y36" s="3763"/>
      <c r="Z36" s="1567">
        <f t="shared" si="15"/>
        <v>111</v>
      </c>
      <c r="AA36" s="1568">
        <f t="shared" si="3"/>
        <v>1</v>
      </c>
      <c r="AB36" s="1568">
        <f t="shared" si="4"/>
        <v>1</v>
      </c>
      <c r="AC36" s="1568">
        <f t="shared" si="5"/>
        <v>1</v>
      </c>
    </row>
    <row r="37" spans="1:29" ht="15">
      <c r="A37" s="1838" t="s">
        <v>2078</v>
      </c>
      <c r="B37" s="1839" t="s">
        <v>2079</v>
      </c>
      <c r="C37" s="2643" t="s">
        <v>1</v>
      </c>
      <c r="D37" s="2644"/>
      <c r="E37" s="2645"/>
      <c r="F37" s="2646"/>
      <c r="G37" s="2647"/>
      <c r="H37" s="2648"/>
      <c r="I37" s="2645"/>
      <c r="J37" s="2648"/>
      <c r="K37" s="1603"/>
      <c r="L37" s="2136"/>
      <c r="M37" s="2137"/>
      <c r="N37" s="2126"/>
      <c r="O37" s="2137"/>
      <c r="P37" s="3758" t="str">
        <f>A37</f>
        <v>成交单价</v>
      </c>
      <c r="Q37" s="3758"/>
      <c r="R37" s="3859">
        <f>E37</f>
        <v>0</v>
      </c>
      <c r="S37" s="3859"/>
      <c r="T37" s="3859">
        <f>G37</f>
        <v>0</v>
      </c>
      <c r="U37" s="3859"/>
      <c r="V37" s="3859">
        <f>I37</f>
        <v>0</v>
      </c>
      <c r="W37" s="3859"/>
      <c r="X37" s="1551"/>
      <c r="Y37" s="1573"/>
      <c r="Z37" s="1551"/>
      <c r="AA37" s="1551"/>
      <c r="AB37" s="1551"/>
      <c r="AC37" s="1551"/>
    </row>
    <row r="38" spans="1:29" ht="15.75" thickBot="1">
      <c r="A38" s="612" t="s">
        <v>2764</v>
      </c>
      <c r="B38" s="881"/>
      <c r="C38" s="2649" t="e">
        <f>R39</f>
        <v>#DIV/0!</v>
      </c>
      <c r="D38" s="2650"/>
      <c r="E38" s="2651" t="e">
        <f>R38</f>
        <v>#DIV/0!</v>
      </c>
      <c r="F38" s="2651"/>
      <c r="G38" s="2649" t="e">
        <f>T38</f>
        <v>#DIV/0!</v>
      </c>
      <c r="H38" s="2650"/>
      <c r="I38" s="2651" t="e">
        <f>V38</f>
        <v>#DIV/0!</v>
      </c>
      <c r="J38" s="2650"/>
      <c r="K38" s="1604"/>
      <c r="L38" s="2136"/>
      <c r="M38" s="2137"/>
      <c r="N38" s="2137"/>
      <c r="O38" s="2137"/>
      <c r="P38" s="3758" t="str">
        <f>A38</f>
        <v>比较价格（元/平方米）</v>
      </c>
      <c r="Q38" s="3758"/>
      <c r="R38" s="3859" t="e">
        <f>IF(F1="售价",ROUND(PRODUCT(R37,AA7:AA36),0),ROUND(PRODUCT(R37,AA7:AA36),1))</f>
        <v>#DIV/0!</v>
      </c>
      <c r="S38" s="3859"/>
      <c r="T38" s="3859" t="e">
        <f>IF(F1="售价",ROUND(PRODUCT(T37,AB7:AB36),0),ROUND(PRODUCT(T37,AB7:AB36),1))</f>
        <v>#DIV/0!</v>
      </c>
      <c r="U38" s="3859"/>
      <c r="V38" s="3859" t="e">
        <f>IF(F1="售价",ROUND(PRODUCT(V37,AC7:AC36),0),ROUND(PRODUCT(V37,AC7:AC36),1))</f>
        <v>#DIV/0!</v>
      </c>
      <c r="W38" s="3859"/>
      <c r="X38" s="1551"/>
      <c r="Y38" s="1551"/>
      <c r="Z38" s="1551"/>
      <c r="AA38" s="1551"/>
      <c r="AB38" s="1551"/>
      <c r="AC38" s="1551"/>
    </row>
    <row r="39" spans="1:29" ht="15.75" thickBot="1">
      <c r="A39" s="618" t="s">
        <v>2935</v>
      </c>
      <c r="B39" s="619"/>
      <c r="C39" s="2652" t="e">
        <f>R39</f>
        <v>#DIV/0!</v>
      </c>
      <c r="D39" s="2652"/>
      <c r="E39" s="2652"/>
      <c r="F39" s="2652"/>
      <c r="G39" s="2652"/>
      <c r="H39" s="2652"/>
      <c r="I39" s="2652"/>
      <c r="J39" s="2652"/>
      <c r="K39" s="1605"/>
      <c r="L39" s="2136"/>
      <c r="M39" s="2137"/>
      <c r="N39" s="2137"/>
      <c r="O39" s="2137"/>
      <c r="P39" s="3779" t="str">
        <f>A39</f>
        <v>估价对象XX用房的比较价格（楼面单价，元/平方米）</v>
      </c>
      <c r="Q39" s="3780"/>
      <c r="R39" s="3858" t="e">
        <f>IF(F1="售价",ROUND(AVERAGE(R38:V38),0),ROUND(AVERAGE(R38:V38),1))</f>
        <v>#DIV/0!</v>
      </c>
      <c r="S39" s="3858"/>
      <c r="T39" s="3858"/>
      <c r="U39" s="3858"/>
      <c r="V39" s="3858"/>
      <c r="W39" s="3858"/>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8" customFormat="1" ht="13.5" customHeight="1">
      <c r="A44" s="2138"/>
      <c r="B44" s="2138"/>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8"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575</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0" customFormat="1" ht="15">
      <c r="A48" s="642" t="s">
        <v>530</v>
      </c>
      <c r="B48" s="643"/>
      <c r="C48" s="2819" t="str">
        <f>YEAR(C7)&amp;"-"&amp;MONTH(C7)</f>
        <v>2018-6</v>
      </c>
      <c r="D48" s="2821">
        <f>EDATE(C48,-1)</f>
        <v>43221</v>
      </c>
      <c r="E48" s="2821">
        <f t="shared" ref="E48:O48" si="16">EDATE(D48,-1)</f>
        <v>43191</v>
      </c>
      <c r="F48" s="2821">
        <f t="shared" si="16"/>
        <v>43160</v>
      </c>
      <c r="G48" s="2821">
        <f t="shared" si="16"/>
        <v>43132</v>
      </c>
      <c r="H48" s="2821">
        <f t="shared" si="16"/>
        <v>43101</v>
      </c>
      <c r="I48" s="2821">
        <f t="shared" si="16"/>
        <v>43070</v>
      </c>
      <c r="J48" s="2821">
        <f t="shared" si="16"/>
        <v>43040</v>
      </c>
      <c r="K48" s="2821">
        <f t="shared" si="16"/>
        <v>43009</v>
      </c>
      <c r="L48" s="2821">
        <f t="shared" si="16"/>
        <v>42979</v>
      </c>
      <c r="M48" s="2821">
        <f t="shared" si="16"/>
        <v>42948</v>
      </c>
      <c r="N48" s="2821">
        <f t="shared" si="16"/>
        <v>42917</v>
      </c>
      <c r="O48" s="2821">
        <f t="shared" si="16"/>
        <v>42887</v>
      </c>
      <c r="P48" s="2152"/>
      <c r="Q48" s="2153"/>
      <c r="R48" s="2153"/>
      <c r="S48" s="2153"/>
      <c r="T48" s="2153"/>
      <c r="U48" s="2153"/>
      <c r="V48" s="2153"/>
      <c r="W48" s="2153"/>
      <c r="X48" s="2153"/>
      <c r="Y48" s="2153"/>
      <c r="Z48" s="2153"/>
      <c r="AA48" s="2153"/>
      <c r="AB48" s="2153"/>
      <c r="AC48" s="2153"/>
    </row>
    <row r="49" spans="1:29" s="1213"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3" customFormat="1" ht="15.75" thickBot="1">
      <c r="A50" s="650" t="s">
        <v>576</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3" customFormat="1" ht="15">
      <c r="A51" s="656" t="s">
        <v>532</v>
      </c>
      <c r="B51" s="645"/>
      <c r="C51" s="657" t="s">
        <v>577</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3"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578</v>
      </c>
      <c r="B53" s="662" t="s">
        <v>535</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28">
        <f>B11</f>
        <v>111</v>
      </c>
      <c r="C57" s="539"/>
      <c r="D57" s="539"/>
      <c r="E57" s="539"/>
      <c r="F57" s="539"/>
      <c r="G57" s="539"/>
      <c r="H57" s="539"/>
      <c r="I57" s="539"/>
      <c r="J57" s="539"/>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2" customFormat="1" ht="15.75" thickTop="1">
      <c r="A59" s="684"/>
      <c r="B59" s="670">
        <f>B12</f>
        <v>111</v>
      </c>
      <c r="C59" s="539"/>
      <c r="D59" s="539"/>
      <c r="E59" s="539"/>
      <c r="F59" s="539"/>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2"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2"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2"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2561</v>
      </c>
      <c r="C65" s="705" t="s">
        <v>580</v>
      </c>
      <c r="D65" s="705" t="s">
        <v>581</v>
      </c>
      <c r="E65" s="705" t="s">
        <v>582</v>
      </c>
      <c r="F65" s="705" t="s">
        <v>583</v>
      </c>
      <c r="G65" s="705" t="s">
        <v>584</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2562</v>
      </c>
      <c r="C67" s="2614" t="s">
        <v>2563</v>
      </c>
      <c r="D67" s="2614" t="s">
        <v>2564</v>
      </c>
      <c r="E67" s="2614" t="s">
        <v>2565</v>
      </c>
      <c r="F67" s="2614" t="s">
        <v>2566</v>
      </c>
      <c r="G67" s="2614" t="s">
        <v>2567</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745</v>
      </c>
      <c r="C69" s="705" t="s">
        <v>580</v>
      </c>
      <c r="D69" s="705" t="s">
        <v>581</v>
      </c>
      <c r="E69" s="705" t="s">
        <v>582</v>
      </c>
      <c r="F69" s="705" t="s">
        <v>583</v>
      </c>
      <c r="G69" s="705" t="s">
        <v>584</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746</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3" customFormat="1" ht="15.75" thickTop="1">
      <c r="A73" s="706"/>
      <c r="B73" s="670">
        <f>B23</f>
        <v>111</v>
      </c>
      <c r="C73" s="539"/>
      <c r="D73" s="539"/>
      <c r="E73" s="539"/>
      <c r="F73" s="539"/>
      <c r="G73" s="685"/>
      <c r="H73" s="685"/>
      <c r="I73" s="685"/>
      <c r="J73" s="685"/>
      <c r="K73" s="685"/>
      <c r="L73" s="883"/>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3" customFormat="1" ht="15.75" thickTop="1">
      <c r="A75" s="706"/>
      <c r="B75" s="670">
        <f>B24</f>
        <v>111</v>
      </c>
      <c r="C75" s="539"/>
      <c r="D75" s="539"/>
      <c r="E75" s="539"/>
      <c r="F75" s="539"/>
      <c r="G75" s="685"/>
      <c r="H75" s="685"/>
      <c r="I75" s="685"/>
      <c r="J75" s="685"/>
      <c r="K75" s="685"/>
      <c r="L75" s="685"/>
      <c r="M75" s="884"/>
      <c r="N75" s="2154"/>
      <c r="O75" s="2154"/>
      <c r="P75" s="2157"/>
      <c r="Q75" s="2150"/>
      <c r="R75" s="1985"/>
      <c r="S75" s="1985"/>
      <c r="T75" s="1985"/>
      <c r="U75" s="1985"/>
      <c r="V75" s="1985"/>
      <c r="W75" s="1985"/>
      <c r="X75" s="1985"/>
      <c r="Y75" s="1985"/>
      <c r="Z75" s="1985"/>
      <c r="AA75" s="1985"/>
      <c r="AB75" s="1985"/>
      <c r="AC75" s="1985"/>
    </row>
    <row r="76" spans="1:29" s="1213"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2"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2"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552</v>
      </c>
      <c r="B79" s="662" t="s">
        <v>815</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816</v>
      </c>
      <c r="C81" s="929"/>
      <c r="D81" s="929"/>
      <c r="E81" s="929"/>
      <c r="F81" s="929"/>
      <c r="G81" s="929"/>
      <c r="H81" s="929"/>
      <c r="I81" s="929"/>
      <c r="J81" s="929"/>
      <c r="K81" s="930"/>
      <c r="L81" s="931"/>
      <c r="M81" s="932"/>
      <c r="N81" s="2154"/>
      <c r="O81" s="2154"/>
      <c r="P81" s="2157"/>
      <c r="Q81" s="2150"/>
      <c r="R81" s="2137"/>
      <c r="S81" s="2137"/>
      <c r="T81" s="2137"/>
      <c r="U81" s="2137"/>
      <c r="V81" s="2137"/>
      <c r="W81" s="2137"/>
      <c r="X81" s="2137"/>
      <c r="Y81" s="2137"/>
      <c r="Z81" s="2137"/>
      <c r="AA81" s="2137"/>
      <c r="AB81" s="2137"/>
      <c r="AC81" s="2137"/>
    </row>
    <row r="82" spans="1:29" s="1332"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752</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87">
        <v>0.5</v>
      </c>
      <c r="D86" s="887">
        <v>0.6</v>
      </c>
      <c r="E86" s="887">
        <v>0.7</v>
      </c>
      <c r="F86" s="887">
        <v>0.8</v>
      </c>
      <c r="G86" s="887">
        <v>0.9</v>
      </c>
      <c r="H86" s="887">
        <v>1.0001</v>
      </c>
      <c r="I86" s="898"/>
      <c r="J86" s="898"/>
      <c r="K86" s="899"/>
      <c r="L86" s="900"/>
      <c r="M86" s="901"/>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2"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820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821</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0">
        <f>B34</f>
        <v>111</v>
      </c>
      <c r="C97" s="539"/>
      <c r="D97" s="539"/>
      <c r="E97" s="539"/>
      <c r="F97" s="539"/>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2" customFormat="1" ht="15" thickTop="1">
      <c r="A99" s="725"/>
      <c r="B99" s="670">
        <f>B35</f>
        <v>111</v>
      </c>
      <c r="C99" s="539"/>
      <c r="D99" s="539"/>
      <c r="E99" s="539"/>
      <c r="F99" s="539"/>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2"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64" t="s">
        <v>799</v>
      </c>
      <c r="D4" s="3765"/>
      <c r="E4" s="3789" t="s">
        <v>800</v>
      </c>
      <c r="F4" s="3790"/>
      <c r="G4" s="3764" t="s">
        <v>801</v>
      </c>
      <c r="H4" s="3765"/>
      <c r="I4" s="3764" t="s">
        <v>802</v>
      </c>
      <c r="J4" s="3765"/>
      <c r="K4" s="512" t="s">
        <v>803</v>
      </c>
      <c r="L4" s="2125"/>
      <c r="M4" s="2126"/>
      <c r="N4" s="2126"/>
      <c r="O4" s="2126"/>
      <c r="P4" s="3766" t="s">
        <v>804</v>
      </c>
      <c r="Q4" s="3767"/>
      <c r="R4" s="3752" t="s">
        <v>800</v>
      </c>
      <c r="S4" s="3753"/>
      <c r="T4" s="3752" t="s">
        <v>801</v>
      </c>
      <c r="U4" s="3753"/>
      <c r="V4" s="3772" t="s">
        <v>802</v>
      </c>
      <c r="W4" s="3772"/>
      <c r="X4" s="1559"/>
      <c r="Y4" s="3752" t="s">
        <v>804</v>
      </c>
      <c r="Z4" s="3753"/>
      <c r="AA4" s="3747" t="s">
        <v>800</v>
      </c>
      <c r="AB4" s="3748" t="s">
        <v>801</v>
      </c>
      <c r="AC4" s="3747" t="s">
        <v>802</v>
      </c>
    </row>
    <row r="5" spans="1:29" ht="15">
      <c r="A5" s="513"/>
      <c r="B5" s="514"/>
      <c r="C5" s="3775" t="s">
        <v>2929</v>
      </c>
      <c r="D5" s="3776"/>
      <c r="E5" s="3791" t="s">
        <v>2930</v>
      </c>
      <c r="F5" s="3792"/>
      <c r="G5" s="3775" t="s">
        <v>2931</v>
      </c>
      <c r="H5" s="3776"/>
      <c r="I5" s="3775" t="s">
        <v>2932</v>
      </c>
      <c r="J5" s="3776"/>
      <c r="K5" s="512"/>
      <c r="L5" s="2125"/>
      <c r="M5" s="2126"/>
      <c r="N5" s="2126"/>
      <c r="O5" s="2126"/>
      <c r="P5" s="3768"/>
      <c r="Q5" s="3769"/>
      <c r="R5" s="3754"/>
      <c r="S5" s="3755"/>
      <c r="T5" s="3754"/>
      <c r="U5" s="3755"/>
      <c r="V5" s="3772"/>
      <c r="W5" s="3772"/>
      <c r="X5" s="1559"/>
      <c r="Y5" s="3754"/>
      <c r="Z5" s="3755"/>
      <c r="AA5" s="3748"/>
      <c r="AB5" s="3748"/>
      <c r="AC5" s="3748"/>
    </row>
    <row r="6" spans="1:29" ht="15.75" thickBot="1">
      <c r="A6" s="515"/>
      <c r="B6" s="516"/>
      <c r="C6" s="3773" t="s">
        <v>2933</v>
      </c>
      <c r="D6" s="3774"/>
      <c r="E6" s="3793" t="s">
        <v>2933</v>
      </c>
      <c r="F6" s="3794"/>
      <c r="G6" s="3773" t="s">
        <v>2933</v>
      </c>
      <c r="H6" s="3774"/>
      <c r="I6" s="3773" t="s">
        <v>2933</v>
      </c>
      <c r="J6" s="3774"/>
      <c r="K6" s="512" t="s">
        <v>529</v>
      </c>
      <c r="L6" s="2125"/>
      <c r="M6" s="2126"/>
      <c r="N6" s="2126"/>
      <c r="O6" s="2126"/>
      <c r="P6" s="3770"/>
      <c r="Q6" s="3771"/>
      <c r="R6" s="3754"/>
      <c r="S6" s="3755"/>
      <c r="T6" s="3756"/>
      <c r="U6" s="3757"/>
      <c r="V6" s="3772"/>
      <c r="W6" s="3772"/>
      <c r="X6" s="1559"/>
      <c r="Y6" s="3756"/>
      <c r="Z6" s="3757"/>
      <c r="AA6" s="3749"/>
      <c r="AB6" s="3749"/>
      <c r="AC6" s="3749"/>
    </row>
    <row r="7" spans="1:29" s="1213" customFormat="1" ht="15.75" thickBot="1">
      <c r="A7" s="2928"/>
      <c r="B7" s="2935" t="s">
        <v>530</v>
      </c>
      <c r="C7" s="517">
        <f>'数据-取费表'!B2</f>
        <v>43271</v>
      </c>
      <c r="D7" s="518">
        <v>100</v>
      </c>
      <c r="E7" s="519"/>
      <c r="F7" s="520">
        <f>SUMIF(46:46,YEAR(E7)&amp;"-"&amp;MONTH(E7),47:47)</f>
        <v>0</v>
      </c>
      <c r="G7" s="521"/>
      <c r="H7" s="518">
        <f>SUMIF(46:46,YEAR(G7)&amp;"-"&amp;MONTH(G7),47:47)</f>
        <v>0</v>
      </c>
      <c r="I7" s="521"/>
      <c r="J7" s="518">
        <f>SUMIF(46:46,YEAR(I7)&amp;"-"&amp;MONTH(I7),47:47)</f>
        <v>0</v>
      </c>
      <c r="K7" s="522"/>
      <c r="L7" s="2127"/>
      <c r="M7" s="2128"/>
      <c r="N7" s="2128"/>
      <c r="O7" s="2128"/>
      <c r="P7" s="3750" t="s">
        <v>531</v>
      </c>
      <c r="Q7" s="3759"/>
      <c r="R7" s="1560" t="s">
        <v>8</v>
      </c>
      <c r="S7" s="1561">
        <f t="shared" ref="S7:S14" si="0">F7</f>
        <v>0</v>
      </c>
      <c r="T7" s="1560" t="s">
        <v>8</v>
      </c>
      <c r="U7" s="1561">
        <f t="shared" ref="U7:U14" si="1">H7</f>
        <v>0</v>
      </c>
      <c r="V7" s="1560" t="s">
        <v>8</v>
      </c>
      <c r="W7" s="1561">
        <f t="shared" ref="W7:W14" si="2">J7</f>
        <v>0</v>
      </c>
      <c r="X7" s="1562"/>
      <c r="Y7" s="3750" t="s">
        <v>531</v>
      </c>
      <c r="Z7" s="3751"/>
      <c r="AA7" s="1563" t="e">
        <f>D7/F7</f>
        <v>#DIV/0!</v>
      </c>
      <c r="AB7" s="1563" t="e">
        <f>D7/H7</f>
        <v>#DIV/0!</v>
      </c>
      <c r="AC7" s="1563" t="e">
        <f>D7/J7</f>
        <v>#DIV/0!</v>
      </c>
    </row>
    <row r="8" spans="1:29" s="1213" customFormat="1" ht="15.75" thickBot="1">
      <c r="A8" s="2929"/>
      <c r="B8" s="2936" t="s">
        <v>532</v>
      </c>
      <c r="C8" s="523" t="s">
        <v>577</v>
      </c>
      <c r="D8" s="518">
        <v>100</v>
      </c>
      <c r="E8" s="523"/>
      <c r="F8" s="520">
        <f>SUMIF(49:49,E8,50:50)-SUMIF(49:49,C8,50:50)+100</f>
        <v>0</v>
      </c>
      <c r="G8" s="523"/>
      <c r="H8" s="518">
        <f>SUMIF(49:49,G8,50:50)-SUMIF(49:49,C8,50:50)+100</f>
        <v>0</v>
      </c>
      <c r="I8" s="523"/>
      <c r="J8" s="518">
        <f>SUMIF(49:49,I8,50:50)-SUMIF(49:49,C8,50:50)+100</f>
        <v>0</v>
      </c>
      <c r="K8" s="522"/>
      <c r="L8" s="2127"/>
      <c r="M8" s="2128"/>
      <c r="N8" s="2128"/>
      <c r="O8" s="2128"/>
      <c r="P8" s="3750" t="s">
        <v>534</v>
      </c>
      <c r="Q8" s="3751"/>
      <c r="R8" s="1560" t="s">
        <v>8</v>
      </c>
      <c r="S8" s="1561">
        <f t="shared" si="0"/>
        <v>0</v>
      </c>
      <c r="T8" s="1560" t="s">
        <v>8</v>
      </c>
      <c r="U8" s="1561">
        <f t="shared" si="1"/>
        <v>0</v>
      </c>
      <c r="V8" s="1560" t="s">
        <v>8</v>
      </c>
      <c r="W8" s="1561">
        <f t="shared" si="2"/>
        <v>0</v>
      </c>
      <c r="X8" s="1562"/>
      <c r="Y8" s="3750" t="s">
        <v>534</v>
      </c>
      <c r="Z8" s="3751"/>
      <c r="AA8" s="1563" t="e">
        <f t="shared" ref="AA8:AA34" si="3">D8/F8</f>
        <v>#DIV/0!</v>
      </c>
      <c r="AB8" s="1563" t="e">
        <f t="shared" ref="AB8:AB34" si="4">D8/H8</f>
        <v>#DIV/0!</v>
      </c>
      <c r="AC8" s="1563" t="e">
        <f t="shared" ref="AC8:AC34" si="5">D8/J8</f>
        <v>#DIV/0!</v>
      </c>
    </row>
    <row r="9" spans="1:29" s="1213" customFormat="1" ht="15">
      <c r="A9" s="2930"/>
      <c r="B9" s="2937" t="s">
        <v>2760</v>
      </c>
      <c r="C9" s="854"/>
      <c r="D9" s="252">
        <v>100</v>
      </c>
      <c r="E9" s="857"/>
      <c r="F9" s="252">
        <f>SUMIF(51:51,E9,52:52)-SUMIF(51:51,C9,52:52)+100</f>
        <v>100</v>
      </c>
      <c r="G9" s="857"/>
      <c r="H9" s="252">
        <f>SUMIF(51:51,G9,52:52)-SUMIF(51:51,C9,52:52)+100</f>
        <v>100</v>
      </c>
      <c r="I9" s="857"/>
      <c r="J9" s="252">
        <f>SUMIF(51:51,I9,52:52)-SUMIF(51:51,C9,52:52)+100</f>
        <v>100</v>
      </c>
      <c r="K9" s="522"/>
      <c r="L9" s="2127"/>
      <c r="M9" s="2128"/>
      <c r="N9" s="2128"/>
      <c r="O9" s="2129"/>
      <c r="P9" s="3758" t="s">
        <v>536</v>
      </c>
      <c r="Q9" s="1144" t="str">
        <f t="shared" ref="Q9:Q14" si="6">B9</f>
        <v>用途</v>
      </c>
      <c r="R9" s="1560" t="s">
        <v>8</v>
      </c>
      <c r="S9" s="1561">
        <f t="shared" si="0"/>
        <v>100</v>
      </c>
      <c r="T9" s="1560" t="s">
        <v>8</v>
      </c>
      <c r="U9" s="1561">
        <f t="shared" si="1"/>
        <v>100</v>
      </c>
      <c r="V9" s="1560" t="s">
        <v>8</v>
      </c>
      <c r="W9" s="1561">
        <f t="shared" si="2"/>
        <v>100</v>
      </c>
      <c r="X9" s="1562"/>
      <c r="Y9" s="3715"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SUMIF(53:53,E10,54:54)-SUMIF(53:53,C10,54:54)+100</f>
        <v>100</v>
      </c>
      <c r="G10" s="859"/>
      <c r="H10" s="253">
        <f>SUMIF(53:53,G10,54:54)-SUMIF(53:53,C10,54:54)+100</f>
        <v>100</v>
      </c>
      <c r="I10" s="858"/>
      <c r="J10" s="253">
        <f>SUMIF(53:53,I10,54:54)-SUMIF(53:53,C10,54:54)+100</f>
        <v>100</v>
      </c>
      <c r="K10" s="581"/>
      <c r="L10" s="2130"/>
      <c r="M10" s="2170"/>
      <c r="N10" s="2170"/>
      <c r="O10" s="2131"/>
      <c r="P10" s="3758"/>
      <c r="Q10" s="1144" t="str">
        <f t="shared" si="6"/>
        <v>土地使用年限（年）</v>
      </c>
      <c r="R10" s="1560" t="s">
        <v>8</v>
      </c>
      <c r="S10" s="1561">
        <f t="shared" si="0"/>
        <v>100</v>
      </c>
      <c r="T10" s="1560" t="s">
        <v>8</v>
      </c>
      <c r="U10" s="1561">
        <f t="shared" si="1"/>
        <v>100</v>
      </c>
      <c r="V10" s="1560" t="s">
        <v>8</v>
      </c>
      <c r="W10" s="1561">
        <f t="shared" si="2"/>
        <v>100</v>
      </c>
      <c r="X10" s="1562"/>
      <c r="Y10" s="3715"/>
      <c r="Z10" s="1143" t="str">
        <f t="shared" si="7"/>
        <v>土地使用年限（年）</v>
      </c>
      <c r="AA10" s="1563">
        <f t="shared" si="3"/>
        <v>1</v>
      </c>
      <c r="AB10" s="1563">
        <f t="shared" si="4"/>
        <v>1</v>
      </c>
      <c r="AC10" s="1563">
        <f t="shared" si="5"/>
        <v>1</v>
      </c>
    </row>
    <row r="11" spans="1:29" ht="15">
      <c r="A11" s="2933"/>
      <c r="B11" s="2939">
        <v>111</v>
      </c>
      <c r="C11" s="526"/>
      <c r="D11" s="253">
        <v>100</v>
      </c>
      <c r="E11" s="875"/>
      <c r="F11" s="253">
        <f>SUMIF(55:55,E11,56:56)-SUMIF(55:55,C11,56:56)+100</f>
        <v>100</v>
      </c>
      <c r="G11" s="875"/>
      <c r="H11" s="253">
        <f>SUMIF(55:55,G11,56:56)-SUMIF(55:55,C11,56:56)+100</f>
        <v>100</v>
      </c>
      <c r="I11" s="875"/>
      <c r="J11" s="253">
        <f>SUMIF(55:55,I11,56:56)-SUMIF(55:55,C11,56:56)+100</f>
        <v>100</v>
      </c>
      <c r="K11" s="578"/>
      <c r="L11" s="2132"/>
      <c r="M11" s="2126"/>
      <c r="N11" s="2126"/>
      <c r="O11" s="2133"/>
      <c r="P11" s="3758"/>
      <c r="Q11" s="1144">
        <f t="shared" si="6"/>
        <v>111</v>
      </c>
      <c r="R11" s="1560" t="s">
        <v>8</v>
      </c>
      <c r="S11" s="1561">
        <f t="shared" si="0"/>
        <v>100</v>
      </c>
      <c r="T11" s="1560" t="s">
        <v>8</v>
      </c>
      <c r="U11" s="1561">
        <f t="shared" si="1"/>
        <v>100</v>
      </c>
      <c r="V11" s="1560" t="s">
        <v>8</v>
      </c>
      <c r="W11" s="1561">
        <f t="shared" si="2"/>
        <v>100</v>
      </c>
      <c r="X11" s="1562"/>
      <c r="Y11" s="3715"/>
      <c r="Z11" s="1143">
        <f t="shared" si="7"/>
        <v>111</v>
      </c>
      <c r="AA11" s="1563">
        <f t="shared" si="3"/>
        <v>1</v>
      </c>
      <c r="AB11" s="1563">
        <f t="shared" si="4"/>
        <v>1</v>
      </c>
      <c r="AC11" s="1563">
        <f t="shared" si="5"/>
        <v>1</v>
      </c>
    </row>
    <row r="12" spans="1:29" s="1213" customFormat="1" ht="15">
      <c r="A12" s="2933"/>
      <c r="B12" s="2939">
        <v>111</v>
      </c>
      <c r="C12" s="526"/>
      <c r="D12" s="536">
        <v>100</v>
      </c>
      <c r="E12" s="875"/>
      <c r="F12" s="253">
        <f>SUMIF(57:57,E12,58:58)-SUMIF(57:57,C12,58:58)+100</f>
        <v>100</v>
      </c>
      <c r="G12" s="875"/>
      <c r="H12" s="253">
        <f>SUMIF(57:57,G12,58:58)-SUMIF(57:57,C12,58:58)+100</f>
        <v>100</v>
      </c>
      <c r="I12" s="875"/>
      <c r="J12" s="253">
        <f>SUMIF(57:57,I12,58:58)-SUMIF(57:57,C12,58:58)+100</f>
        <v>100</v>
      </c>
      <c r="K12" s="578"/>
      <c r="L12" s="2127"/>
      <c r="M12" s="2128"/>
      <c r="N12" s="2128"/>
      <c r="O12" s="2129"/>
      <c r="P12" s="3758"/>
      <c r="Q12" s="1144">
        <f t="shared" si="6"/>
        <v>111</v>
      </c>
      <c r="R12" s="1560" t="s">
        <v>8</v>
      </c>
      <c r="S12" s="1561">
        <f t="shared" si="0"/>
        <v>100</v>
      </c>
      <c r="T12" s="1560" t="s">
        <v>8</v>
      </c>
      <c r="U12" s="1561">
        <f t="shared" si="1"/>
        <v>100</v>
      </c>
      <c r="V12" s="1560" t="s">
        <v>8</v>
      </c>
      <c r="W12" s="1561">
        <f t="shared" si="2"/>
        <v>100</v>
      </c>
      <c r="X12" s="1562"/>
      <c r="Y12" s="3715"/>
      <c r="Z12" s="1143">
        <f t="shared" si="7"/>
        <v>111</v>
      </c>
      <c r="AA12" s="1563">
        <f>D12/F12</f>
        <v>1</v>
      </c>
      <c r="AB12" s="1563">
        <f>D12/H12</f>
        <v>1</v>
      </c>
      <c r="AC12" s="1563">
        <f>D12/J12</f>
        <v>1</v>
      </c>
    </row>
    <row r="13" spans="1:29" ht="15.75" thickBot="1">
      <c r="A13" s="2934"/>
      <c r="B13" s="2940">
        <v>111</v>
      </c>
      <c r="C13" s="537"/>
      <c r="D13" s="538">
        <v>100</v>
      </c>
      <c r="E13" s="875"/>
      <c r="F13" s="253">
        <f>SUMIF(59:59,E13,60:60)-SUMIF(59:59,C13,60:60)+100</f>
        <v>100</v>
      </c>
      <c r="G13" s="875"/>
      <c r="H13" s="538">
        <f>SUMIF(59:59,G13,60:60)-SUMIF(59:59,C13,60:60)+100</f>
        <v>100</v>
      </c>
      <c r="I13" s="875"/>
      <c r="J13" s="538">
        <f>SUMIF(59:59,I13,60:60)-SUMIF(59:59,C13,60:60)+100</f>
        <v>100</v>
      </c>
      <c r="K13" s="578"/>
      <c r="L13" s="2134"/>
      <c r="M13" s="2126"/>
      <c r="N13" s="2126"/>
      <c r="O13" s="2133"/>
      <c r="P13" s="3758"/>
      <c r="Q13" s="1144">
        <f t="shared" si="6"/>
        <v>111</v>
      </c>
      <c r="R13" s="1560" t="s">
        <v>8</v>
      </c>
      <c r="S13" s="1561">
        <f t="shared" si="0"/>
        <v>100</v>
      </c>
      <c r="T13" s="1560" t="s">
        <v>8</v>
      </c>
      <c r="U13" s="1561">
        <f t="shared" si="1"/>
        <v>100</v>
      </c>
      <c r="V13" s="1560" t="s">
        <v>8</v>
      </c>
      <c r="W13" s="1561">
        <f t="shared" si="2"/>
        <v>100</v>
      </c>
      <c r="X13" s="1562"/>
      <c r="Y13" s="3715"/>
      <c r="Z13" s="1143">
        <f t="shared" si="7"/>
        <v>111</v>
      </c>
      <c r="AA13" s="1563">
        <f t="shared" si="3"/>
        <v>1</v>
      </c>
      <c r="AB13" s="1563">
        <f t="shared" si="4"/>
        <v>1</v>
      </c>
      <c r="AC13" s="1563">
        <f t="shared" si="5"/>
        <v>1</v>
      </c>
    </row>
    <row r="14" spans="1:29" ht="114">
      <c r="A14" s="2926"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4"/>
      <c r="M14" s="2126"/>
      <c r="N14" s="2126"/>
      <c r="O14" s="2133"/>
      <c r="P14" s="3760" t="s">
        <v>541</v>
      </c>
      <c r="Q14" s="1564" t="str">
        <f t="shared" si="6"/>
        <v>交通便捷度</v>
      </c>
      <c r="R14" s="1565" t="s">
        <v>8</v>
      </c>
      <c r="S14" s="1566">
        <f t="shared" si="0"/>
        <v>100</v>
      </c>
      <c r="T14" s="1565" t="s">
        <v>8</v>
      </c>
      <c r="U14" s="1566">
        <f t="shared" si="1"/>
        <v>100</v>
      </c>
      <c r="V14" s="1565" t="s">
        <v>8</v>
      </c>
      <c r="W14" s="1566">
        <f t="shared" si="2"/>
        <v>100</v>
      </c>
      <c r="X14" s="1559"/>
      <c r="Y14" s="3760"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4"/>
      <c r="M15" s="2126"/>
      <c r="N15" s="2126"/>
      <c r="O15" s="2133"/>
      <c r="P15" s="3761"/>
      <c r="Q15" s="1564"/>
      <c r="R15" s="1565"/>
      <c r="S15" s="1566"/>
      <c r="T15" s="1565"/>
      <c r="U15" s="1566"/>
      <c r="V15" s="1565"/>
      <c r="W15" s="1566"/>
      <c r="X15" s="1559"/>
      <c r="Y15" s="3761"/>
      <c r="Z15" s="1567"/>
      <c r="AA15" s="1568">
        <v>1</v>
      </c>
      <c r="AB15" s="1568">
        <v>1</v>
      </c>
      <c r="AC15" s="1568">
        <v>1</v>
      </c>
    </row>
    <row r="16" spans="1:29" ht="99.75">
      <c r="A16" s="530"/>
      <c r="B16" s="2619"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4"/>
      <c r="M16" s="2126"/>
      <c r="N16" s="2126"/>
      <c r="O16" s="2133"/>
      <c r="P16" s="3761"/>
      <c r="Q16" s="1564" t="str">
        <f>B16</f>
        <v>公共配套设施</v>
      </c>
      <c r="R16" s="1565" t="s">
        <v>8</v>
      </c>
      <c r="S16" s="1566">
        <f>F16</f>
        <v>100</v>
      </c>
      <c r="T16" s="1565" t="s">
        <v>8</v>
      </c>
      <c r="U16" s="1566">
        <f>H16</f>
        <v>100</v>
      </c>
      <c r="V16" s="1565" t="s">
        <v>8</v>
      </c>
      <c r="W16" s="1566">
        <f>J16</f>
        <v>100</v>
      </c>
      <c r="X16" s="1559"/>
      <c r="Y16" s="3761"/>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4"/>
      <c r="M17" s="2126"/>
      <c r="N17" s="2126"/>
      <c r="O17" s="2133"/>
      <c r="P17" s="3761"/>
      <c r="Q17" s="1564"/>
      <c r="R17" s="1565"/>
      <c r="S17" s="1566"/>
      <c r="T17" s="1565"/>
      <c r="U17" s="1566"/>
      <c r="V17" s="1565"/>
      <c r="W17" s="1566"/>
      <c r="X17" s="1559"/>
      <c r="Y17" s="3761"/>
      <c r="Z17" s="1567"/>
      <c r="AA17" s="1568">
        <v>1</v>
      </c>
      <c r="AB17" s="1568">
        <v>1</v>
      </c>
      <c r="AC17" s="1568">
        <v>1</v>
      </c>
    </row>
    <row r="18" spans="1:29" ht="42.75">
      <c r="A18" s="530"/>
      <c r="B18" s="2607"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4"/>
      <c r="M18" s="2126"/>
      <c r="N18" s="2126"/>
      <c r="O18" s="2133"/>
      <c r="P18" s="3761"/>
      <c r="Q18" s="2595" t="str">
        <f>B18</f>
        <v>基础设施水平</v>
      </c>
      <c r="R18" s="1565" t="s">
        <v>8</v>
      </c>
      <c r="S18" s="1566">
        <f>F18</f>
        <v>100</v>
      </c>
      <c r="T18" s="1565" t="s">
        <v>8</v>
      </c>
      <c r="U18" s="1566">
        <f>H18</f>
        <v>100</v>
      </c>
      <c r="V18" s="1565" t="s">
        <v>8</v>
      </c>
      <c r="W18" s="1566">
        <f>J18</f>
        <v>100</v>
      </c>
      <c r="X18" s="2597"/>
      <c r="Y18" s="3761"/>
      <c r="Z18" s="2596"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8"/>
      <c r="L19" s="2134"/>
      <c r="M19" s="2126"/>
      <c r="N19" s="2126"/>
      <c r="O19" s="2133"/>
      <c r="P19" s="3761"/>
      <c r="Q19" s="2595"/>
      <c r="R19" s="1565"/>
      <c r="S19" s="1566"/>
      <c r="T19" s="1565"/>
      <c r="U19" s="1566"/>
      <c r="V19" s="1565"/>
      <c r="W19" s="1566"/>
      <c r="X19" s="2597"/>
      <c r="Y19" s="3761"/>
      <c r="Z19" s="2596"/>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4"/>
      <c r="M20" s="2126"/>
      <c r="N20" s="2126"/>
      <c r="O20" s="2133"/>
      <c r="P20" s="3761"/>
      <c r="Q20" s="1564" t="str">
        <f>B20</f>
        <v>自然及人文环境</v>
      </c>
      <c r="R20" s="1565" t="s">
        <v>8</v>
      </c>
      <c r="S20" s="1566">
        <f>F20</f>
        <v>100</v>
      </c>
      <c r="T20" s="1565" t="s">
        <v>8</v>
      </c>
      <c r="U20" s="1566">
        <f>H20</f>
        <v>100</v>
      </c>
      <c r="V20" s="1565" t="s">
        <v>8</v>
      </c>
      <c r="W20" s="1566">
        <f>J20</f>
        <v>100</v>
      </c>
      <c r="X20" s="1559"/>
      <c r="Y20" s="3761"/>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4"/>
      <c r="M21" s="2126"/>
      <c r="N21" s="2126"/>
      <c r="O21" s="2133"/>
      <c r="P21" s="3761"/>
      <c r="Q21" s="1564"/>
      <c r="R21" s="1565"/>
      <c r="S21" s="1566"/>
      <c r="T21" s="1565"/>
      <c r="U21" s="1566"/>
      <c r="V21" s="1565"/>
      <c r="W21" s="1566"/>
      <c r="X21" s="1559"/>
      <c r="Y21" s="3761"/>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4"/>
      <c r="M22" s="2126"/>
      <c r="N22" s="2126"/>
      <c r="O22" s="2133"/>
      <c r="P22" s="3761"/>
      <c r="Q22" s="1564" t="str">
        <f>B22</f>
        <v>楼层</v>
      </c>
      <c r="R22" s="1565" t="s">
        <v>8</v>
      </c>
      <c r="S22" s="1566">
        <f>F22</f>
        <v>100</v>
      </c>
      <c r="T22" s="1565" t="s">
        <v>8</v>
      </c>
      <c r="U22" s="1566">
        <f>H22</f>
        <v>100</v>
      </c>
      <c r="V22" s="1565" t="s">
        <v>8</v>
      </c>
      <c r="W22" s="1566">
        <f>J22</f>
        <v>100</v>
      </c>
      <c r="X22" s="1559"/>
      <c r="Y22" s="3761"/>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4"/>
      <c r="M23" s="2126"/>
      <c r="N23" s="2126"/>
      <c r="O23" s="2133"/>
      <c r="P23" s="3761"/>
      <c r="Q23" s="1564">
        <f>B23</f>
        <v>111</v>
      </c>
      <c r="R23" s="1565" t="s">
        <v>8</v>
      </c>
      <c r="S23" s="1566">
        <f>F23</f>
        <v>100</v>
      </c>
      <c r="T23" s="1565" t="s">
        <v>8</v>
      </c>
      <c r="U23" s="1566">
        <f>H23</f>
        <v>100</v>
      </c>
      <c r="V23" s="1565" t="s">
        <v>8</v>
      </c>
      <c r="W23" s="1566">
        <f>J23</f>
        <v>100</v>
      </c>
      <c r="X23" s="1559"/>
      <c r="Y23" s="3761"/>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4"/>
      <c r="M24" s="2126"/>
      <c r="N24" s="2126"/>
      <c r="O24" s="2133"/>
      <c r="P24" s="3761"/>
      <c r="Q24" s="1564">
        <f t="shared" ref="Q24:Q34" si="11">B24</f>
        <v>111</v>
      </c>
      <c r="R24" s="1565" t="s">
        <v>8</v>
      </c>
      <c r="S24" s="1566">
        <f>F24</f>
        <v>100</v>
      </c>
      <c r="T24" s="1565" t="s">
        <v>8</v>
      </c>
      <c r="U24" s="1566">
        <f>H24</f>
        <v>100</v>
      </c>
      <c r="V24" s="1565" t="s">
        <v>8</v>
      </c>
      <c r="W24" s="1566">
        <f>J24</f>
        <v>100</v>
      </c>
      <c r="X24" s="1559"/>
      <c r="Y24" s="3761"/>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7"/>
      <c r="M25" s="2128"/>
      <c r="N25" s="2128"/>
      <c r="O25" s="2129"/>
      <c r="P25" s="3761"/>
      <c r="Q25" s="1144">
        <f t="shared" si="11"/>
        <v>111</v>
      </c>
      <c r="R25" s="1560" t="s">
        <v>8</v>
      </c>
      <c r="S25" s="1561">
        <f>F25</f>
        <v>100</v>
      </c>
      <c r="T25" s="1560" t="s">
        <v>8</v>
      </c>
      <c r="U25" s="1561">
        <f>H25</f>
        <v>100</v>
      </c>
      <c r="V25" s="1560" t="s">
        <v>8</v>
      </c>
      <c r="W25" s="1561">
        <f>J25</f>
        <v>100</v>
      </c>
      <c r="X25" s="1562"/>
      <c r="Y25" s="3761"/>
      <c r="Z25" s="1143">
        <f>Q25</f>
        <v>111</v>
      </c>
      <c r="AA25" s="1568">
        <f>D25/F25</f>
        <v>1</v>
      </c>
      <c r="AB25" s="1568">
        <f>D25/H25</f>
        <v>1</v>
      </c>
      <c r="AC25" s="1568">
        <f>D25/J25</f>
        <v>1</v>
      </c>
    </row>
    <row r="26" spans="1:29" ht="15">
      <c r="A26" s="2924"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4"/>
      <c r="M26" s="2126"/>
      <c r="N26" s="2126"/>
      <c r="O26" s="2133"/>
      <c r="P26" s="3762"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63"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2"/>
      <c r="M27" s="2163"/>
      <c r="N27" s="2163"/>
      <c r="O27" s="2135"/>
      <c r="P27" s="3763"/>
      <c r="Q27" s="1597" t="str">
        <f t="shared" si="11"/>
        <v>成新率</v>
      </c>
      <c r="R27" s="1569" t="s">
        <v>8</v>
      </c>
      <c r="S27" s="1570" t="e">
        <f t="shared" si="12"/>
        <v>#N/A</v>
      </c>
      <c r="T27" s="1569" t="s">
        <v>8</v>
      </c>
      <c r="U27" s="1570" t="e">
        <f t="shared" si="13"/>
        <v>#N/A</v>
      </c>
      <c r="V27" s="1569" t="s">
        <v>8</v>
      </c>
      <c r="W27" s="1570" t="e">
        <f t="shared" si="14"/>
        <v>#N/A</v>
      </c>
      <c r="X27" s="1571"/>
      <c r="Y27" s="3763"/>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4"/>
      <c r="M28" s="2126"/>
      <c r="N28" s="2126"/>
      <c r="O28" s="2133"/>
      <c r="P28" s="3763"/>
      <c r="Q28" s="1564" t="str">
        <f t="shared" si="11"/>
        <v>物业等级</v>
      </c>
      <c r="R28" s="1565" t="s">
        <v>8</v>
      </c>
      <c r="S28" s="1566">
        <f t="shared" si="12"/>
        <v>100</v>
      </c>
      <c r="T28" s="1565" t="s">
        <v>8</v>
      </c>
      <c r="U28" s="1566">
        <f t="shared" si="13"/>
        <v>100</v>
      </c>
      <c r="V28" s="1565" t="s">
        <v>8</v>
      </c>
      <c r="W28" s="1566">
        <f t="shared" si="14"/>
        <v>100</v>
      </c>
      <c r="X28" s="1559"/>
      <c r="Y28" s="3763"/>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4"/>
      <c r="M29" s="2126"/>
      <c r="N29" s="2126"/>
      <c r="O29" s="2133"/>
      <c r="P29" s="3763"/>
      <c r="Q29" s="1564" t="str">
        <f t="shared" si="11"/>
        <v>有无电梯</v>
      </c>
      <c r="R29" s="1565" t="s">
        <v>8</v>
      </c>
      <c r="S29" s="1566">
        <f t="shared" si="12"/>
        <v>100</v>
      </c>
      <c r="T29" s="1565" t="s">
        <v>8</v>
      </c>
      <c r="U29" s="1566">
        <f t="shared" si="13"/>
        <v>100</v>
      </c>
      <c r="V29" s="1565" t="s">
        <v>8</v>
      </c>
      <c r="W29" s="1566">
        <f t="shared" si="14"/>
        <v>100</v>
      </c>
      <c r="X29" s="1559"/>
      <c r="Y29" s="3763"/>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4"/>
      <c r="M30" s="2126"/>
      <c r="N30" s="2126"/>
      <c r="O30" s="2133"/>
      <c r="P30" s="3763"/>
      <c r="Q30" s="1564" t="str">
        <f t="shared" si="11"/>
        <v>建筑面积</v>
      </c>
      <c r="R30" s="1565" t="s">
        <v>8</v>
      </c>
      <c r="S30" s="1566" t="e">
        <f t="shared" si="12"/>
        <v>#N/A</v>
      </c>
      <c r="T30" s="1565" t="s">
        <v>8</v>
      </c>
      <c r="U30" s="1566" t="e">
        <f t="shared" si="13"/>
        <v>#N/A</v>
      </c>
      <c r="V30" s="1565" t="s">
        <v>8</v>
      </c>
      <c r="W30" s="1566" t="e">
        <f t="shared" si="14"/>
        <v>#N/A</v>
      </c>
      <c r="X30" s="1559"/>
      <c r="Y30" s="3763"/>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7"/>
      <c r="M31" s="2128"/>
      <c r="N31" s="2128"/>
      <c r="O31" s="2129"/>
      <c r="P31" s="3763"/>
      <c r="Q31" s="1144" t="str">
        <f t="shared" si="11"/>
        <v>是否封闭</v>
      </c>
      <c r="R31" s="1560" t="s">
        <v>8</v>
      </c>
      <c r="S31" s="1561">
        <f t="shared" si="12"/>
        <v>100</v>
      </c>
      <c r="T31" s="1560" t="s">
        <v>8</v>
      </c>
      <c r="U31" s="1561">
        <f t="shared" si="13"/>
        <v>100</v>
      </c>
      <c r="V31" s="1560" t="s">
        <v>8</v>
      </c>
      <c r="W31" s="1561">
        <f t="shared" si="14"/>
        <v>100</v>
      </c>
      <c r="X31" s="1562"/>
      <c r="Y31" s="3763"/>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4"/>
      <c r="M32" s="2126"/>
      <c r="N32" s="2126"/>
      <c r="O32" s="2133"/>
      <c r="P32" s="3763" t="s">
        <v>551</v>
      </c>
      <c r="Q32" s="1564">
        <f t="shared" si="11"/>
        <v>111</v>
      </c>
      <c r="R32" s="1565" t="s">
        <v>8</v>
      </c>
      <c r="S32" s="1566">
        <f t="shared" si="12"/>
        <v>100</v>
      </c>
      <c r="T32" s="1565" t="s">
        <v>8</v>
      </c>
      <c r="U32" s="1566">
        <f t="shared" si="13"/>
        <v>100</v>
      </c>
      <c r="V32" s="1565" t="s">
        <v>8</v>
      </c>
      <c r="W32" s="1566">
        <f t="shared" si="14"/>
        <v>100</v>
      </c>
      <c r="X32" s="1559"/>
      <c r="Y32" s="3763"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4"/>
      <c r="M33" s="2126"/>
      <c r="N33" s="2126"/>
      <c r="O33" s="2133"/>
      <c r="P33" s="3763"/>
      <c r="Q33" s="1564">
        <f t="shared" si="11"/>
        <v>111</v>
      </c>
      <c r="R33" s="1565" t="s">
        <v>8</v>
      </c>
      <c r="S33" s="1566">
        <f t="shared" si="12"/>
        <v>100</v>
      </c>
      <c r="T33" s="1565" t="s">
        <v>8</v>
      </c>
      <c r="U33" s="1566">
        <f t="shared" si="13"/>
        <v>100</v>
      </c>
      <c r="V33" s="1565" t="s">
        <v>8</v>
      </c>
      <c r="W33" s="1566">
        <f t="shared" si="14"/>
        <v>100</v>
      </c>
      <c r="X33" s="1559"/>
      <c r="Y33" s="3763"/>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4"/>
      <c r="M34" s="2126"/>
      <c r="N34" s="2126"/>
      <c r="O34" s="2133"/>
      <c r="P34" s="3763"/>
      <c r="Q34" s="1564">
        <f t="shared" si="11"/>
        <v>111</v>
      </c>
      <c r="R34" s="1565" t="s">
        <v>8</v>
      </c>
      <c r="S34" s="1566">
        <f t="shared" si="12"/>
        <v>100</v>
      </c>
      <c r="T34" s="1565" t="s">
        <v>8</v>
      </c>
      <c r="U34" s="1566">
        <f t="shared" si="13"/>
        <v>100</v>
      </c>
      <c r="V34" s="1565" t="s">
        <v>8</v>
      </c>
      <c r="W34" s="1566">
        <f t="shared" si="14"/>
        <v>100</v>
      </c>
      <c r="X34" s="1559"/>
      <c r="Y34" s="3763"/>
      <c r="Z34" s="1567">
        <f t="shared" si="15"/>
        <v>111</v>
      </c>
      <c r="AA34" s="1568">
        <f t="shared" si="3"/>
        <v>1</v>
      </c>
      <c r="AB34" s="1568">
        <f t="shared" si="4"/>
        <v>1</v>
      </c>
      <c r="AC34" s="1568">
        <f t="shared" si="5"/>
        <v>1</v>
      </c>
    </row>
    <row r="35" spans="1:29" ht="15">
      <c r="A35" s="604" t="s">
        <v>737</v>
      </c>
      <c r="B35" s="880"/>
      <c r="C35" s="2643" t="s">
        <v>1</v>
      </c>
      <c r="D35" s="2644"/>
      <c r="E35" s="2645"/>
      <c r="F35" s="2646"/>
      <c r="G35" s="2647"/>
      <c r="H35" s="2648"/>
      <c r="I35" s="2645"/>
      <c r="J35" s="2648"/>
      <c r="K35" s="1603"/>
      <c r="L35" s="2136"/>
      <c r="M35" s="2137"/>
      <c r="N35" s="2126"/>
      <c r="O35" s="2137"/>
      <c r="P35" s="3758" t="str">
        <f>A35</f>
        <v>成交单价（元/平方米）</v>
      </c>
      <c r="Q35" s="3758"/>
      <c r="R35" s="3859">
        <f>E35</f>
        <v>0</v>
      </c>
      <c r="S35" s="3859"/>
      <c r="T35" s="3859">
        <f>G35</f>
        <v>0</v>
      </c>
      <c r="U35" s="3859"/>
      <c r="V35" s="3859">
        <f>I35</f>
        <v>0</v>
      </c>
      <c r="W35" s="3859"/>
      <c r="X35" s="1551"/>
      <c r="Y35" s="1573"/>
      <c r="Z35" s="1551"/>
      <c r="AA35" s="1551"/>
      <c r="AB35" s="1551"/>
      <c r="AC35" s="1551"/>
    </row>
    <row r="36" spans="1:29" ht="15.75" thickBot="1">
      <c r="A36" s="612" t="s">
        <v>2764</v>
      </c>
      <c r="B36" s="881"/>
      <c r="C36" s="2649" t="e">
        <f>R37</f>
        <v>#DIV/0!</v>
      </c>
      <c r="D36" s="2650"/>
      <c r="E36" s="2651" t="e">
        <f>R36</f>
        <v>#DIV/0!</v>
      </c>
      <c r="F36" s="2651"/>
      <c r="G36" s="2649" t="e">
        <f>T36</f>
        <v>#DIV/0!</v>
      </c>
      <c r="H36" s="2650"/>
      <c r="I36" s="2651" t="e">
        <f>V36</f>
        <v>#DIV/0!</v>
      </c>
      <c r="J36" s="2650"/>
      <c r="K36" s="1604"/>
      <c r="L36" s="2136"/>
      <c r="M36" s="2137"/>
      <c r="N36" s="2126"/>
      <c r="O36" s="2137"/>
      <c r="P36" s="3758" t="str">
        <f>A36</f>
        <v>比较价格（元/平方米）</v>
      </c>
      <c r="Q36" s="3758"/>
      <c r="R36" s="3859" t="e">
        <f>IF(F1="售价",ROUND(PRODUCT(R35,AA7:AA34),0),ROUND(PRODUCT(R35,AA7:AA34),1))</f>
        <v>#DIV/0!</v>
      </c>
      <c r="S36" s="3859"/>
      <c r="T36" s="3859" t="e">
        <f>IF(F1="售价",ROUND(PRODUCT(T35,AB7:AB34),0),ROUND(PRODUCT(T35,AB7:AB34),1))</f>
        <v>#DIV/0!</v>
      </c>
      <c r="U36" s="3859"/>
      <c r="V36" s="3859" t="e">
        <f>IF(F1="售价",ROUND(PRODUCT(V35,AC7:AC34),0),ROUND(PRODUCT(V35,AC7:AC34),1))</f>
        <v>#DIV/0!</v>
      </c>
      <c r="W36" s="3859"/>
      <c r="X36" s="1551"/>
      <c r="Y36" s="1551"/>
      <c r="Z36" s="1551"/>
      <c r="AA36" s="1551"/>
      <c r="AB36" s="1551"/>
      <c r="AC36" s="1551"/>
    </row>
    <row r="37" spans="1:29" ht="15.75" thickBot="1">
      <c r="A37" s="618" t="s">
        <v>2935</v>
      </c>
      <c r="B37" s="619"/>
      <c r="C37" s="2652" t="e">
        <f>R37</f>
        <v>#DIV/0!</v>
      </c>
      <c r="D37" s="2652"/>
      <c r="E37" s="2652"/>
      <c r="F37" s="2652"/>
      <c r="G37" s="2652"/>
      <c r="H37" s="2652"/>
      <c r="I37" s="2652"/>
      <c r="J37" s="2652"/>
      <c r="K37" s="1605"/>
      <c r="L37" s="2136"/>
      <c r="M37" s="2137"/>
      <c r="N37" s="2137"/>
      <c r="O37" s="2137"/>
      <c r="P37" s="3779" t="str">
        <f>A37</f>
        <v>估价对象XX用房的比较价格（楼面单价，元/平方米）</v>
      </c>
      <c r="Q37" s="3780"/>
      <c r="R37" s="3858" t="e">
        <f>IF(F1="售价",ROUND(AVERAGE(R36:V36),0),ROUND(AVERAGE(R36:V36),1))</f>
        <v>#DIV/0!</v>
      </c>
      <c r="S37" s="3858"/>
      <c r="T37" s="3858"/>
      <c r="U37" s="3858"/>
      <c r="V37" s="3858"/>
      <c r="W37" s="3858"/>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8" customFormat="1" ht="13.5" customHeight="1">
      <c r="A42" s="2138"/>
      <c r="B42" s="2138"/>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8"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575</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40" customFormat="1" ht="15">
      <c r="A46" s="642" t="s">
        <v>530</v>
      </c>
      <c r="B46" s="643"/>
      <c r="C46" s="2819" t="str">
        <f>YEAR(C7)&amp;"-"&amp;MONTH(C7)</f>
        <v>2018-6</v>
      </c>
      <c r="D46" s="2821">
        <f>EDATE(C46,-1)</f>
        <v>43221</v>
      </c>
      <c r="E46" s="2821">
        <f t="shared" ref="E46:O46" si="16">EDATE(D46,-1)</f>
        <v>43191</v>
      </c>
      <c r="F46" s="2821">
        <f t="shared" si="16"/>
        <v>43160</v>
      </c>
      <c r="G46" s="2821">
        <f t="shared" si="16"/>
        <v>43132</v>
      </c>
      <c r="H46" s="2821">
        <f t="shared" si="16"/>
        <v>43101</v>
      </c>
      <c r="I46" s="2821">
        <f t="shared" si="16"/>
        <v>43070</v>
      </c>
      <c r="J46" s="2821">
        <f t="shared" si="16"/>
        <v>43040</v>
      </c>
      <c r="K46" s="2821">
        <f t="shared" si="16"/>
        <v>43009</v>
      </c>
      <c r="L46" s="2821">
        <f t="shared" si="16"/>
        <v>42979</v>
      </c>
      <c r="M46" s="2821">
        <f t="shared" si="16"/>
        <v>42948</v>
      </c>
      <c r="N46" s="2821">
        <f t="shared" si="16"/>
        <v>42917</v>
      </c>
      <c r="O46" s="2821">
        <f t="shared" si="16"/>
        <v>42887</v>
      </c>
      <c r="P46" s="2152"/>
      <c r="Q46" s="2153"/>
      <c r="R46" s="2153"/>
      <c r="S46" s="2153"/>
      <c r="T46" s="2153"/>
      <c r="U46" s="2153"/>
      <c r="V46" s="2153"/>
      <c r="W46" s="2153"/>
      <c r="X46" s="2153"/>
      <c r="Y46" s="2153"/>
      <c r="Z46" s="2153"/>
      <c r="AA46" s="2153"/>
      <c r="AB46" s="2153"/>
      <c r="AC46" s="2153"/>
    </row>
    <row r="47" spans="1:29" s="1213"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3" customFormat="1" ht="15.75" thickBot="1">
      <c r="A48" s="650" t="s">
        <v>576</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3" customFormat="1" ht="15">
      <c r="A49" s="656" t="s">
        <v>532</v>
      </c>
      <c r="B49" s="645"/>
      <c r="C49" s="657" t="s">
        <v>577</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3"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578</v>
      </c>
      <c r="B51" s="662" t="s">
        <v>535</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28">
        <f>B11</f>
        <v>111</v>
      </c>
      <c r="C55" s="539"/>
      <c r="D55" s="539"/>
      <c r="E55" s="539"/>
      <c r="F55" s="539"/>
      <c r="G55" s="539"/>
      <c r="H55" s="539"/>
      <c r="I55" s="539"/>
      <c r="J55" s="539"/>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2" customFormat="1" ht="15.75" thickTop="1">
      <c r="A57" s="684"/>
      <c r="B57" s="670">
        <f>B12</f>
        <v>111</v>
      </c>
      <c r="C57" s="539"/>
      <c r="D57" s="539"/>
      <c r="E57" s="539"/>
      <c r="F57" s="539"/>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2"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2" customFormat="1" ht="15.75" thickTop="1">
      <c r="A59" s="684"/>
      <c r="B59" s="670">
        <f>B13</f>
        <v>111</v>
      </c>
      <c r="C59" s="539"/>
      <c r="D59" s="539"/>
      <c r="E59" s="539"/>
      <c r="F59" s="539"/>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2"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2561</v>
      </c>
      <c r="C63" s="705" t="s">
        <v>580</v>
      </c>
      <c r="D63" s="705" t="s">
        <v>581</v>
      </c>
      <c r="E63" s="705" t="s">
        <v>582</v>
      </c>
      <c r="F63" s="705" t="s">
        <v>583</v>
      </c>
      <c r="G63" s="705" t="s">
        <v>584</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2562</v>
      </c>
      <c r="C65" s="2614" t="s">
        <v>2563</v>
      </c>
      <c r="D65" s="2614" t="s">
        <v>2564</v>
      </c>
      <c r="E65" s="2614" t="s">
        <v>2565</v>
      </c>
      <c r="F65" s="2614" t="s">
        <v>2566</v>
      </c>
      <c r="G65" s="2614" t="s">
        <v>2567</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745</v>
      </c>
      <c r="C67" s="705" t="s">
        <v>580</v>
      </c>
      <c r="D67" s="705" t="s">
        <v>581</v>
      </c>
      <c r="E67" s="705" t="s">
        <v>582</v>
      </c>
      <c r="F67" s="705" t="s">
        <v>583</v>
      </c>
      <c r="G67" s="705" t="s">
        <v>584</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746</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3" customFormat="1" ht="15.75" thickTop="1">
      <c r="A71" s="706"/>
      <c r="B71" s="670">
        <f>B23</f>
        <v>111</v>
      </c>
      <c r="C71" s="539"/>
      <c r="D71" s="539"/>
      <c r="E71" s="539"/>
      <c r="F71" s="539"/>
      <c r="G71" s="685"/>
      <c r="H71" s="685"/>
      <c r="I71" s="685"/>
      <c r="J71" s="685"/>
      <c r="K71" s="685"/>
      <c r="L71" s="883"/>
      <c r="M71" s="884"/>
      <c r="N71" s="2154"/>
      <c r="O71" s="2154"/>
      <c r="P71" s="2157"/>
      <c r="Q71" s="2150"/>
      <c r="R71" s="1985"/>
      <c r="S71" s="1985"/>
      <c r="T71" s="1985"/>
      <c r="U71" s="1985"/>
      <c r="V71" s="1985"/>
      <c r="W71" s="1985"/>
      <c r="X71" s="1985"/>
      <c r="Y71" s="1985"/>
      <c r="Z71" s="1985"/>
      <c r="AA71" s="1985"/>
      <c r="AB71" s="1985"/>
      <c r="AC71" s="1985"/>
    </row>
    <row r="72" spans="1:29" s="1213"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3" customFormat="1" ht="15.75" thickTop="1">
      <c r="A73" s="706"/>
      <c r="B73" s="670">
        <f>B24</f>
        <v>111</v>
      </c>
      <c r="C73" s="539"/>
      <c r="D73" s="539"/>
      <c r="E73" s="539"/>
      <c r="F73" s="539"/>
      <c r="G73" s="685"/>
      <c r="H73" s="685"/>
      <c r="I73" s="685"/>
      <c r="J73" s="685"/>
      <c r="K73" s="685"/>
      <c r="L73" s="685"/>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2" customFormat="1" ht="15.75" thickTop="1">
      <c r="A75" s="684"/>
      <c r="B75" s="670">
        <f>B25</f>
        <v>111</v>
      </c>
      <c r="C75" s="539"/>
      <c r="D75" s="539"/>
      <c r="E75" s="539"/>
      <c r="F75" s="539"/>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2"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552</v>
      </c>
      <c r="B77" s="662" t="s">
        <v>752</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87">
        <v>0.5</v>
      </c>
      <c r="D80" s="887">
        <v>0.6</v>
      </c>
      <c r="E80" s="887">
        <v>0.7</v>
      </c>
      <c r="F80" s="887">
        <v>0.8</v>
      </c>
      <c r="G80" s="887">
        <v>0.9</v>
      </c>
      <c r="H80" s="887">
        <v>1.0001</v>
      </c>
      <c r="I80" s="928"/>
      <c r="J80" s="928"/>
      <c r="K80" s="938"/>
      <c r="L80" s="939"/>
      <c r="M80" s="940"/>
      <c r="N80" s="2154"/>
      <c r="O80" s="2154"/>
      <c r="P80" s="2157"/>
      <c r="Q80" s="2150"/>
      <c r="R80" s="2137"/>
      <c r="S80" s="2137"/>
      <c r="T80" s="2137"/>
      <c r="U80" s="2137"/>
      <c r="V80" s="2137"/>
      <c r="W80" s="2137"/>
      <c r="X80" s="2137"/>
      <c r="Y80" s="2137"/>
      <c r="Z80" s="2137"/>
      <c r="AA80" s="2137"/>
      <c r="AB80" s="2137"/>
      <c r="AC80" s="2137"/>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818</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826</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2" customFormat="1" ht="15" thickTop="1">
      <c r="A89" s="725"/>
      <c r="B89" s="670" t="s">
        <v>828</v>
      </c>
      <c r="C89" s="685"/>
      <c r="D89" s="685"/>
      <c r="E89" s="685"/>
      <c r="F89" s="685"/>
      <c r="G89" s="685"/>
      <c r="H89" s="685"/>
      <c r="I89" s="685"/>
      <c r="J89" s="685"/>
      <c r="K89" s="685"/>
      <c r="L89" s="685"/>
      <c r="M89" s="884"/>
      <c r="N89" s="2159"/>
      <c r="O89" s="2159"/>
      <c r="P89" s="2160"/>
      <c r="Q89" s="2161"/>
      <c r="R89" s="2162"/>
      <c r="S89" s="2162"/>
      <c r="T89" s="2162"/>
      <c r="U89" s="2162"/>
      <c r="V89" s="2162"/>
      <c r="W89" s="2162"/>
      <c r="X89" s="2162"/>
      <c r="Y89" s="2162"/>
      <c r="Z89" s="2162"/>
      <c r="AA89" s="2162"/>
      <c r="AB89" s="2162"/>
      <c r="AC89" s="2162"/>
    </row>
    <row r="90" spans="1:29" s="1332"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9"/>
      <c r="D91" s="539"/>
      <c r="E91" s="539"/>
      <c r="F91" s="539"/>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9"/>
      <c r="D93" s="539"/>
      <c r="E93" s="539"/>
      <c r="F93" s="539"/>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0">
        <f>B34</f>
        <v>111</v>
      </c>
      <c r="C95" s="539"/>
      <c r="D95" s="539"/>
      <c r="E95" s="539"/>
      <c r="F95" s="539"/>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2792</v>
      </c>
      <c r="C1" s="3020">
        <f>项目基本情况!D3</f>
        <v>43271</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2823</v>
      </c>
      <c r="C2" s="3021">
        <f>'数据-取费表'!B22</f>
        <v>3</v>
      </c>
      <c r="D2" s="3016" t="s">
        <v>2793</v>
      </c>
      <c r="E2" s="3019">
        <f ca="1">INDIRECT("I"&amp;$I$1)/100</f>
        <v>4.7500000000000001E-2</v>
      </c>
      <c r="G2" s="2956"/>
      <c r="H2" s="2956"/>
      <c r="I2" s="2956" t="s">
        <v>2794</v>
      </c>
      <c r="K2" s="2956"/>
      <c r="L2" s="2956"/>
      <c r="M2" s="2956"/>
      <c r="N2" s="2956" t="s">
        <v>2795</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2825</v>
      </c>
      <c r="C3" s="3018">
        <f>'数据-取费表'!B19</f>
        <v>0</v>
      </c>
      <c r="D3" s="3016" t="s">
        <v>2793</v>
      </c>
      <c r="E3" s="3019">
        <f ca="1">INDIRECT("J"&amp;$J$1)/100</f>
        <v>0</v>
      </c>
      <c r="G3" s="2958" t="s">
        <v>2796</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2824</v>
      </c>
      <c r="C4" s="3019">
        <f ca="1">N4/100</f>
        <v>1.4999999999999999E-2</v>
      </c>
      <c r="G4" s="2964" t="s">
        <v>2797</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2798</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2799</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2800</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2801</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2802</v>
      </c>
      <c r="C10" s="2983"/>
      <c r="D10" s="2983"/>
      <c r="E10" s="2983"/>
      <c r="F10" s="2983"/>
      <c r="G10" s="2983"/>
      <c r="H10" s="2983"/>
      <c r="I10" s="2957"/>
      <c r="J10" s="2957"/>
      <c r="K10" s="2983"/>
      <c r="L10" s="2984" t="s">
        <v>2803</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2804</v>
      </c>
      <c r="C11" s="2988" t="s">
        <v>2805</v>
      </c>
      <c r="D11" s="2989" t="s">
        <v>2806</v>
      </c>
      <c r="E11" s="2990"/>
      <c r="F11" s="2989" t="s">
        <v>2807</v>
      </c>
      <c r="G11" s="2991"/>
      <c r="H11" s="2990"/>
      <c r="I11" s="2989" t="s">
        <v>2808</v>
      </c>
      <c r="J11" s="2990"/>
      <c r="K11" s="2986"/>
      <c r="L11" s="2987" t="s">
        <v>2804</v>
      </c>
      <c r="M11" s="2988" t="s">
        <v>2805</v>
      </c>
      <c r="N11" s="2987" t="s">
        <v>2809</v>
      </c>
      <c r="O11" s="2989" t="s">
        <v>2810</v>
      </c>
      <c r="P11" s="2991"/>
      <c r="Q11" s="2991"/>
      <c r="R11" s="2991"/>
      <c r="S11" s="2991"/>
      <c r="T11" s="2990"/>
      <c r="U11" s="2989" t="s">
        <v>2811</v>
      </c>
      <c r="V11" s="2991"/>
      <c r="W11" s="2990"/>
      <c r="X11" s="2987" t="s">
        <v>2812</v>
      </c>
      <c r="Y11" s="2987" t="s">
        <v>2813</v>
      </c>
      <c r="Z11" s="2987" t="s">
        <v>2814</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2815</v>
      </c>
      <c r="E12" s="2996" t="s">
        <v>2816</v>
      </c>
      <c r="F12" s="2996" t="s">
        <v>2817</v>
      </c>
      <c r="G12" s="2996" t="s">
        <v>2818</v>
      </c>
      <c r="H12" s="2996" t="s">
        <v>2800</v>
      </c>
      <c r="I12" s="2997" t="s">
        <v>2819</v>
      </c>
      <c r="J12" s="2997" t="s">
        <v>2819</v>
      </c>
      <c r="K12" s="2993"/>
      <c r="L12" s="2994"/>
      <c r="M12" s="2995"/>
      <c r="N12" s="2994"/>
      <c r="O12" s="2997" t="s">
        <v>2820</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2821</v>
      </c>
      <c r="C13" s="3001">
        <v>42301</v>
      </c>
      <c r="D13" s="3002">
        <v>4.3499999999999996</v>
      </c>
      <c r="E13" s="3002">
        <v>4.3499999999999996</v>
      </c>
      <c r="F13" s="3002">
        <v>4.75</v>
      </c>
      <c r="G13" s="3002">
        <v>4.75</v>
      </c>
      <c r="H13" s="3002">
        <v>4.9000000000000004</v>
      </c>
      <c r="I13" s="3002">
        <v>2.75</v>
      </c>
      <c r="J13" s="3002">
        <v>3.25</v>
      </c>
      <c r="K13" s="2999"/>
      <c r="L13" s="3000" t="s">
        <v>2821</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2822</v>
      </c>
      <c r="Y42" s="3006" t="s">
        <v>2822</v>
      </c>
      <c r="Z42" s="3006" t="s">
        <v>2822</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2822</v>
      </c>
      <c r="Y43" s="3006" t="s">
        <v>2822</v>
      </c>
      <c r="Z43" s="3006" t="s">
        <v>2822</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2822</v>
      </c>
      <c r="Y44" s="3006" t="s">
        <v>2822</v>
      </c>
      <c r="Z44" s="3006" t="s">
        <v>2822</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2822</v>
      </c>
      <c r="Y45" s="3006" t="s">
        <v>2822</v>
      </c>
      <c r="Z45" s="3006" t="s">
        <v>2822</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2822</v>
      </c>
      <c r="Y46" s="3006" t="s">
        <v>2822</v>
      </c>
      <c r="Z46" s="3006" t="s">
        <v>2822</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2822</v>
      </c>
      <c r="Y47" s="3006" t="s">
        <v>2822</v>
      </c>
      <c r="Z47" s="3006" t="s">
        <v>2822</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2822</v>
      </c>
      <c r="Y48" s="3006" t="s">
        <v>2822</v>
      </c>
      <c r="Z48" s="3006" t="s">
        <v>2822</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2822</v>
      </c>
      <c r="Y49" s="3006" t="s">
        <v>2822</v>
      </c>
      <c r="Z49" s="3006" t="s">
        <v>2822</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2822</v>
      </c>
      <c r="Y50" s="3006" t="s">
        <v>2822</v>
      </c>
      <c r="Z50" s="3006" t="s">
        <v>2822</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2822</v>
      </c>
      <c r="V51" s="3006" t="s">
        <v>2822</v>
      </c>
      <c r="W51" s="3006" t="s">
        <v>2822</v>
      </c>
      <c r="X51" s="3006" t="s">
        <v>2822</v>
      </c>
      <c r="Y51" s="3006" t="s">
        <v>2822</v>
      </c>
      <c r="Z51" s="3006" t="s">
        <v>2822</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2822</v>
      </c>
      <c r="J55" s="3006" t="s">
        <v>2822</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8" sqref="O18"/>
    </sheetView>
  </sheetViews>
  <sheetFormatPr defaultRowHeight="13.5"/>
  <sheetData/>
  <phoneticPr fontId="23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selection activeCell="G23" sqref="G23"/>
    </sheetView>
  </sheetViews>
  <sheetFormatPr defaultRowHeight="13.5"/>
  <cols>
    <col min="2" max="2" width="10.75" customWidth="1"/>
    <col min="3" max="3" width="0" hidden="1" customWidth="1"/>
    <col min="9" max="9" width="10.125" customWidth="1"/>
    <col min="10" max="10" width="0" hidden="1" customWidth="1"/>
  </cols>
  <sheetData>
    <row r="1" spans="1:13" ht="14.25" thickBot="1">
      <c r="A1" s="3875" t="s">
        <v>3491</v>
      </c>
      <c r="B1" s="3876"/>
      <c r="C1" s="3876"/>
      <c r="D1" s="3876"/>
      <c r="E1" s="3876"/>
      <c r="F1" s="3876"/>
      <c r="H1" s="3875" t="s">
        <v>3492</v>
      </c>
      <c r="I1" s="3876"/>
      <c r="J1" s="3876"/>
      <c r="K1" s="3876"/>
      <c r="L1" s="3876"/>
      <c r="M1" s="3876"/>
    </row>
    <row r="2" spans="1:13" ht="14.25" thickBot="1">
      <c r="A2" s="3877" t="s">
        <v>3484</v>
      </c>
      <c r="B2" s="3877" t="s">
        <v>3485</v>
      </c>
      <c r="C2" s="3877" t="s">
        <v>3486</v>
      </c>
      <c r="D2" s="3873" t="s">
        <v>3487</v>
      </c>
      <c r="E2" s="3879"/>
      <c r="F2" s="3874"/>
      <c r="H2" s="3877" t="s">
        <v>3484</v>
      </c>
      <c r="I2" s="3877" t="s">
        <v>3485</v>
      </c>
      <c r="J2" s="3877" t="s">
        <v>3486</v>
      </c>
      <c r="K2" s="3873" t="s">
        <v>3487</v>
      </c>
      <c r="L2" s="3879"/>
      <c r="M2" s="3874"/>
    </row>
    <row r="3" spans="1:13" ht="14.25" thickBot="1">
      <c r="A3" s="3878"/>
      <c r="B3" s="3878"/>
      <c r="C3" s="3878"/>
      <c r="D3" s="3556" t="s">
        <v>24</v>
      </c>
      <c r="E3" s="3556" t="s">
        <v>3199</v>
      </c>
      <c r="F3" s="3556" t="s">
        <v>3204</v>
      </c>
      <c r="H3" s="3878"/>
      <c r="I3" s="3878"/>
      <c r="J3" s="3878"/>
      <c r="K3" s="3556" t="s">
        <v>24</v>
      </c>
      <c r="L3" s="3556" t="s">
        <v>3199</v>
      </c>
      <c r="M3" s="3556" t="s">
        <v>3204</v>
      </c>
    </row>
    <row r="4" spans="1:13" ht="14.25" thickBot="1">
      <c r="A4" s="3557" t="s">
        <v>3488</v>
      </c>
      <c r="B4" s="3556" t="s">
        <v>3218</v>
      </c>
      <c r="C4" s="3558">
        <v>13524.11</v>
      </c>
      <c r="D4" s="3558">
        <v>99340</v>
      </c>
      <c r="E4" s="3558">
        <v>9934</v>
      </c>
      <c r="F4" s="3558" t="s">
        <v>952</v>
      </c>
      <c r="H4" s="3557" t="s">
        <v>3488</v>
      </c>
      <c r="I4" s="3556" t="s">
        <v>3218</v>
      </c>
      <c r="J4" s="3558"/>
      <c r="K4" s="3558">
        <f>L4</f>
        <v>73359</v>
      </c>
      <c r="L4" s="3558">
        <f>807+'数据-基础表'!M13</f>
        <v>73359</v>
      </c>
      <c r="M4" s="3558" t="s">
        <v>952</v>
      </c>
    </row>
    <row r="5" spans="1:13" ht="14.25" thickBot="1">
      <c r="A5" s="3557" t="s">
        <v>3488</v>
      </c>
      <c r="B5" s="3556" t="s">
        <v>1678</v>
      </c>
      <c r="C5" s="3558">
        <v>24562.18</v>
      </c>
      <c r="D5" s="3558">
        <v>180419</v>
      </c>
      <c r="E5" s="3558">
        <v>180419</v>
      </c>
      <c r="F5" s="3558" t="s">
        <v>952</v>
      </c>
      <c r="H5" s="3557" t="s">
        <v>3488</v>
      </c>
      <c r="I5" s="3556" t="s">
        <v>1678</v>
      </c>
      <c r="J5" s="3558"/>
      <c r="K5" s="3558">
        <f>L5</f>
        <v>273359</v>
      </c>
      <c r="L5" s="3558">
        <f>'数据-基础表'!K14</f>
        <v>273359</v>
      </c>
      <c r="M5" s="3558" t="s">
        <v>952</v>
      </c>
    </row>
    <row r="6" spans="1:13" ht="14.25" thickBot="1">
      <c r="A6" s="3557" t="s">
        <v>3488</v>
      </c>
      <c r="B6" s="3556" t="s">
        <v>3489</v>
      </c>
      <c r="C6" s="3558">
        <v>548.51</v>
      </c>
      <c r="D6" s="3558">
        <v>4029</v>
      </c>
      <c r="E6" s="3558">
        <v>4029</v>
      </c>
      <c r="F6" s="3558" t="s">
        <v>952</v>
      </c>
      <c r="H6" s="3557" t="s">
        <v>3488</v>
      </c>
      <c r="I6" s="3556" t="s">
        <v>3490</v>
      </c>
      <c r="J6" s="3558"/>
      <c r="K6" s="3558">
        <f>M6</f>
        <v>15779</v>
      </c>
      <c r="L6" s="3558" t="s">
        <v>952</v>
      </c>
      <c r="M6" s="3558">
        <f>'数据-基础表'!Q17</f>
        <v>15779</v>
      </c>
    </row>
    <row r="7" spans="1:13" ht="14.25" thickBot="1">
      <c r="A7" s="3557" t="s">
        <v>3488</v>
      </c>
      <c r="B7" s="3556" t="s">
        <v>3490</v>
      </c>
      <c r="C7" s="3558">
        <v>1980.02</v>
      </c>
      <c r="D7" s="3558">
        <v>14544</v>
      </c>
      <c r="E7" s="3558" t="s">
        <v>952</v>
      </c>
      <c r="F7" s="3558">
        <v>14544</v>
      </c>
      <c r="H7" s="3557" t="s">
        <v>3488</v>
      </c>
      <c r="I7" s="3556" t="s">
        <v>35</v>
      </c>
      <c r="J7" s="3558"/>
      <c r="K7" s="3558">
        <f>M7</f>
        <v>97995</v>
      </c>
      <c r="L7" s="3558" t="s">
        <v>952</v>
      </c>
      <c r="M7" s="3558">
        <f>'数据-基础表'!O18</f>
        <v>97995</v>
      </c>
    </row>
    <row r="8" spans="1:13" ht="14.25" thickBot="1">
      <c r="A8" s="3557" t="s">
        <v>3488</v>
      </c>
      <c r="B8" s="3556" t="s">
        <v>35</v>
      </c>
      <c r="C8" s="3558">
        <v>10718.3</v>
      </c>
      <c r="D8" s="3558">
        <v>78730.2</v>
      </c>
      <c r="E8" s="3558" t="s">
        <v>952</v>
      </c>
      <c r="F8" s="3558">
        <v>78730.2</v>
      </c>
      <c r="H8" s="3873" t="s">
        <v>27</v>
      </c>
      <c r="I8" s="3874"/>
      <c r="J8" s="3558"/>
      <c r="K8" s="3558">
        <f>L8+M8</f>
        <v>460492</v>
      </c>
      <c r="L8" s="3558">
        <f>L4+L5</f>
        <v>346718</v>
      </c>
      <c r="M8" s="3558">
        <f>M6+M7</f>
        <v>113774</v>
      </c>
    </row>
    <row r="9" spans="1:13" ht="16.5" customHeight="1" thickBot="1">
      <c r="A9" s="3557" t="s">
        <v>3488</v>
      </c>
      <c r="B9" s="3556" t="s">
        <v>3319</v>
      </c>
      <c r="C9" s="3558">
        <v>13530.78</v>
      </c>
      <c r="D9" s="3558">
        <v>99389</v>
      </c>
      <c r="E9" s="3558">
        <v>99389</v>
      </c>
      <c r="F9" s="3558" t="s">
        <v>952</v>
      </c>
      <c r="H9" s="3557" t="s">
        <v>1680</v>
      </c>
      <c r="I9" s="3556" t="s">
        <v>2315</v>
      </c>
      <c r="J9" s="3558"/>
      <c r="K9" s="3558">
        <f>'数据-基础表'!AL15</f>
        <v>7667</v>
      </c>
      <c r="L9" s="3558">
        <f>K9</f>
        <v>7667</v>
      </c>
      <c r="M9" s="3558"/>
    </row>
    <row r="10" spans="1:13" ht="14.25" thickBot="1">
      <c r="A10" s="3873" t="s">
        <v>27</v>
      </c>
      <c r="B10" s="3874"/>
      <c r="C10" s="3558">
        <v>64863.9</v>
      </c>
      <c r="D10" s="3558">
        <v>476451.2</v>
      </c>
      <c r="E10" s="3558">
        <v>383177</v>
      </c>
      <c r="F10" s="3558">
        <v>93274.2</v>
      </c>
      <c r="H10" s="3873" t="s">
        <v>27</v>
      </c>
      <c r="I10" s="3874"/>
      <c r="J10" s="3558"/>
      <c r="K10" s="3558">
        <f>K9</f>
        <v>7667</v>
      </c>
      <c r="L10" s="3558">
        <f>L9</f>
        <v>7667</v>
      </c>
      <c r="M10" s="3558"/>
    </row>
    <row r="11" spans="1:13" ht="16.5" customHeight="1" thickBot="1">
      <c r="A11" s="3557" t="s">
        <v>1680</v>
      </c>
      <c r="B11" s="3556" t="s">
        <v>2315</v>
      </c>
      <c r="C11" s="3558">
        <v>4483.6000000000004</v>
      </c>
      <c r="D11" s="3558">
        <v>32933.800000000003</v>
      </c>
      <c r="E11" s="3558">
        <v>10911</v>
      </c>
      <c r="F11" s="3558">
        <v>22022.799999999999</v>
      </c>
      <c r="H11" s="3873" t="s">
        <v>24</v>
      </c>
      <c r="I11" s="3874"/>
      <c r="J11" s="3558"/>
      <c r="K11" s="3558">
        <f>K10+K8</f>
        <v>468159</v>
      </c>
      <c r="L11" s="3558">
        <f>L8+L10</f>
        <v>354385</v>
      </c>
      <c r="M11" s="3558">
        <f>M8</f>
        <v>113774</v>
      </c>
    </row>
    <row r="12" spans="1:13" ht="14.25" thickBot="1">
      <c r="A12" s="3873" t="s">
        <v>27</v>
      </c>
      <c r="B12" s="3874"/>
      <c r="C12" s="3558">
        <v>4483.6000000000004</v>
      </c>
      <c r="D12" s="3558">
        <v>32933.800000000003</v>
      </c>
      <c r="E12" s="3558">
        <v>10911</v>
      </c>
      <c r="F12" s="3558">
        <v>22022.799999999999</v>
      </c>
    </row>
    <row r="13" spans="1:13" ht="14.25" thickBot="1">
      <c r="A13" s="3873" t="s">
        <v>24</v>
      </c>
      <c r="B13" s="3874"/>
      <c r="C13" s="3558">
        <v>69347.5</v>
      </c>
      <c r="D13" s="3558">
        <v>509385</v>
      </c>
      <c r="E13" s="3558">
        <v>394088</v>
      </c>
      <c r="F13" s="3558">
        <v>115297</v>
      </c>
    </row>
    <row r="17" spans="13:17">
      <c r="O17">
        <f>72552+80+213+694</f>
        <v>73539</v>
      </c>
    </row>
    <row r="18" spans="13:17">
      <c r="O18">
        <f>551+73</f>
        <v>624</v>
      </c>
    </row>
    <row r="19" spans="13:17">
      <c r="O19">
        <f>O17+O18</f>
        <v>74163</v>
      </c>
    </row>
    <row r="20" spans="13:17">
      <c r="O20">
        <f>73539+624</f>
        <v>74163</v>
      </c>
    </row>
    <row r="21" spans="13:17">
      <c r="O21">
        <f>74163-624</f>
        <v>73539</v>
      </c>
      <c r="P21">
        <f>18762+59+87+13+23</f>
        <v>18944</v>
      </c>
    </row>
    <row r="22" spans="13:17">
      <c r="O22">
        <f>72552+80+213+694+551+73</f>
        <v>74163</v>
      </c>
    </row>
    <row r="23" spans="13:17">
      <c r="N23">
        <f>N26-N25</f>
        <v>84509</v>
      </c>
      <c r="P23">
        <f>18762+59+87+13+23+18838+57+13+28+86243+2089+807+65007+131+1463+28</f>
        <v>193648</v>
      </c>
    </row>
    <row r="24" spans="13:17">
      <c r="M24" s="3501" t="s">
        <v>3493</v>
      </c>
      <c r="N24" s="3501" t="s">
        <v>3494</v>
      </c>
    </row>
    <row r="25" spans="13:17">
      <c r="M25">
        <v>74665.899999999994</v>
      </c>
      <c r="N25">
        <v>2065</v>
      </c>
      <c r="O25">
        <v>624</v>
      </c>
      <c r="P25">
        <v>3619</v>
      </c>
      <c r="Q25">
        <f>P25+O25+N25</f>
        <v>6308</v>
      </c>
    </row>
    <row r="26" spans="13:17">
      <c r="N26">
        <v>86574</v>
      </c>
      <c r="O26">
        <v>74163</v>
      </c>
      <c r="P26">
        <v>193649</v>
      </c>
    </row>
    <row r="27" spans="13:17">
      <c r="N27">
        <v>125121</v>
      </c>
    </row>
    <row r="29" spans="13:17">
      <c r="O29">
        <f>N26+O26+P26+N27</f>
        <v>479507</v>
      </c>
    </row>
    <row r="30" spans="13:17">
      <c r="P30">
        <v>2065</v>
      </c>
      <c r="Q30">
        <f>N26-P30</f>
        <v>84509</v>
      </c>
    </row>
    <row r="31" spans="13:17">
      <c r="Q31">
        <v>551</v>
      </c>
    </row>
    <row r="32" spans="13:17">
      <c r="M32">
        <f>O29-Q25</f>
        <v>473199</v>
      </c>
      <c r="Q32">
        <v>73</v>
      </c>
    </row>
    <row r="33" spans="13:17">
      <c r="M33">
        <f>M32/M25</f>
        <v>6.3375516802181453</v>
      </c>
      <c r="Q33">
        <f>O29-Q31-Q32</f>
        <v>478883</v>
      </c>
    </row>
    <row r="34" spans="13:17">
      <c r="N34">
        <f>O29-K11</f>
        <v>11348</v>
      </c>
    </row>
    <row r="37" spans="13:17">
      <c r="O37">
        <f>15779+97995+11347</f>
        <v>125121</v>
      </c>
    </row>
  </sheetData>
  <mergeCells count="16">
    <mergeCell ref="A13:B13"/>
    <mergeCell ref="A1:F1"/>
    <mergeCell ref="H1:M1"/>
    <mergeCell ref="H2:H3"/>
    <mergeCell ref="I2:I3"/>
    <mergeCell ref="J2:J3"/>
    <mergeCell ref="K2:M2"/>
    <mergeCell ref="H8:I8"/>
    <mergeCell ref="H10:I10"/>
    <mergeCell ref="H11:I11"/>
    <mergeCell ref="A2:A3"/>
    <mergeCell ref="B2:B3"/>
    <mergeCell ref="C2:C3"/>
    <mergeCell ref="D2:F2"/>
    <mergeCell ref="A10:B10"/>
    <mergeCell ref="A12:B12"/>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93.75">
      <c r="A7" s="2890"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2018年6月20日（评估专业人员勘察现场之日）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2"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9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2" t="s">
        <v>2039</v>
      </c>
      <c r="B1" s="3582"/>
      <c r="C1" s="3582"/>
      <c r="D1" s="3582"/>
      <c r="E1" s="3582"/>
      <c r="F1" s="3582"/>
      <c r="G1" s="3582"/>
      <c r="H1" s="3582"/>
      <c r="I1" s="3582"/>
      <c r="J1" s="3582"/>
      <c r="K1" s="3582"/>
      <c r="L1" s="3582"/>
      <c r="M1" s="3582"/>
      <c r="N1" s="3582"/>
      <c r="O1" s="3582"/>
      <c r="P1" s="3582"/>
      <c r="Q1" s="3582"/>
      <c r="R1" s="3582"/>
    </row>
    <row r="2" spans="1:18">
      <c r="A2" s="1800" t="s">
        <v>2041</v>
      </c>
      <c r="B2" s="1800"/>
      <c r="C2" s="1800"/>
      <c r="D2" s="1800"/>
      <c r="E2" s="1800"/>
      <c r="F2" s="1800"/>
      <c r="G2" s="1800"/>
      <c r="H2" s="1800"/>
      <c r="I2" s="1801"/>
      <c r="J2" s="1801"/>
      <c r="K2" s="1802" t="str">
        <f>"估价期日："&amp;TEXT(项目基本情况!D3,"yyyy年m月d日;;")</f>
        <v>估价期日：2018年6月20日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83" t="s">
        <v>2030</v>
      </c>
      <c r="B3" s="3583" t="s">
        <v>2735</v>
      </c>
      <c r="C3" s="3584" t="s">
        <v>2031</v>
      </c>
      <c r="D3" s="3583" t="s">
        <v>2739</v>
      </c>
      <c r="E3" s="3578" t="s">
        <v>2032</v>
      </c>
      <c r="F3" s="3578"/>
      <c r="G3" s="3578"/>
      <c r="H3" s="3578" t="s">
        <v>2033</v>
      </c>
      <c r="I3" s="3578"/>
      <c r="J3" s="3578"/>
      <c r="K3" s="3584" t="s">
        <v>2034</v>
      </c>
      <c r="L3" s="3584" t="s">
        <v>2035</v>
      </c>
      <c r="M3" s="3583" t="s">
        <v>2736</v>
      </c>
      <c r="N3" s="3585" t="str">
        <f>"（分摊）"&amp;项目基本情况!B16&amp;"国有建设用地使用权面积/㎡"</f>
        <v>（分摊）出让国有建设用地使用权面积/㎡</v>
      </c>
      <c r="O3" s="3583" t="s">
        <v>2064</v>
      </c>
      <c r="P3" s="3584" t="s">
        <v>2044</v>
      </c>
      <c r="Q3" s="3584" t="s">
        <v>2065</v>
      </c>
      <c r="R3" s="3584" t="s">
        <v>2036</v>
      </c>
    </row>
    <row r="4" spans="1:18" ht="36.75" customHeight="1">
      <c r="A4" s="3583"/>
      <c r="B4" s="3583"/>
      <c r="C4" s="3584"/>
      <c r="D4" s="3583"/>
      <c r="E4" s="2666" t="s">
        <v>2043</v>
      </c>
      <c r="F4" s="2666" t="s">
        <v>2748</v>
      </c>
      <c r="G4" s="2666" t="s">
        <v>2037</v>
      </c>
      <c r="H4" s="2666" t="s">
        <v>2038</v>
      </c>
      <c r="I4" s="2666" t="s">
        <v>2749</v>
      </c>
      <c r="J4" s="2666" t="s">
        <v>2037</v>
      </c>
      <c r="K4" s="3584"/>
      <c r="L4" s="3584"/>
      <c r="M4" s="3583"/>
      <c r="N4" s="3585"/>
      <c r="O4" s="3583"/>
      <c r="P4" s="3584"/>
      <c r="Q4" s="3584"/>
      <c r="R4" s="3584"/>
    </row>
    <row r="5" spans="1:18" ht="135" customHeight="1">
      <c r="A5" s="1935" t="s">
        <v>2659</v>
      </c>
      <c r="B5" s="2884" t="s">
        <v>2657</v>
      </c>
      <c r="C5" s="2665">
        <v>22</v>
      </c>
      <c r="D5" s="2664" t="s">
        <v>2658</v>
      </c>
      <c r="E5" s="1803">
        <f>项目基本情况!B12</f>
        <v>0</v>
      </c>
      <c r="F5" s="2664">
        <v>258</v>
      </c>
      <c r="G5" s="1803">
        <f>项目基本情况!B13</f>
        <v>0</v>
      </c>
      <c r="H5" s="2664">
        <v>1.5</v>
      </c>
      <c r="I5" s="2664">
        <v>1.5</v>
      </c>
      <c r="J5" s="2664">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74665.899999999994</v>
      </c>
      <c r="O5" s="1803">
        <f>项目基本情况!C21</f>
        <v>479506</v>
      </c>
      <c r="P5" s="1803">
        <f ca="1">结果表!E42</f>
        <v>19457</v>
      </c>
      <c r="Q5" s="1803">
        <f ca="1">结果表!D42</f>
        <v>3030</v>
      </c>
      <c r="R5" s="1804">
        <f ca="1">结果表!C42</f>
        <v>145280</v>
      </c>
    </row>
    <row r="6" spans="1:18">
      <c r="A6" s="3579" t="str">
        <f>IF(项目基本情况!B9="市场价格","——","抵押价格")</f>
        <v>抵押价格</v>
      </c>
      <c r="B6" s="3580"/>
      <c r="C6" s="3580"/>
      <c r="D6" s="3580"/>
      <c r="E6" s="3580"/>
      <c r="F6" s="3580"/>
      <c r="G6" s="3580"/>
      <c r="H6" s="3580"/>
      <c r="I6" s="3580"/>
      <c r="J6" s="3580"/>
      <c r="K6" s="3580"/>
      <c r="L6" s="3580"/>
      <c r="M6" s="3580"/>
      <c r="N6" s="3580"/>
      <c r="O6" s="3580"/>
      <c r="P6" s="3580"/>
      <c r="Q6" s="3581"/>
      <c r="R6" s="1805" t="str">
        <f>结果表!O39</f>
        <v>——</v>
      </c>
    </row>
    <row r="7" spans="1:18">
      <c r="A7" s="3579" t="str">
        <f>IF(项目基本情况!B9="市场价格","——",IF(项目基本情况!E8="已注销及未注销","抵押担保权已注销时的抵押价格","——"))</f>
        <v>——</v>
      </c>
      <c r="B7" s="3580"/>
      <c r="C7" s="3580"/>
      <c r="D7" s="3580"/>
      <c r="E7" s="3580"/>
      <c r="F7" s="3580"/>
      <c r="G7" s="3580"/>
      <c r="H7" s="3580"/>
      <c r="I7" s="3580"/>
      <c r="J7" s="3580"/>
      <c r="K7" s="3580"/>
      <c r="L7" s="3580"/>
      <c r="M7" s="3580"/>
      <c r="N7" s="3580"/>
      <c r="O7" s="3580"/>
      <c r="P7" s="3580"/>
      <c r="Q7" s="3581"/>
      <c r="R7" s="1805" t="str">
        <f>结果表!O40</f>
        <v>——</v>
      </c>
    </row>
    <row r="8" spans="1:18">
      <c r="A8" s="3579">
        <f>IF(项目基本情况!B9="市场价格","——",项目基本情况!E9)</f>
        <v>0</v>
      </c>
      <c r="B8" s="3580"/>
      <c r="C8" s="3580"/>
      <c r="D8" s="3580"/>
      <c r="E8" s="3580"/>
      <c r="F8" s="3580"/>
      <c r="G8" s="3580"/>
      <c r="H8" s="3580"/>
      <c r="I8" s="3580"/>
      <c r="J8" s="3580"/>
      <c r="K8" s="3580"/>
      <c r="L8" s="3580"/>
      <c r="M8" s="3580"/>
      <c r="N8" s="3580"/>
      <c r="O8" s="3580"/>
      <c r="P8" s="3580"/>
      <c r="Q8" s="3581"/>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86" t="s">
        <v>2066</v>
      </c>
      <c r="B1" s="3586"/>
      <c r="C1" s="3586"/>
      <c r="D1" s="3586"/>
    </row>
    <row r="2" spans="1:4" ht="47.25" customHeight="1">
      <c r="A2" s="3590" t="str">
        <f>"1.权利限制："&amp;项目基本情况!L24&amp;"未设定租赁等其他他项权利。"</f>
        <v>1.权利限制：根据估价对象《不动产权证书》原件、《国有土地使用权》复印件，截至估价期日，估价对象抵押权未见登记。未设定租赁等其他他项权利。</v>
      </c>
      <c r="B2" s="3590"/>
      <c r="C2" s="3590"/>
      <c r="D2" s="3590"/>
    </row>
    <row r="3" spans="1:4" ht="48" customHeight="1">
      <c r="A3" s="35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6"/>
      <c r="C3" s="3586"/>
      <c r="D3" s="3586"/>
    </row>
    <row r="4" spans="1:4" ht="36.75" customHeight="1">
      <c r="A4" s="3586" t="str">
        <f>"3.估价规划限制条件：详见"&amp;项目基本情况!E21&amp;"。"</f>
        <v>3.估价规划限制条件：详见《建设工程规划许可证》[]、《出让合同》[]。</v>
      </c>
      <c r="B4" s="3586"/>
      <c r="C4" s="3586"/>
      <c r="D4" s="3586"/>
    </row>
    <row r="5" spans="1:4">
      <c r="A5" s="3589" t="s">
        <v>2067</v>
      </c>
      <c r="B5" s="3589"/>
      <c r="C5" s="3589"/>
      <c r="D5" s="3589"/>
    </row>
    <row r="6" spans="1:4">
      <c r="A6" s="3586" t="s">
        <v>2045</v>
      </c>
      <c r="B6" s="3586"/>
      <c r="C6" s="3586"/>
      <c r="D6" s="3586"/>
    </row>
    <row r="7" spans="1:4" ht="33" customHeight="1">
      <c r="A7" s="3586" t="s">
        <v>2579</v>
      </c>
      <c r="B7" s="3586"/>
      <c r="C7" s="3586"/>
      <c r="D7" s="3586"/>
    </row>
    <row r="8" spans="1:4" ht="32.25" customHeight="1">
      <c r="A8" s="35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6"/>
      <c r="C8" s="3586"/>
      <c r="D8" s="3586"/>
    </row>
    <row r="9" spans="1:4" ht="33.75" customHeight="1">
      <c r="A9" s="35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6"/>
      <c r="C9" s="3586"/>
      <c r="D9" s="3586"/>
    </row>
    <row r="10" spans="1:4">
      <c r="A10" s="3586" t="str">
        <f>IF(项目基本情况!B8="抵押","4.估价师所知悉的法定优先受偿款情况为：","——")</f>
        <v>4.估价师所知悉的法定优先受偿款情况为：</v>
      </c>
      <c r="B10" s="3586"/>
      <c r="C10" s="3586"/>
      <c r="D10" s="3586"/>
    </row>
    <row r="11" spans="1:4" ht="37.5" customHeight="1">
      <c r="A11" s="35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8"/>
      <c r="C11" s="3588"/>
      <c r="D11" s="3588"/>
    </row>
    <row r="12" spans="1:4" ht="168" customHeight="1">
      <c r="A12" s="3589" t="s">
        <v>2069</v>
      </c>
      <c r="B12" s="3589"/>
      <c r="C12" s="3589"/>
      <c r="D12" s="3589"/>
    </row>
    <row r="13" spans="1:4">
      <c r="A13" s="3587" t="s">
        <v>2750</v>
      </c>
      <c r="B13" s="3587"/>
      <c r="C13" s="3587"/>
      <c r="D13" s="3587"/>
    </row>
    <row r="14" spans="1:4">
      <c r="A14" s="3588" t="str">
        <f>IF(项目基本情况!B8="抵押","综上，"&amp;结果表!K47,"——")</f>
        <v>综上，本次评估不存在估价师知悉的法定优先受偿款</v>
      </c>
      <c r="B14" s="3588"/>
      <c r="C14" s="3588"/>
      <c r="D14" s="3588"/>
    </row>
    <row r="15" spans="1:4" ht="58.5" customHeight="1">
      <c r="A15" s="35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6"/>
      <c r="C15" s="3586"/>
      <c r="D15" s="3586"/>
    </row>
    <row r="16" spans="1:4" ht="70.5" customHeight="1">
      <c r="A16" s="35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6"/>
      <c r="C16" s="3586"/>
      <c r="D16" s="3586"/>
    </row>
    <row r="17" spans="1:4">
      <c r="A17" s="3586" t="s">
        <v>2706</v>
      </c>
      <c r="B17" s="3586"/>
      <c r="C17" s="3586"/>
      <c r="D17" s="3586"/>
    </row>
    <row r="18" spans="1:4">
      <c r="A18" s="3586" t="s">
        <v>2698</v>
      </c>
      <c r="B18" s="3586"/>
      <c r="C18" s="3586"/>
      <c r="D18" s="3586"/>
    </row>
    <row r="19" spans="1:4">
      <c r="A19" s="2885" t="s">
        <v>2699</v>
      </c>
      <c r="B19" s="2885" t="s">
        <v>2700</v>
      </c>
      <c r="C19" s="2885" t="s">
        <v>2701</v>
      </c>
      <c r="D19" s="2885" t="s">
        <v>2702</v>
      </c>
    </row>
    <row r="20" spans="1:4">
      <c r="A20" s="2885" t="str">
        <f>项目基本情况!B4</f>
        <v>吴薇</v>
      </c>
      <c r="B20" s="2885">
        <f ca="1">项目基本情况!C4</f>
        <v>2002110125</v>
      </c>
      <c r="C20" s="2887"/>
      <c r="D20" s="1793" t="s">
        <v>2707</v>
      </c>
    </row>
    <row r="21" spans="1:4">
      <c r="A21" s="2885" t="str">
        <f>项目基本情况!D4</f>
        <v>刘梅</v>
      </c>
      <c r="B21" s="2885">
        <f ca="1">项目基本情况!E4</f>
        <v>2008110059</v>
      </c>
      <c r="C21" s="2887"/>
      <c r="D21" s="1793" t="s">
        <v>2708</v>
      </c>
    </row>
    <row r="23" spans="1:4">
      <c r="A23" s="3586" t="s">
        <v>2703</v>
      </c>
      <c r="B23" s="3586"/>
      <c r="C23" s="3586"/>
      <c r="D23" s="3586"/>
    </row>
    <row r="24" spans="1:4">
      <c r="A24" s="2885" t="s">
        <v>2699</v>
      </c>
      <c r="B24" s="2885" t="s">
        <v>2704</v>
      </c>
      <c r="C24" s="2885" t="s">
        <v>2701</v>
      </c>
      <c r="D24" s="2885" t="s">
        <v>2702</v>
      </c>
    </row>
    <row r="25" spans="1:4">
      <c r="A25" s="2888" t="s">
        <v>2705</v>
      </c>
      <c r="B25" s="2885" t="s">
        <v>952</v>
      </c>
      <c r="C25" s="2887"/>
      <c r="D25" s="1793" t="s">
        <v>2708</v>
      </c>
    </row>
    <row r="29" spans="1:4">
      <c r="D29" s="2886" t="s">
        <v>2040</v>
      </c>
    </row>
    <row r="30" spans="1:4">
      <c r="D30" s="28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98" t="s">
        <v>53</v>
      </c>
      <c r="B15" s="3599" t="s">
        <v>846</v>
      </c>
      <c r="C15" s="3595"/>
    </row>
    <row r="16" spans="1:7" ht="14.25">
      <c r="A16" s="3598"/>
      <c r="B16" s="3596" t="s">
        <v>54</v>
      </c>
      <c r="C16" s="1165" t="s">
        <v>53</v>
      </c>
    </row>
    <row r="17" spans="1:3" ht="14.25">
      <c r="A17" s="3598"/>
      <c r="B17" s="3596"/>
      <c r="C17" s="1165" t="s">
        <v>55</v>
      </c>
    </row>
    <row r="18" spans="1:3" ht="14.25">
      <c r="A18" s="3598"/>
      <c r="B18" s="3596"/>
      <c r="C18" s="1165" t="s">
        <v>56</v>
      </c>
    </row>
    <row r="19" spans="1:3" ht="14.25">
      <c r="A19" s="3598"/>
      <c r="B19" s="3594" t="s">
        <v>57</v>
      </c>
      <c r="C19" s="3595"/>
    </row>
    <row r="20" spans="1:3" ht="14.25">
      <c r="A20" s="1166" t="s">
        <v>58</v>
      </c>
      <c r="B20" s="1167"/>
      <c r="C20" s="1168"/>
    </row>
    <row r="21" spans="1:3" ht="14.25">
      <c r="A21" s="3597" t="s">
        <v>59</v>
      </c>
      <c r="B21" s="3594" t="s">
        <v>60</v>
      </c>
      <c r="C21" s="3595"/>
    </row>
    <row r="22" spans="1:3" ht="14.25">
      <c r="A22" s="3597"/>
      <c r="B22" s="3594" t="s">
        <v>61</v>
      </c>
      <c r="C22" s="3595"/>
    </row>
    <row r="23" spans="1:3" ht="14.25">
      <c r="A23" s="3597"/>
      <c r="B23" s="3594" t="s">
        <v>62</v>
      </c>
      <c r="C23" s="3595"/>
    </row>
    <row r="24" spans="1:3" ht="14.25">
      <c r="A24" s="3597"/>
      <c r="B24" s="3600" t="s">
        <v>63</v>
      </c>
      <c r="C24" s="1169" t="s">
        <v>837</v>
      </c>
    </row>
    <row r="25" spans="1:3" ht="14.25">
      <c r="A25" s="3597"/>
      <c r="B25" s="3601"/>
      <c r="C25" s="1169" t="s">
        <v>838</v>
      </c>
    </row>
    <row r="26" spans="1:3" ht="14.25">
      <c r="A26" s="3597"/>
      <c r="B26" s="3601"/>
      <c r="C26" s="1169" t="s">
        <v>839</v>
      </c>
    </row>
    <row r="27" spans="1:3" ht="14.25">
      <c r="A27" s="3597"/>
      <c r="B27" s="3601"/>
      <c r="C27" s="1169" t="s">
        <v>840</v>
      </c>
    </row>
    <row r="28" spans="1:3" ht="14.25">
      <c r="A28" s="3597"/>
      <c r="B28" s="3601"/>
      <c r="C28" s="1169" t="s">
        <v>841</v>
      </c>
    </row>
    <row r="29" spans="1:3" ht="14.25">
      <c r="A29" s="3597"/>
      <c r="B29" s="3601"/>
      <c r="C29" s="1169" t="s">
        <v>842</v>
      </c>
    </row>
    <row r="30" spans="1:3" ht="14.25">
      <c r="A30" s="3597"/>
      <c r="B30" s="3601"/>
      <c r="C30" s="1169" t="s">
        <v>843</v>
      </c>
    </row>
    <row r="31" spans="1:3" ht="14.25">
      <c r="A31" s="3597"/>
      <c r="B31" s="3601"/>
      <c r="C31" s="1169" t="s">
        <v>844</v>
      </c>
    </row>
    <row r="32" spans="1:3" ht="14.25">
      <c r="A32" s="3597"/>
      <c r="B32" s="3601"/>
      <c r="C32" s="1169" t="s">
        <v>1647</v>
      </c>
    </row>
    <row r="33" spans="1:3" ht="14.25">
      <c r="A33" s="3597"/>
      <c r="B33" s="3591" t="s">
        <v>1653</v>
      </c>
      <c r="C33" s="1169" t="s">
        <v>1648</v>
      </c>
    </row>
    <row r="34" spans="1:3" ht="14.25">
      <c r="A34" s="3597"/>
      <c r="B34" s="3592"/>
      <c r="C34" s="1174" t="s">
        <v>1649</v>
      </c>
    </row>
    <row r="35" spans="1:3" ht="14.25">
      <c r="A35" s="3597"/>
      <c r="B35" s="3592"/>
      <c r="C35" s="1175" t="s">
        <v>1650</v>
      </c>
    </row>
    <row r="36" spans="1:3" ht="14.25">
      <c r="A36" s="3597"/>
      <c r="B36" s="3592"/>
      <c r="C36" s="1175" t="s">
        <v>1651</v>
      </c>
    </row>
    <row r="37" spans="1:3" ht="14.25">
      <c r="A37" s="3597"/>
      <c r="B37" s="3593"/>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1906</v>
      </c>
      <c r="B2" s="1649">
        <f ca="1">TODAY()</f>
        <v>43321</v>
      </c>
      <c r="C2" s="2331" t="s">
        <v>1907</v>
      </c>
      <c r="D2" s="2332"/>
    </row>
    <row r="3" spans="1:6" ht="20.25" customHeight="1">
      <c r="A3" s="2334" t="s">
        <v>1908</v>
      </c>
      <c r="B3" s="2335" t="s">
        <v>1909</v>
      </c>
      <c r="C3" s="2335" t="s">
        <v>1910</v>
      </c>
      <c r="D3" s="2336" t="s">
        <v>1911</v>
      </c>
      <c r="E3" s="2335" t="s">
        <v>1912</v>
      </c>
      <c r="F3" s="2335" t="s">
        <v>1910</v>
      </c>
    </row>
    <row r="4" spans="1:6" ht="20.25" customHeight="1">
      <c r="A4" s="2335" t="s">
        <v>1913</v>
      </c>
      <c r="B4" s="2335">
        <f ca="1">IF(C4&lt;B2,"已过期",1119970066)</f>
        <v>1119970066</v>
      </c>
      <c r="C4" s="3022">
        <v>43849</v>
      </c>
      <c r="D4" s="2335" t="s">
        <v>1913</v>
      </c>
      <c r="E4" s="2335">
        <f ca="1">IF(F4&lt;B2,"已过期",96010014)</f>
        <v>96010014</v>
      </c>
      <c r="F4" s="3023">
        <v>47118</v>
      </c>
    </row>
    <row r="5" spans="1:6" ht="20.25" customHeight="1">
      <c r="A5" s="2335" t="s">
        <v>1914</v>
      </c>
      <c r="B5" s="2335">
        <f ca="1">IF(C5&lt;B2,"已过期",1119970074)</f>
        <v>1119970074</v>
      </c>
      <c r="C5" s="3022">
        <v>43849</v>
      </c>
      <c r="D5" s="2335" t="s">
        <v>1914</v>
      </c>
      <c r="E5" s="2335">
        <f ca="1">IF(F5&lt;B2,"已过期",2002110027)</f>
        <v>2002110027</v>
      </c>
      <c r="F5" s="3023">
        <v>46752</v>
      </c>
    </row>
    <row r="6" spans="1:6" ht="20.25" customHeight="1">
      <c r="A6" s="2335" t="s">
        <v>1915</v>
      </c>
      <c r="B6" s="2335">
        <f ca="1">IF(C6&lt;B2,"已过期",1119970111)</f>
        <v>1119970111</v>
      </c>
      <c r="C6" s="3022">
        <v>43849</v>
      </c>
      <c r="D6" s="2335" t="s">
        <v>1915</v>
      </c>
      <c r="E6" s="2335">
        <f ca="1">IF(F6&lt;B2,"已过期",94010078)</f>
        <v>94010078</v>
      </c>
      <c r="F6" s="3023">
        <v>46387</v>
      </c>
    </row>
    <row r="7" spans="1:6" ht="20.25" customHeight="1">
      <c r="A7" s="2335" t="s">
        <v>1916</v>
      </c>
      <c r="B7" s="2335">
        <f ca="1">IF(C7&lt;B2,"已过期",1120050019)</f>
        <v>1120050019</v>
      </c>
      <c r="C7" s="3022">
        <v>43359</v>
      </c>
      <c r="D7" s="2335" t="s">
        <v>1916</v>
      </c>
      <c r="E7" s="2335">
        <f ca="1">IF(F7&lt;B2,"已过期",2002110030)</f>
        <v>2002110030</v>
      </c>
      <c r="F7" s="3023">
        <v>46387</v>
      </c>
    </row>
    <row r="8" spans="1:6" ht="20.25" customHeight="1">
      <c r="A8" s="2335" t="s">
        <v>1917</v>
      </c>
      <c r="B8" s="2335">
        <f ca="1">IF(C8&lt;B2,"已过期",1120000080)</f>
        <v>1120000080</v>
      </c>
      <c r="C8" s="3022">
        <v>43849</v>
      </c>
      <c r="D8" s="2335" t="s">
        <v>1917</v>
      </c>
      <c r="E8" s="2335">
        <f ca="1">IF(F8&lt;B2,"已过期",2000110082)</f>
        <v>2000110082</v>
      </c>
      <c r="F8" s="3023">
        <v>46387</v>
      </c>
    </row>
    <row r="9" spans="1:6" ht="20.25" customHeight="1">
      <c r="A9" s="2335" t="s">
        <v>1918</v>
      </c>
      <c r="B9" s="2335">
        <f ca="1">IF(C9&lt;B2,"已过期",1419970001)</f>
        <v>1419970001</v>
      </c>
      <c r="C9" s="3022">
        <v>43867</v>
      </c>
      <c r="D9" s="2335" t="s">
        <v>1918</v>
      </c>
      <c r="E9" s="2335">
        <f ca="1">IF(F9&lt;B2,"已过期",2002110125)</f>
        <v>2002110125</v>
      </c>
      <c r="F9" s="3023">
        <v>47118</v>
      </c>
    </row>
    <row r="10" spans="1:6" ht="20.25" customHeight="1">
      <c r="A10" s="2335" t="s">
        <v>1919</v>
      </c>
      <c r="B10" s="2335">
        <f ca="1">IF(C10&lt;B2,"已过期",1120060040)</f>
        <v>1120060040</v>
      </c>
      <c r="C10" s="3022">
        <v>43483</v>
      </c>
      <c r="D10" s="2335" t="s">
        <v>1919</v>
      </c>
      <c r="E10" s="2335">
        <f ca="1">IF(F10&lt;B2,"已过期",2004110096)</f>
        <v>2004110096</v>
      </c>
      <c r="F10" s="3023">
        <v>47118</v>
      </c>
    </row>
    <row r="11" spans="1:6" ht="20.25" customHeight="1">
      <c r="A11" s="2335" t="s">
        <v>1920</v>
      </c>
      <c r="B11" s="2335">
        <f ca="1">IF(C11&lt;B2,"已过期",1120100036)</f>
        <v>1120100036</v>
      </c>
      <c r="C11" s="3022">
        <v>43622</v>
      </c>
      <c r="D11" s="2335" t="s">
        <v>1920</v>
      </c>
      <c r="E11" s="2335">
        <f ca="1">IF(F11&lt;B2,"已过期",2010110070)</f>
        <v>2010110070</v>
      </c>
      <c r="F11" s="3023">
        <v>47907</v>
      </c>
    </row>
    <row r="12" spans="1:6" ht="20.25" customHeight="1">
      <c r="A12" s="2335"/>
      <c r="B12" s="2335"/>
      <c r="C12" s="3022"/>
      <c r="D12" s="2335"/>
      <c r="E12" s="2335"/>
      <c r="F12" s="2335"/>
    </row>
    <row r="13" spans="1:6" ht="20.25" customHeight="1">
      <c r="A13" s="2335" t="s">
        <v>1921</v>
      </c>
      <c r="B13" s="2335">
        <f ca="1">IF(C13&lt;B2,"已过期",1120070131)</f>
        <v>1120070131</v>
      </c>
      <c r="C13" s="3022">
        <v>43814</v>
      </c>
      <c r="D13" s="2335" t="s">
        <v>1921</v>
      </c>
      <c r="E13" s="2335">
        <v>2014110011</v>
      </c>
      <c r="F13" s="3023">
        <v>49302</v>
      </c>
    </row>
    <row r="14" spans="1:6" ht="20.25" customHeight="1">
      <c r="A14" s="2335" t="s">
        <v>1922</v>
      </c>
      <c r="B14" s="2335">
        <f ca="1">IF(C14&lt;B2,"已过期",1120130020)</f>
        <v>1120130020</v>
      </c>
      <c r="C14" s="3022">
        <v>43622</v>
      </c>
      <c r="D14" s="2335"/>
      <c r="E14" s="2335"/>
      <c r="F14" s="2335"/>
    </row>
    <row r="15" spans="1:6" ht="20.25" customHeight="1">
      <c r="A15" s="2335" t="s">
        <v>2578</v>
      </c>
      <c r="B15" s="2335">
        <v>1120070085</v>
      </c>
      <c r="C15" s="3022">
        <v>43814</v>
      </c>
      <c r="D15" s="2335" t="s">
        <v>2578</v>
      </c>
      <c r="E15" s="2335">
        <v>2004110128</v>
      </c>
      <c r="F15" s="3023">
        <v>47118</v>
      </c>
    </row>
    <row r="16" spans="1:6" ht="20.25" customHeight="1">
      <c r="A16" s="2335" t="s">
        <v>1923</v>
      </c>
      <c r="B16" s="2335">
        <f ca="1">IF(C16&lt;B2,"已过期",1120140022)</f>
        <v>1120140022</v>
      </c>
      <c r="C16" s="3022">
        <v>44029</v>
      </c>
      <c r="D16" s="2335" t="s">
        <v>1923</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1924</v>
      </c>
      <c r="E21" s="2335">
        <f ca="1">IF(F21&lt;B2,"已过期",2011110090)</f>
        <v>2011110090</v>
      </c>
      <c r="F21" s="3023">
        <v>48302</v>
      </c>
    </row>
    <row r="22" spans="1:7" ht="20.25" customHeight="1">
      <c r="A22" s="2335" t="s">
        <v>1925</v>
      </c>
      <c r="B22" s="2335" t="str">
        <f ca="1">IF(C22&lt;B2,"已过期",1120020033)</f>
        <v>已过期</v>
      </c>
      <c r="C22" s="3022">
        <v>43304</v>
      </c>
      <c r="D22" s="2335" t="s">
        <v>1925</v>
      </c>
      <c r="E22" s="2335">
        <f ca="1">IF(F22&lt;B2,"已过期",2000110137)</f>
        <v>2000110137</v>
      </c>
      <c r="F22" s="3023">
        <v>46387</v>
      </c>
    </row>
    <row r="23" spans="1:7" ht="20.25" customHeight="1">
      <c r="A23" s="2335" t="s">
        <v>1926</v>
      </c>
      <c r="B23" s="2335">
        <f ca="1">IF(C23&lt;B2,"已过期",1120130048)</f>
        <v>1120130048</v>
      </c>
      <c r="C23" s="3022">
        <v>43686</v>
      </c>
      <c r="D23" s="2335"/>
      <c r="E23" s="2335"/>
      <c r="F23" s="2335"/>
    </row>
    <row r="24" spans="1:7" s="2339" customFormat="1" ht="20.25" customHeight="1">
      <c r="A24" s="2337" t="s">
        <v>2054</v>
      </c>
      <c r="B24" s="2337" t="s">
        <v>2054</v>
      </c>
      <c r="C24" s="3022"/>
      <c r="D24" s="3024" t="s">
        <v>2054</v>
      </c>
      <c r="E24" s="2337" t="s">
        <v>2054</v>
      </c>
      <c r="F24" s="2338"/>
    </row>
    <row r="25" spans="1:7" ht="20.25" customHeight="1">
      <c r="A25" s="3602" t="s">
        <v>1927</v>
      </c>
      <c r="B25" s="3602"/>
      <c r="C25" s="3602"/>
      <c r="D25" s="3602"/>
      <c r="E25" s="3602"/>
      <c r="F25" s="3602"/>
      <c r="G25" s="3602"/>
    </row>
    <row r="26" spans="1:7" ht="20.25" customHeight="1">
      <c r="A26" s="3603" t="s">
        <v>1928</v>
      </c>
      <c r="B26" s="3603"/>
      <c r="C26" s="3603"/>
      <c r="D26" s="3603" t="s">
        <v>1929</v>
      </c>
      <c r="E26" s="3603"/>
      <c r="F26" s="3603"/>
    </row>
    <row r="27" spans="1:7" s="2343" customFormat="1" ht="20.25" customHeight="1">
      <c r="A27" s="2340" t="s">
        <v>1930</v>
      </c>
      <c r="B27" s="2341" t="s">
        <v>1931</v>
      </c>
      <c r="C27" s="2341" t="s">
        <v>1932</v>
      </c>
      <c r="D27" s="2342" t="s">
        <v>1930</v>
      </c>
      <c r="E27" s="2341" t="s">
        <v>1931</v>
      </c>
      <c r="F27" s="2341" t="s">
        <v>1932</v>
      </c>
    </row>
    <row r="28" spans="1:7" s="2343" customFormat="1" ht="20.25" customHeight="1">
      <c r="A28" s="2344" t="s">
        <v>1933</v>
      </c>
      <c r="B28" s="2344" t="s">
        <v>1934</v>
      </c>
      <c r="C28" s="2345">
        <v>43725</v>
      </c>
      <c r="D28" s="2344" t="s">
        <v>1935</v>
      </c>
      <c r="E28" s="2344" t="s">
        <v>1936</v>
      </c>
      <c r="F28" s="2346">
        <v>44377</v>
      </c>
    </row>
    <row r="29" spans="1:7" s="2343" customFormat="1" ht="20.25" customHeight="1">
      <c r="A29" s="2344"/>
      <c r="B29" s="2344"/>
      <c r="C29" s="2347"/>
      <c r="D29" s="2344" t="s">
        <v>1937</v>
      </c>
      <c r="E29" s="2348" t="s">
        <v>2945</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面积</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2018-06-20T08:17:08Z</cp:lastPrinted>
  <dcterms:created xsi:type="dcterms:W3CDTF">2015-07-13T07:17:23Z</dcterms:created>
  <dcterms:modified xsi:type="dcterms:W3CDTF">2018-08-09T09:25:35Z</dcterms:modified>
</cp:coreProperties>
</file>