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E:\2024\进行中\天津柏悦花园\"/>
    </mc:Choice>
  </mc:AlternateContent>
  <xr:revisionPtr revIDLastSave="0" documentId="13_ncr:1_{AE59B202-5B06-4E67-ADFC-2F255744A860}" xr6:coauthVersionLast="47" xr6:coauthVersionMax="47" xr10:uidLastSave="{00000000-0000-0000-0000-000000000000}"/>
  <bookViews>
    <workbookView xWindow="-108" yWindow="-108" windowWidth="20376" windowHeight="12216" tabRatio="899" firstSheet="16"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案例情况" sheetId="84" r:id="rId13"/>
    <sheet name="数据-基础表" sheetId="3" r:id="rId14"/>
    <sheet name="数据-汇总表" sheetId="6" r:id="rId15"/>
    <sheet name="数据-取费表" sheetId="1" r:id="rId16"/>
    <sheet name="估价对象房地状况" sheetId="20" r:id="rId17"/>
    <sheet name="原始表" sheetId="80" r:id="rId18"/>
    <sheet name="1号楼" sheetId="81" r:id="rId19"/>
    <sheet name="2号楼" sheetId="82" r:id="rId20"/>
    <sheet name="3-5号楼" sheetId="83" r:id="rId21"/>
    <sheet name="无查询证明的4套" sheetId="85" r:id="rId22"/>
    <sheet name="系统读取表" sheetId="74" r:id="rId23"/>
    <sheet name="结果表" sheetId="9" r:id="rId24"/>
    <sheet name="成本法" sheetId="68"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收益法 (元)" sheetId="67" r:id="rId37"/>
    <sheet name="典型户型修正" sheetId="31" r:id="rId38"/>
    <sheet name="基准地价（汇总）" sheetId="76" state="hidden" r:id="rId39"/>
    <sheet name="成本法 (元)" sheetId="69" r:id="rId40"/>
    <sheet name="土地比较法-住宅、综合" sheetId="39"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20" hidden="1">'3-5号楼'!$D$1:$D$17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3">结果表!$A$1:$I$127</definedName>
    <definedName name="_xlnm.Print_Area" localSheetId="26">收益法!$A$1:$F$43,收益法!$H$3:$M$29,收益法!$A$46:$F$71,收益法!$I$46:$N$65</definedName>
    <definedName name="_xlnm.Print_Area" localSheetId="3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40">'土地比较法-住宅、综合'!$A$1:$K$65,'土地比较法-住宅、综合'!$A$68:$M$131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86" i="31" l="1"/>
  <c r="F85" i="31"/>
  <c r="F84" i="31"/>
  <c r="F83" i="31"/>
  <c r="B86" i="31"/>
  <c r="B85" i="31"/>
  <c r="B84" i="31"/>
  <c r="B83" i="31"/>
  <c r="A86" i="31"/>
  <c r="A85" i="31"/>
  <c r="A84" i="31"/>
  <c r="A83" i="31"/>
  <c r="F77" i="31"/>
  <c r="F78" i="31"/>
  <c r="F79" i="31"/>
  <c r="F80" i="31"/>
  <c r="F81" i="31"/>
  <c r="F82" i="31"/>
  <c r="F76" i="31"/>
  <c r="F75" i="31"/>
  <c r="F55" i="31"/>
  <c r="F56" i="31"/>
  <c r="F57" i="31"/>
  <c r="F58" i="31"/>
  <c r="F59" i="31"/>
  <c r="F60" i="31"/>
  <c r="F61" i="31"/>
  <c r="F62" i="31"/>
  <c r="F63" i="31"/>
  <c r="F64" i="31"/>
  <c r="F65" i="31"/>
  <c r="F66" i="31"/>
  <c r="F67" i="31"/>
  <c r="F68" i="31"/>
  <c r="F69" i="31"/>
  <c r="F70" i="31"/>
  <c r="F71" i="31"/>
  <c r="F72" i="31"/>
  <c r="F73" i="31"/>
  <c r="F74" i="31"/>
  <c r="F54" i="31"/>
  <c r="F53"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26" i="31"/>
  <c r="K10" i="83"/>
  <c r="A82" i="31"/>
  <c r="B76" i="31"/>
  <c r="B77" i="31"/>
  <c r="B78" i="31"/>
  <c r="B79" i="31"/>
  <c r="B80" i="31"/>
  <c r="B81" i="31"/>
  <c r="B82" i="31"/>
  <c r="A76" i="31"/>
  <c r="A77" i="31"/>
  <c r="A78" i="31"/>
  <c r="A79" i="31"/>
  <c r="A80" i="31"/>
  <c r="A81" i="31"/>
  <c r="B75" i="31"/>
  <c r="A75" i="31"/>
  <c r="K24" i="81"/>
  <c r="B54" i="31"/>
  <c r="B55" i="31"/>
  <c r="B56" i="31"/>
  <c r="B57" i="31"/>
  <c r="B58" i="31"/>
  <c r="B59" i="31"/>
  <c r="B60" i="31"/>
  <c r="B61" i="31"/>
  <c r="B62" i="31"/>
  <c r="B63" i="31"/>
  <c r="B64" i="31"/>
  <c r="B65" i="31"/>
  <c r="B66" i="31"/>
  <c r="B67" i="31"/>
  <c r="B68" i="31"/>
  <c r="B69" i="31"/>
  <c r="B70" i="31"/>
  <c r="B71" i="31"/>
  <c r="B72" i="31"/>
  <c r="B73" i="31"/>
  <c r="B74" i="31"/>
  <c r="A54" i="31"/>
  <c r="A55" i="31"/>
  <c r="A56" i="31"/>
  <c r="A57" i="31"/>
  <c r="A58" i="31"/>
  <c r="A59" i="31"/>
  <c r="A60" i="31"/>
  <c r="A61" i="31"/>
  <c r="A62" i="31"/>
  <c r="A63" i="31"/>
  <c r="A64" i="31"/>
  <c r="A65" i="31"/>
  <c r="A66" i="31"/>
  <c r="A67" i="31"/>
  <c r="A68" i="31"/>
  <c r="A69" i="31"/>
  <c r="A70" i="31"/>
  <c r="A71" i="31"/>
  <c r="A72" i="31"/>
  <c r="A73" i="31"/>
  <c r="A74" i="31"/>
  <c r="B53" i="31"/>
  <c r="A53" i="31"/>
  <c r="K31" i="82"/>
  <c r="B47" i="31"/>
  <c r="B48" i="31"/>
  <c r="B49" i="31"/>
  <c r="B50" i="31"/>
  <c r="B51" i="31"/>
  <c r="B52" i="31"/>
  <c r="A51" i="31"/>
  <c r="A52" i="31"/>
  <c r="A50" i="31"/>
  <c r="A47" i="31"/>
  <c r="A48" i="31"/>
  <c r="A49" i="31"/>
  <c r="B37" i="31"/>
  <c r="B38" i="31"/>
  <c r="B39" i="31"/>
  <c r="B40" i="31"/>
  <c r="B41" i="31"/>
  <c r="B42" i="31"/>
  <c r="B43" i="31"/>
  <c r="B44" i="31"/>
  <c r="B45" i="31"/>
  <c r="B46" i="31"/>
  <c r="A37" i="31"/>
  <c r="A38" i="31"/>
  <c r="A39" i="31"/>
  <c r="A40" i="31"/>
  <c r="A41" i="31"/>
  <c r="A42" i="31"/>
  <c r="A43" i="31"/>
  <c r="A44" i="31"/>
  <c r="A45" i="31"/>
  <c r="A46" i="31"/>
  <c r="B36" i="31"/>
  <c r="A36" i="31"/>
  <c r="B26" i="31"/>
  <c r="B27" i="31"/>
  <c r="B28" i="31"/>
  <c r="B29" i="31"/>
  <c r="B30" i="31"/>
  <c r="B31" i="31"/>
  <c r="B32" i="31"/>
  <c r="B33" i="31"/>
  <c r="B34" i="31"/>
  <c r="B35" i="31"/>
  <c r="A29" i="31"/>
  <c r="A30" i="31"/>
  <c r="A31" i="31"/>
  <c r="A32" i="31"/>
  <c r="A33" i="31"/>
  <c r="A34" i="31"/>
  <c r="A35" i="31"/>
  <c r="A26" i="31"/>
  <c r="A27" i="31"/>
  <c r="A28" i="31"/>
  <c r="B25" i="31"/>
  <c r="A25" i="31"/>
  <c r="D4" i="31"/>
  <c r="E4" i="31" s="1"/>
  <c r="F4" i="31" s="1"/>
  <c r="G4" i="31" s="1"/>
  <c r="E104" i="21"/>
  <c r="F104" i="21" s="1"/>
  <c r="G104" i="21" s="1"/>
  <c r="D104" i="21"/>
  <c r="B24" i="31" l="1"/>
  <c r="A24" i="31"/>
  <c r="Y6" i="1" l="1"/>
  <c r="N6" i="1"/>
  <c r="N19" i="1"/>
  <c r="I47" i="21" l="1"/>
  <c r="G47" i="21"/>
  <c r="E47" i="21"/>
  <c r="I33" i="21"/>
  <c r="G33" i="21"/>
  <c r="E33" i="21"/>
  <c r="I5" i="21" l="1"/>
  <c r="G5" i="21"/>
  <c r="E5" i="21"/>
  <c r="D5" i="84"/>
  <c r="D6" i="84"/>
  <c r="D8" i="84"/>
  <c r="D9" i="84"/>
  <c r="D11" i="84"/>
  <c r="D13" i="84"/>
  <c r="D15" i="84"/>
  <c r="D16" i="84"/>
  <c r="D4" i="84"/>
  <c r="E91" i="21"/>
  <c r="D91" i="21"/>
  <c r="I7" i="21"/>
  <c r="G7" i="21"/>
  <c r="I13" i="3"/>
  <c r="C13" i="3"/>
  <c r="C16" i="83"/>
  <c r="B40" i="82"/>
  <c r="B29" i="81"/>
  <c r="K61" i="81"/>
  <c r="I66" i="80"/>
  <c r="I64" i="80"/>
  <c r="F16" i="4"/>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B27" i="71"/>
  <c r="AA28" i="71"/>
  <c r="C82" i="71"/>
  <c r="D82"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97" i="31"/>
  <c r="S96" i="31"/>
  <c r="S94" i="31"/>
  <c r="S93" i="31"/>
  <c r="S92" i="31"/>
  <c r="S90" i="31"/>
  <c r="S89" i="31"/>
  <c r="S88" i="31"/>
  <c r="S98" i="31"/>
  <c r="S100" i="31"/>
  <c r="S101" i="31"/>
  <c r="S102" i="31"/>
  <c r="S104" i="31"/>
  <c r="S105" i="31"/>
  <c r="S106" i="31"/>
  <c r="S108" i="31"/>
  <c r="S109" i="31"/>
  <c r="S110"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17" i="31"/>
  <c r="S518" i="31"/>
  <c r="S520" i="31"/>
  <c r="S521" i="31"/>
  <c r="S522"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c r="B92" i="21"/>
  <c r="B90" i="21"/>
  <c r="J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5" i="39"/>
  <c r="W45" i="39" s="1"/>
  <c r="J44" i="39"/>
  <c r="AC44" i="39"/>
  <c r="F36" i="39"/>
  <c r="S36" i="39" s="1"/>
  <c r="H36" i="39"/>
  <c r="AB36" i="39"/>
  <c r="J35" i="39"/>
  <c r="AC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c r="U33" i="33"/>
  <c r="S40" i="33"/>
  <c r="W39" i="33"/>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s="1"/>
  <c r="H42" i="21"/>
  <c r="U42" i="21" s="1"/>
  <c r="J44" i="34"/>
  <c r="F44" i="34"/>
  <c r="S44" i="34" s="1"/>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C36" i="34"/>
  <c r="AC31" i="33"/>
  <c r="AC45" i="33"/>
  <c r="W44" i="33"/>
  <c r="U19" i="21"/>
  <c r="W44"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52" i="3"/>
  <c r="AZ168"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154" i="3"/>
  <c r="AZ500"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29" i="3"/>
  <c r="AZ233" i="3"/>
  <c r="BA379" i="3"/>
  <c r="AZ379" i="3" s="1"/>
  <c r="BL380" i="3"/>
  <c r="G381" i="3"/>
  <c r="BA383" i="3"/>
  <c r="AZ383" i="3" s="1"/>
  <c r="BL384" i="3"/>
  <c r="G385" i="3"/>
  <c r="BA387" i="3"/>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0" i="3"/>
  <c r="AZ356" i="3"/>
  <c r="BA15" i="3"/>
  <c r="AZ15" i="3" s="1"/>
  <c r="BR5" i="3"/>
  <c r="AZ392" i="3"/>
  <c r="AZ509" i="3"/>
  <c r="G509" i="3"/>
  <c r="BL493" i="3"/>
  <c r="AZ493" i="3" s="1"/>
  <c r="U36" i="40"/>
  <c r="F83" i="43"/>
  <c r="H85" i="43" s="1"/>
  <c r="F50" i="43"/>
  <c r="H54" i="43" s="1"/>
  <c r="F72" i="43"/>
  <c r="H75" i="43" s="1"/>
  <c r="U17" i="39"/>
  <c r="S14" i="35"/>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27" i="3"/>
  <c r="AZ235" i="3"/>
  <c r="AZ256" i="3"/>
  <c r="AZ130" i="3"/>
  <c r="AZ7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33" i="3"/>
  <c r="AZ586" i="3"/>
  <c r="AA32" i="36"/>
  <c r="S32" i="36"/>
  <c r="AZ437" i="3"/>
  <c r="AZ473" i="3"/>
  <c r="BL14" i="3"/>
  <c r="U30" i="33"/>
  <c r="AC13" i="34"/>
  <c r="AA47" i="34"/>
  <c r="W28" i="37"/>
  <c r="S19" i="39"/>
  <c r="F12" i="33"/>
  <c r="H12" i="39"/>
  <c r="U12" i="39" s="1"/>
  <c r="AB12" i="39"/>
  <c r="F39" i="40"/>
  <c r="BA14" i="3"/>
  <c r="AZ254" i="3"/>
  <c r="AZ29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41" i="21"/>
  <c r="AC40" i="21"/>
  <c r="J15" i="21"/>
  <c r="W15" i="21" s="1"/>
  <c r="F77" i="21"/>
  <c r="G77" i="21" s="1"/>
  <c r="F23" i="21"/>
  <c r="S23" i="21" s="1"/>
  <c r="E85" i="21"/>
  <c r="AA14" i="21"/>
  <c r="D120" i="9"/>
  <c r="D121" i="9" s="1"/>
  <c r="D7" i="52" s="1"/>
  <c r="F34" i="67"/>
  <c r="F62" i="67" s="1"/>
  <c r="M20" i="67"/>
  <c r="F34" i="15"/>
  <c r="F62" i="15" s="1"/>
  <c r="G13" i="3"/>
  <c r="F19" i="6" s="1"/>
  <c r="E19" i="6" s="1"/>
  <c r="BA13" i="3"/>
  <c r="BL17" i="3"/>
  <c r="AZ17" i="3"/>
  <c r="BL13" i="3"/>
  <c r="J56" i="9"/>
  <c r="J57" i="9" s="1"/>
  <c r="J59" i="9" s="1"/>
  <c r="J61" i="9" s="1"/>
  <c r="A24" i="51"/>
  <c r="B18" i="72"/>
  <c r="U29" i="34"/>
  <c r="E5"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U13" i="21"/>
  <c r="AB13" i="21"/>
  <c r="S35" i="21"/>
  <c r="J37" i="21"/>
  <c r="W37" i="21" s="1"/>
  <c r="H15" i="21"/>
  <c r="U15" i="21" s="1"/>
  <c r="J17" i="21"/>
  <c r="AC17" i="21" s="1"/>
  <c r="AC14" i="21"/>
  <c r="W30" i="21"/>
  <c r="S46" i="21"/>
  <c r="H45" i="21"/>
  <c r="U45" i="21" s="1"/>
  <c r="F29" i="21"/>
  <c r="AA29" i="21" s="1"/>
  <c r="F13" i="21"/>
  <c r="AA13" i="21" s="1"/>
  <c r="H32" i="21"/>
  <c r="H9" i="21"/>
  <c r="AB9" i="21" s="1"/>
  <c r="J9" i="21"/>
  <c r="W9" i="21" s="1"/>
  <c r="J32" i="21"/>
  <c r="W32" i="21" s="1"/>
  <c r="F32" i="21"/>
  <c r="AA31" i="21"/>
  <c r="U17" i="21"/>
  <c r="W29" i="21"/>
  <c r="AA9" i="21"/>
  <c r="K141" i="21"/>
  <c r="K144" i="21"/>
  <c r="K143" i="21"/>
  <c r="AB44" i="21"/>
  <c r="AA30" i="21"/>
  <c r="W13" i="21"/>
  <c r="AC45" i="21"/>
  <c r="F10" i="21"/>
  <c r="AA10" i="21" s="1"/>
  <c r="K145" i="21"/>
  <c r="W31"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J23" i="21"/>
  <c r="W23" i="21" s="1"/>
  <c r="F85" i="21"/>
  <c r="G85" i="21" s="1"/>
  <c r="H23" i="21"/>
  <c r="U23" i="21" s="1"/>
  <c r="S13" i="21"/>
  <c r="D6" i="52"/>
  <c r="AP7" i="1"/>
  <c r="AB45" i="21"/>
  <c r="U9" i="21"/>
  <c r="AA32" i="21"/>
  <c r="S32" i="21"/>
  <c r="AB32" i="21"/>
  <c r="U32" i="21"/>
  <c r="U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B10" i="76"/>
  <c r="E2" i="69"/>
  <c r="B8" i="76"/>
  <c r="B12" i="76"/>
  <c r="E11" i="76"/>
  <c r="E13" i="76"/>
  <c r="E2" i="68"/>
  <c r="E9" i="76"/>
  <c r="E8" i="76"/>
  <c r="B7" i="76"/>
  <c r="B13" i="76"/>
  <c r="F20" i="31"/>
  <c r="B9" i="76"/>
  <c r="F3" i="73"/>
  <c r="E10" i="76"/>
  <c r="F7" i="73"/>
  <c r="F6" i="73"/>
  <c r="F4" i="73"/>
  <c r="E12" i="76"/>
  <c r="D6" i="73"/>
  <c r="AO13" i="1"/>
  <c r="B11" i="76"/>
  <c r="E7" i="76"/>
  <c r="B14" i="74" l="1"/>
  <c r="C33" i="21"/>
  <c r="E32" i="6"/>
  <c r="K6" i="1"/>
  <c r="AP6" i="1" s="1"/>
  <c r="F30" i="69"/>
  <c r="F48" i="69" s="1"/>
  <c r="D68" i="9"/>
  <c r="F31" i="12"/>
  <c r="F30" i="11"/>
  <c r="C48" i="11" s="1"/>
  <c r="F28" i="15"/>
  <c r="F32" i="67"/>
  <c r="F60" i="67" s="1"/>
  <c r="F28" i="67"/>
  <c r="M18" i="15"/>
  <c r="M18" i="67"/>
  <c r="F54" i="9"/>
  <c r="F32" i="15"/>
  <c r="F60" i="15" s="1"/>
  <c r="F52" i="9"/>
  <c r="F30" i="68"/>
  <c r="F48" i="68" s="1"/>
  <c r="C40" i="68"/>
  <c r="AC26" i="21"/>
  <c r="AA26" i="21"/>
  <c r="S37" i="21"/>
  <c r="AB42" i="21"/>
  <c r="AC19" i="21"/>
  <c r="S19" i="21"/>
  <c r="AA23" i="21"/>
  <c r="AC23" i="21"/>
  <c r="AB23" i="21"/>
  <c r="W21" i="21"/>
  <c r="W17" i="21"/>
  <c r="S17" i="21"/>
  <c r="AC15" i="21"/>
  <c r="AB15" i="21"/>
  <c r="AC38" i="21"/>
  <c r="AA36" i="21"/>
  <c r="AC34" i="21"/>
  <c r="U34" i="21"/>
  <c r="W27" i="21"/>
  <c r="AC27" i="21"/>
  <c r="F27" i="21"/>
  <c r="AA27" i="21" s="1"/>
  <c r="H27" i="21"/>
  <c r="U27" i="21" s="1"/>
  <c r="AC28" i="21"/>
  <c r="AB25" i="21"/>
  <c r="W25" i="21"/>
  <c r="W42" i="21"/>
  <c r="S42" i="21"/>
  <c r="S40" i="21"/>
  <c r="S39" i="21"/>
  <c r="W39" i="21"/>
  <c r="AB39" i="21"/>
  <c r="AA38" i="21"/>
  <c r="AB38" i="21"/>
  <c r="W36" i="21"/>
  <c r="U43" i="21"/>
  <c r="AA43" i="21"/>
  <c r="AC9" i="21"/>
  <c r="B6" i="1"/>
  <c r="E6" i="1" s="1"/>
  <c r="K1" i="12"/>
  <c r="G1" i="15"/>
  <c r="G1" i="67"/>
  <c r="G1" i="68"/>
  <c r="AZ499" i="3"/>
  <c r="AZ571" i="3"/>
  <c r="U17" i="37"/>
  <c r="AB17" i="37"/>
  <c r="S25" i="21"/>
  <c r="AA25" i="21"/>
  <c r="AA35" i="39"/>
  <c r="S35" i="39"/>
  <c r="AB19" i="33"/>
  <c r="AA17" i="33"/>
  <c r="AZ14" i="3"/>
  <c r="W39" i="34"/>
  <c r="AC39" i="34"/>
  <c r="S34" i="33"/>
  <c r="AA34" i="33"/>
  <c r="AZ326" i="3"/>
  <c r="AZ503" i="3"/>
  <c r="AA32" i="37"/>
  <c r="AA20" i="35"/>
  <c r="S20" i="35"/>
  <c r="AZ508" i="3"/>
  <c r="BL587" i="3"/>
  <c r="AZ587" i="3" s="1"/>
  <c r="AC28" i="36"/>
  <c r="W28" i="36"/>
  <c r="J39" i="37"/>
  <c r="H39" i="37"/>
  <c r="AZ387" i="3"/>
  <c r="AZ362" i="3"/>
  <c r="AZ338" i="3"/>
  <c r="AZ390" i="3"/>
  <c r="AZ371" i="3"/>
  <c r="AZ351" i="3"/>
  <c r="AZ336" i="3"/>
  <c r="AZ305" i="3"/>
  <c r="AZ360" i="3"/>
  <c r="AZ539" i="3"/>
  <c r="AZ529" i="3"/>
  <c r="AZ537" i="3"/>
  <c r="AZ518" i="3"/>
  <c r="AZ546" i="3"/>
  <c r="S14" i="37"/>
  <c r="J24" i="36"/>
  <c r="H24" i="36"/>
  <c r="U39" i="40"/>
  <c r="AB39" i="40"/>
  <c r="AB38" i="40"/>
  <c r="U38" i="40"/>
  <c r="BL550" i="3"/>
  <c r="AZ402" i="3"/>
  <c r="AZ406" i="3"/>
  <c r="AZ304" i="3"/>
  <c r="AZ306" i="3"/>
  <c r="W35" i="40"/>
  <c r="U11" i="33"/>
  <c r="AA13" i="33"/>
  <c r="AZ535" i="3"/>
  <c r="AZ557" i="3"/>
  <c r="AZ513" i="3"/>
  <c r="AZ575" i="3"/>
  <c r="AZ540" i="3"/>
  <c r="AZ502" i="3"/>
  <c r="S28" i="34"/>
  <c r="W33" i="33"/>
  <c r="G587" i="3"/>
  <c r="AB35" i="33"/>
  <c r="U35" i="33"/>
  <c r="W41" i="33"/>
  <c r="H12" i="33"/>
  <c r="U12" i="33" s="1"/>
  <c r="J12" i="33"/>
  <c r="H12" i="36"/>
  <c r="F23" i="36"/>
  <c r="H35" i="39"/>
  <c r="W31" i="35"/>
  <c r="AC31" i="35"/>
  <c r="G552" i="3"/>
  <c r="S43" i="39"/>
  <c r="AZ357" i="3"/>
  <c r="AZ322" i="3"/>
  <c r="AZ313" i="3"/>
  <c r="AZ394" i="3"/>
  <c r="S14" i="40"/>
  <c r="AC28" i="34"/>
  <c r="AZ519" i="3"/>
  <c r="AZ531" i="3"/>
  <c r="AZ573" i="3"/>
  <c r="AZ583" i="3"/>
  <c r="AZ568" i="3"/>
  <c r="AZ576" i="3"/>
  <c r="AA14" i="34"/>
  <c r="F39" i="37"/>
  <c r="S39" i="37" s="1"/>
  <c r="G586" i="3"/>
  <c r="B97" i="43"/>
  <c r="B75" i="43"/>
  <c r="H36" i="35"/>
  <c r="J36" i="35"/>
  <c r="AC36" i="35" s="1"/>
  <c r="J23" i="36"/>
  <c r="BA551" i="3"/>
  <c r="AZ551" i="3" s="1"/>
  <c r="BA550" i="3"/>
  <c r="AZ550" i="3" s="1"/>
  <c r="BL548" i="3"/>
  <c r="AZ548" i="3" s="1"/>
  <c r="G574" i="3"/>
  <c r="AZ451" i="3"/>
  <c r="BL16" i="3"/>
  <c r="AZ16" i="3" s="1"/>
  <c r="BA401" i="3"/>
  <c r="AZ401" i="3" s="1"/>
  <c r="BA403" i="3"/>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A467" i="3"/>
  <c r="BA468" i="3"/>
  <c r="BL475" i="3"/>
  <c r="BL585" i="3"/>
  <c r="AZ585" i="3" s="1"/>
  <c r="G558" i="3"/>
  <c r="BL400" i="3"/>
  <c r="AZ400" i="3" s="1"/>
  <c r="BL408" i="3"/>
  <c r="BL411" i="3"/>
  <c r="BL413" i="3"/>
  <c r="AZ413" i="3" s="1"/>
  <c r="BL417" i="3"/>
  <c r="BL418" i="3"/>
  <c r="AZ418" i="3" s="1"/>
  <c r="BL420"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L471"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G466" i="3"/>
  <c r="BL466" i="3"/>
  <c r="AZ466" i="3" s="1"/>
  <c r="G468" i="3"/>
  <c r="BA469" i="3"/>
  <c r="AZ469" i="3" s="1"/>
  <c r="G477" i="3"/>
  <c r="BA478" i="3"/>
  <c r="G481" i="3"/>
  <c r="BA487" i="3"/>
  <c r="AZ487" i="3" s="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225" i="3"/>
  <c r="BL226" i="3"/>
  <c r="BA239" i="3"/>
  <c r="BL239" i="3"/>
  <c r="BA241" i="3"/>
  <c r="BL241" i="3"/>
  <c r="BA244" i="3"/>
  <c r="AZ244" i="3" s="1"/>
  <c r="BL244" i="3"/>
  <c r="BA246" i="3"/>
  <c r="AZ270" i="3"/>
  <c r="BA302" i="3"/>
  <c r="G115" i="3"/>
  <c r="BA116" i="3"/>
  <c r="AZ116" i="3" s="1"/>
  <c r="BA121" i="3"/>
  <c r="BL121" i="3"/>
  <c r="BL123" i="3"/>
  <c r="AZ123" i="3" s="1"/>
  <c r="G127" i="3"/>
  <c r="BA129" i="3"/>
  <c r="BL133" i="3"/>
  <c r="AZ133" i="3" s="1"/>
  <c r="BL134" i="3"/>
  <c r="BL24" i="3"/>
  <c r="BA471" i="3"/>
  <c r="AZ471" i="3" s="1"/>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28" i="3"/>
  <c r="AZ128" i="3" s="1"/>
  <c r="BA137" i="3"/>
  <c r="AZ137" i="3" s="1"/>
  <c r="BL138" i="3"/>
  <c r="BA140" i="3"/>
  <c r="AZ140" i="3" s="1"/>
  <c r="BA142" i="3"/>
  <c r="BA149" i="3"/>
  <c r="AZ149" i="3" s="1"/>
  <c r="BA150" i="3"/>
  <c r="AZ150" i="3" s="1"/>
  <c r="BL186" i="3"/>
  <c r="BL23" i="3"/>
  <c r="BL35"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BL122" i="3"/>
  <c r="BA126" i="3"/>
  <c r="BA134" i="3"/>
  <c r="BL139" i="3"/>
  <c r="AZ139" i="3" s="1"/>
  <c r="G140" i="3"/>
  <c r="BL141" i="3"/>
  <c r="BL143" i="3"/>
  <c r="AZ143" i="3" s="1"/>
  <c r="G146" i="3"/>
  <c r="BA148" i="3"/>
  <c r="AZ148" i="3" s="1"/>
  <c r="BL158" i="3"/>
  <c r="BL166" i="3"/>
  <c r="BL34" i="3"/>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BL31" i="3"/>
  <c r="BL40" i="3"/>
  <c r="BL41" i="3"/>
  <c r="BL45" i="3"/>
  <c r="BA48" i="3"/>
  <c r="BA49" i="3"/>
  <c r="BA51" i="3"/>
  <c r="BL56" i="3"/>
  <c r="BA58" i="3"/>
  <c r="BL59" i="3"/>
  <c r="BL60" i="3"/>
  <c r="BA61" i="3"/>
  <c r="BA68" i="3"/>
  <c r="BA73" i="3"/>
  <c r="BL86" i="3"/>
  <c r="AZ86" i="3" s="1"/>
  <c r="BA98" i="3"/>
  <c r="BL103" i="3"/>
  <c r="G104" i="3"/>
  <c r="BA106" i="3"/>
  <c r="BL108" i="3"/>
  <c r="T32" i="71"/>
  <c r="D32" i="71"/>
  <c r="N66" i="71"/>
  <c r="C52" i="71"/>
  <c r="D51" i="71"/>
  <c r="X33" i="71"/>
  <c r="X34" i="71"/>
  <c r="X36" i="71"/>
  <c r="X35" i="71"/>
  <c r="AB37" i="71"/>
  <c r="AB35" i="71"/>
  <c r="F38" i="71"/>
  <c r="F39" i="71" s="1"/>
  <c r="F40" i="71" s="1"/>
  <c r="V40" i="71" s="1"/>
  <c r="C47" i="71"/>
  <c r="D47" i="71" s="1"/>
  <c r="D46" i="71"/>
  <c r="C64" i="71"/>
  <c r="D63" i="71"/>
  <c r="Y27" i="71"/>
  <c r="Z27" i="71" s="1"/>
  <c r="Y26" i="71"/>
  <c r="Z26" i="71" s="1"/>
  <c r="AA3" i="71"/>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BL79" i="3"/>
  <c r="BL81" i="3"/>
  <c r="BA82" i="3"/>
  <c r="AZ82" i="3" s="1"/>
  <c r="BL83" i="3"/>
  <c r="G86" i="3"/>
  <c r="BA87" i="3"/>
  <c r="BL101" i="3"/>
  <c r="BL102" i="3"/>
  <c r="BA109" i="3"/>
  <c r="F3" i="35"/>
  <c r="AB21" i="37"/>
  <c r="U21" i="37"/>
  <c r="AB25" i="71"/>
  <c r="AB28" i="71"/>
  <c r="AB26" i="71"/>
  <c r="Y30" i="71"/>
  <c r="Z30" i="71" s="1"/>
  <c r="C34" i="71"/>
  <c r="Y28" i="71"/>
  <c r="Z28" i="71" s="1"/>
  <c r="AZ52" i="3"/>
  <c r="AZ103" i="3"/>
  <c r="B13" i="1"/>
  <c r="E13" i="1" s="1"/>
  <c r="K13" i="1"/>
  <c r="M13" i="1" s="1"/>
  <c r="O13" i="1" s="1"/>
  <c r="P13" i="1" s="1"/>
  <c r="F40" i="69"/>
  <c r="C40" i="69"/>
  <c r="U21" i="33"/>
  <c r="AB21" i="33"/>
  <c r="P65" i="71"/>
  <c r="P66" i="71"/>
  <c r="T40" i="71"/>
  <c r="D40" i="71"/>
  <c r="T76" i="71"/>
  <c r="D76" i="71"/>
  <c r="C75"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AZ31" i="3" s="1"/>
  <c r="BA32" i="3"/>
  <c r="G38" i="3"/>
  <c r="BA38" i="3"/>
  <c r="AZ38" i="3" s="1"/>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BA80" i="3"/>
  <c r="BL84" i="3"/>
  <c r="BA91" i="3"/>
  <c r="AZ91" i="3" s="1"/>
  <c r="BL93" i="3"/>
  <c r="G95" i="3"/>
  <c r="G96" i="3"/>
  <c r="AZ108" i="3"/>
  <c r="BL111" i="3"/>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38" i="15"/>
  <c r="F42" i="67"/>
  <c r="C36" i="69"/>
  <c r="M28" i="67"/>
  <c r="L48" i="67"/>
  <c r="M22" i="15"/>
  <c r="L47" i="67"/>
  <c r="F8" i="67"/>
  <c r="F8" i="15"/>
  <c r="M23" i="67"/>
  <c r="F7" i="15"/>
  <c r="L47" i="15"/>
  <c r="F36" i="67"/>
  <c r="F16" i="67"/>
  <c r="F13" i="15"/>
  <c r="M8" i="15"/>
  <c r="F36" i="15"/>
  <c r="M9" i="15"/>
  <c r="F13" i="67"/>
  <c r="F26" i="15"/>
  <c r="D9" i="69"/>
  <c r="F37" i="67"/>
  <c r="M9" i="67"/>
  <c r="M8" i="67"/>
  <c r="M22" i="67"/>
  <c r="M26" i="67"/>
  <c r="M29" i="67"/>
  <c r="C76" i="15"/>
  <c r="F6" i="67"/>
  <c r="F40" i="67"/>
  <c r="D5" i="73"/>
  <c r="L48" i="15"/>
  <c r="M23" i="15"/>
  <c r="F43" i="15"/>
  <c r="F9" i="67"/>
  <c r="M29" i="15"/>
  <c r="D7" i="73"/>
  <c r="M24" i="67"/>
  <c r="F16" i="15"/>
  <c r="M6" i="15"/>
  <c r="M26" i="15"/>
  <c r="F40" i="15"/>
  <c r="J15" i="15"/>
  <c r="F7" i="67"/>
  <c r="M28" i="15"/>
  <c r="C76" i="67"/>
  <c r="M6" i="67"/>
  <c r="J15" i="67"/>
  <c r="F26" i="67"/>
  <c r="M24" i="15"/>
  <c r="F43" i="67"/>
  <c r="F38" i="67"/>
  <c r="F9" i="15"/>
  <c r="F42" i="15"/>
  <c r="F6" i="15"/>
  <c r="F37" i="15"/>
  <c r="D4" i="73"/>
  <c r="D3" i="73"/>
  <c r="J33" i="21" l="1"/>
  <c r="H33" i="21"/>
  <c r="F33" i="21"/>
  <c r="AB27" i="21"/>
  <c r="S27" i="21"/>
  <c r="F71" i="67"/>
  <c r="C6" i="67"/>
  <c r="C32" i="67" s="1"/>
  <c r="C27" i="67"/>
  <c r="F51" i="67"/>
  <c r="F68" i="67"/>
  <c r="F66" i="67"/>
  <c r="M7" i="67"/>
  <c r="J6" i="67" s="1"/>
  <c r="J18" i="67" s="1"/>
  <c r="F50" i="67"/>
  <c r="I54" i="67"/>
  <c r="J57" i="67"/>
  <c r="J55" i="67" s="1"/>
  <c r="J58" i="67" s="1"/>
  <c r="Q50" i="67" s="1"/>
  <c r="L56" i="67"/>
  <c r="J53" i="67"/>
  <c r="Q52" i="67" s="1"/>
  <c r="F65" i="67"/>
  <c r="F64" i="67"/>
  <c r="M59" i="67"/>
  <c r="L59" i="67"/>
  <c r="Q74" i="67" s="1"/>
  <c r="L58" i="67"/>
  <c r="Q60" i="67" s="1"/>
  <c r="N59" i="67"/>
  <c r="Q71" i="67"/>
  <c r="F65" i="15"/>
  <c r="F51" i="15"/>
  <c r="Q71" i="15"/>
  <c r="I54" i="15"/>
  <c r="J53" i="15"/>
  <c r="L56" i="15" s="1"/>
  <c r="J57" i="15"/>
  <c r="J55" i="15" s="1"/>
  <c r="J58" i="15" s="1"/>
  <c r="Q50" i="15" s="1"/>
  <c r="F64" i="15"/>
  <c r="C6" i="15"/>
  <c r="C32" i="15" s="1"/>
  <c r="N59" i="15"/>
  <c r="M59" i="15"/>
  <c r="L59" i="15"/>
  <c r="Q74" i="15" s="1"/>
  <c r="L58" i="15"/>
  <c r="Q60" i="15" s="1"/>
  <c r="F50" i="15"/>
  <c r="M7" i="15"/>
  <c r="J6" i="15" s="1"/>
  <c r="J18" i="15" s="1"/>
  <c r="F66" i="15"/>
  <c r="C27" i="15"/>
  <c r="F68" i="15"/>
  <c r="F71" i="15"/>
  <c r="Q16" i="1"/>
  <c r="G16" i="1"/>
  <c r="F10" i="39" s="1"/>
  <c r="N94" i="46"/>
  <c r="P6" i="1"/>
  <c r="C13" i="12" s="1"/>
  <c r="N370" i="46"/>
  <c r="H16" i="1"/>
  <c r="F26" i="43"/>
  <c r="D26" i="43" s="1"/>
  <c r="C25" i="43" s="1"/>
  <c r="J26" i="43"/>
  <c r="E26" i="43"/>
  <c r="H26" i="43"/>
  <c r="J7" i="36"/>
  <c r="J7" i="37"/>
  <c r="G5" i="3"/>
  <c r="B3" i="3" s="1"/>
  <c r="E449" i="3" s="1"/>
  <c r="AZ111" i="3"/>
  <c r="AZ118" i="3"/>
  <c r="D34" i="71"/>
  <c r="C35" i="71"/>
  <c r="AZ51" i="3"/>
  <c r="C56" i="71"/>
  <c r="D55" i="71"/>
  <c r="AZ302" i="3"/>
  <c r="AZ249" i="3"/>
  <c r="AB35" i="39"/>
  <c r="U35" i="39"/>
  <c r="AC24" i="36"/>
  <c r="W24" i="36"/>
  <c r="AZ79" i="3"/>
  <c r="AZ190" i="3"/>
  <c r="AZ49" i="3"/>
  <c r="AZ19" i="3"/>
  <c r="AZ5" i="3" s="1"/>
  <c r="AZ126" i="3"/>
  <c r="AZ271" i="3"/>
  <c r="AZ121" i="3"/>
  <c r="AZ239" i="3"/>
  <c r="AC23" i="36"/>
  <c r="W23" i="36"/>
  <c r="AA23" i="36"/>
  <c r="S23" i="36"/>
  <c r="U39" i="37"/>
  <c r="AB39" i="37"/>
  <c r="AZ58" i="3"/>
  <c r="AZ422" i="3"/>
  <c r="AZ403" i="3"/>
  <c r="U12" i="36"/>
  <c r="AB12" i="36"/>
  <c r="AC39" i="37"/>
  <c r="W39" i="37"/>
  <c r="C26" i="71"/>
  <c r="D26" i="71" s="1"/>
  <c r="D27" i="71"/>
  <c r="D67" i="71"/>
  <c r="C66" i="71"/>
  <c r="O67" i="71"/>
  <c r="D75" i="71"/>
  <c r="C74" i="71"/>
  <c r="D74" i="71" s="1"/>
  <c r="AZ197" i="3"/>
  <c r="T52" i="71"/>
  <c r="D52" i="71"/>
  <c r="AZ61" i="3"/>
  <c r="AZ274" i="3"/>
  <c r="AZ241" i="3"/>
  <c r="AB36" i="35"/>
  <c r="U36" i="35"/>
  <c r="W12" i="33"/>
  <c r="AC12" i="33"/>
  <c r="AB24" i="36"/>
  <c r="U24" i="36"/>
  <c r="K1" i="73"/>
  <c r="E442" i="3"/>
  <c r="E95" i="3"/>
  <c r="E409" i="3"/>
  <c r="E84" i="3"/>
  <c r="E494" i="3"/>
  <c r="E235" i="3"/>
  <c r="E22" i="3"/>
  <c r="E497" i="3"/>
  <c r="E190" i="3"/>
  <c r="E16" i="3"/>
  <c r="AH6" i="3"/>
  <c r="E226" i="3"/>
  <c r="E276" i="3"/>
  <c r="E194" i="3"/>
  <c r="E112" i="3"/>
  <c r="E20" i="3"/>
  <c r="E566" i="3"/>
  <c r="E386" i="3"/>
  <c r="E24" i="3"/>
  <c r="E500" i="3"/>
  <c r="E138" i="3"/>
  <c r="E354" i="3"/>
  <c r="E464" i="3"/>
  <c r="E266" i="3"/>
  <c r="E341" i="3"/>
  <c r="E163" i="3"/>
  <c r="E459" i="3"/>
  <c r="E195" i="3"/>
  <c r="E307" i="3"/>
  <c r="E136" i="3"/>
  <c r="E352" i="3"/>
  <c r="E474" i="3"/>
  <c r="E471" i="3"/>
  <c r="E168" i="3"/>
  <c r="E196" i="3"/>
  <c r="E207" i="3"/>
  <c r="E411" i="3"/>
  <c r="E547" i="3"/>
  <c r="E71" i="3"/>
  <c r="E126" i="3"/>
  <c r="E53" i="3"/>
  <c r="E319" i="3"/>
  <c r="E501" i="3"/>
  <c r="E359" i="3"/>
  <c r="E97" i="3"/>
  <c r="E523" i="3"/>
  <c r="E321" i="3"/>
  <c r="E304" i="3"/>
  <c r="E565" i="3"/>
  <c r="E159" i="3"/>
  <c r="E303" i="3"/>
  <c r="E353" i="3"/>
  <c r="E434" i="3"/>
  <c r="E128" i="3"/>
  <c r="E330" i="3"/>
  <c r="E481" i="3"/>
  <c r="AE6" i="3"/>
  <c r="E429" i="3"/>
  <c r="E203" i="3"/>
  <c r="E256" i="3"/>
  <c r="E394" i="3"/>
  <c r="E236" i="3"/>
  <c r="E252" i="3"/>
  <c r="AG6" i="3"/>
  <c r="P6" i="3"/>
  <c r="E581" i="3"/>
  <c r="E444" i="3"/>
  <c r="E166" i="3"/>
  <c r="E316" i="3"/>
  <c r="E334" i="3"/>
  <c r="E366" i="3"/>
  <c r="E553" i="3"/>
  <c r="E239" i="3"/>
  <c r="E396" i="3"/>
  <c r="E151" i="3"/>
  <c r="E559" i="3"/>
  <c r="E320" i="3"/>
  <c r="E294" i="3"/>
  <c r="E230" i="3"/>
  <c r="E395" i="3"/>
  <c r="E260" i="3"/>
  <c r="E117" i="3"/>
  <c r="E61" i="3"/>
  <c r="E382" i="3"/>
  <c r="E578" i="3"/>
  <c r="E336" i="3"/>
  <c r="E583" i="3"/>
  <c r="E253" i="3"/>
  <c r="E314" i="3"/>
  <c r="E511" i="3"/>
  <c r="E45" i="3"/>
  <c r="E519" i="3"/>
  <c r="E458" i="3"/>
  <c r="E527" i="3"/>
  <c r="E571" i="3"/>
  <c r="E450" i="3"/>
  <c r="E433" i="3"/>
  <c r="E150" i="3"/>
  <c r="E279" i="3"/>
  <c r="E318" i="3"/>
  <c r="E567" i="3"/>
  <c r="E269" i="3"/>
  <c r="E271" i="3"/>
  <c r="E515" i="3"/>
  <c r="E478" i="3"/>
  <c r="E414" i="3"/>
  <c r="AS6" i="3"/>
  <c r="E476" i="3"/>
  <c r="E27" i="3"/>
  <c r="E186" i="3"/>
  <c r="E331" i="3"/>
  <c r="E384" i="3"/>
  <c r="E175" i="3"/>
  <c r="E530" i="3"/>
  <c r="E343" i="3"/>
  <c r="E388" i="3"/>
  <c r="E555" i="3"/>
  <c r="E337" i="3"/>
  <c r="E270" i="3"/>
  <c r="AR6" i="3"/>
  <c r="E561" i="3"/>
  <c r="E380" i="3"/>
  <c r="E231" i="3"/>
  <c r="E216" i="3"/>
  <c r="E528" i="3"/>
  <c r="E183" i="3"/>
  <c r="E503" i="3"/>
  <c r="E91" i="3"/>
  <c r="E301" i="3"/>
  <c r="E350" i="3"/>
  <c r="E124" i="3"/>
  <c r="E399" i="3"/>
  <c r="E347" i="3"/>
  <c r="E181" i="3"/>
  <c r="E545" i="3"/>
  <c r="E228" i="3"/>
  <c r="E133"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E240" i="3"/>
  <c r="E219" i="3"/>
  <c r="W40" i="40"/>
  <c r="AC40" i="40"/>
  <c r="AC12" i="21"/>
  <c r="W12" i="21"/>
  <c r="AB12" i="21"/>
  <c r="U12" i="21"/>
  <c r="AA27" i="34"/>
  <c r="S27" i="34"/>
  <c r="AC26" i="37"/>
  <c r="W26" i="37"/>
  <c r="BL5" i="3"/>
  <c r="B15" i="71"/>
  <c r="B14" i="71" s="1"/>
  <c r="B13" i="71" s="1"/>
  <c r="B12" i="71" s="1"/>
  <c r="S16" i="71"/>
  <c r="F7" i="36"/>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15"/>
  <c r="F27" i="69"/>
  <c r="C16" i="67"/>
  <c r="G1" i="73"/>
  <c r="E158" i="3" l="1"/>
  <c r="E408" i="3"/>
  <c r="E18" i="3"/>
  <c r="E310" i="3"/>
  <c r="E491" i="3"/>
  <c r="AA33" i="21"/>
  <c r="S33" i="21"/>
  <c r="E118" i="3"/>
  <c r="E487" i="3"/>
  <c r="E483" i="3"/>
  <c r="E132" i="3"/>
  <c r="E100" i="3"/>
  <c r="AI6" i="3"/>
  <c r="E135" i="3"/>
  <c r="E172" i="3"/>
  <c r="E189" i="3"/>
  <c r="AB6" i="3"/>
  <c r="E311" i="3"/>
  <c r="E579" i="3"/>
  <c r="E268" i="3"/>
  <c r="E572" i="3"/>
  <c r="E182" i="3"/>
  <c r="E531" i="3"/>
  <c r="E485" i="3"/>
  <c r="E204" i="3"/>
  <c r="E74" i="3"/>
  <c r="E171" i="3"/>
  <c r="E468" i="3"/>
  <c r="E406" i="3"/>
  <c r="E277" i="3"/>
  <c r="E568" i="3"/>
  <c r="E586" i="3"/>
  <c r="E180" i="3"/>
  <c r="E261" i="3"/>
  <c r="E538" i="3"/>
  <c r="E143" i="3"/>
  <c r="E508" i="3"/>
  <c r="E44" i="3"/>
  <c r="E162" i="3"/>
  <c r="E505" i="3"/>
  <c r="E107" i="3"/>
  <c r="E31" i="3"/>
  <c r="E111" i="3"/>
  <c r="E457" i="3"/>
  <c r="E193" i="3"/>
  <c r="E85" i="3"/>
  <c r="E518" i="3"/>
  <c r="E290" i="3"/>
  <c r="E415" i="3"/>
  <c r="E551" i="3"/>
  <c r="E516" i="3"/>
  <c r="E125" i="3"/>
  <c r="E88" i="3"/>
  <c r="E448" i="3"/>
  <c r="E32" i="3"/>
  <c r="E496" i="3"/>
  <c r="E437" i="3"/>
  <c r="AA6" i="3"/>
  <c r="E17" i="3"/>
  <c r="E338" i="3"/>
  <c r="O6" i="3"/>
  <c r="E291" i="3"/>
  <c r="E548" i="3"/>
  <c r="E93" i="3"/>
  <c r="E529" i="3"/>
  <c r="E187" i="3"/>
  <c r="E462" i="3"/>
  <c r="E149" i="3"/>
  <c r="E312" i="3"/>
  <c r="E141" i="3"/>
  <c r="E38" i="3"/>
  <c r="E507" i="3"/>
  <c r="E428" i="3"/>
  <c r="E308" i="3"/>
  <c r="E63" i="3"/>
  <c r="E59" i="3"/>
  <c r="E575" i="3"/>
  <c r="AB33" i="21"/>
  <c r="U33" i="21"/>
  <c r="AC33" i="21"/>
  <c r="W33" i="21"/>
  <c r="J5" i="67"/>
  <c r="J24" i="67" s="1"/>
  <c r="Q73" i="67"/>
  <c r="J5" i="15"/>
  <c r="J24" i="15" s="1"/>
  <c r="Q61" i="15"/>
  <c r="C49" i="15"/>
  <c r="Q73" i="15"/>
  <c r="F1" i="67"/>
  <c r="C47" i="69"/>
  <c r="D45" i="69" s="1"/>
  <c r="C29" i="69"/>
  <c r="D27" i="69" s="1"/>
  <c r="F45" i="69"/>
  <c r="Q61" i="67"/>
  <c r="F1" i="15"/>
  <c r="C49" i="67"/>
  <c r="Q52" i="15"/>
  <c r="E120" i="3"/>
  <c r="E280" i="3"/>
  <c r="E221" i="3"/>
  <c r="E298" i="3"/>
  <c r="S6" i="3"/>
  <c r="E328" i="3"/>
  <c r="E317" i="3"/>
  <c r="E403" i="3"/>
  <c r="U6" i="3"/>
  <c r="E357" i="3"/>
  <c r="E537" i="3"/>
  <c r="E313" i="3"/>
  <c r="E82" i="3"/>
  <c r="E413" i="3"/>
  <c r="AD6" i="3"/>
  <c r="E374" i="3"/>
  <c r="E375" i="3"/>
  <c r="E323" i="3"/>
  <c r="E110" i="3"/>
  <c r="E244" i="3"/>
  <c r="E58" i="3"/>
  <c r="E365" i="3"/>
  <c r="E36" i="3"/>
  <c r="E473" i="3"/>
  <c r="E401" i="3"/>
  <c r="E543" i="3"/>
  <c r="E80" i="3"/>
  <c r="E41" i="3"/>
  <c r="E405" i="3"/>
  <c r="E102" i="3"/>
  <c r="AL6" i="3"/>
  <c r="E68" i="3"/>
  <c r="E267" i="3"/>
  <c r="E241" i="3"/>
  <c r="E554" i="3"/>
  <c r="E286" i="3"/>
  <c r="E208" i="3"/>
  <c r="W6" i="3"/>
  <c r="E157" i="3"/>
  <c r="E127" i="3"/>
  <c r="E154" i="3"/>
  <c r="E66" i="3"/>
  <c r="E542" i="3"/>
  <c r="E297" i="3"/>
  <c r="E48" i="3"/>
  <c r="E520" i="3"/>
  <c r="E222" i="3"/>
  <c r="E460" i="3"/>
  <c r="E62" i="3"/>
  <c r="E392" i="3"/>
  <c r="L6" i="3"/>
  <c r="E419" i="3"/>
  <c r="E105" i="3"/>
  <c r="E220" i="3"/>
  <c r="E420" i="3"/>
  <c r="T6" i="3"/>
  <c r="E86" i="3"/>
  <c r="E198" i="3"/>
  <c r="E233" i="3"/>
  <c r="E64" i="3"/>
  <c r="E258" i="3"/>
  <c r="E212" i="3"/>
  <c r="E536" i="3"/>
  <c r="E430" i="3"/>
  <c r="E417" i="3"/>
  <c r="E389" i="3"/>
  <c r="E160" i="3"/>
  <c r="E67" i="3"/>
  <c r="E309" i="3"/>
  <c r="E482" i="3"/>
  <c r="E34" i="3"/>
  <c r="E173" i="3"/>
  <c r="E556" i="3"/>
  <c r="E115" i="3"/>
  <c r="E49" i="3"/>
  <c r="E116" i="3"/>
  <c r="E422" i="3"/>
  <c r="E108" i="3"/>
  <c r="E540" i="3"/>
  <c r="E234" i="3"/>
  <c r="E340" i="3"/>
  <c r="E165" i="3"/>
  <c r="E34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F67" i="39"/>
  <c r="AY6" i="3"/>
  <c r="AY83" i="3" s="1"/>
  <c r="E3" i="6"/>
  <c r="C36" i="71"/>
  <c r="D35" i="71"/>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227" i="3"/>
  <c r="AY384" i="3"/>
  <c r="AY368" i="3"/>
  <c r="AY507" i="3"/>
  <c r="BB6" i="3"/>
  <c r="AY72" i="3"/>
  <c r="AY29" i="3"/>
  <c r="AY181" i="3"/>
  <c r="AY121" i="3"/>
  <c r="AY275" i="3"/>
  <c r="AY258" i="3"/>
  <c r="AY370" i="3"/>
  <c r="AY341" i="3"/>
  <c r="AY309" i="3"/>
  <c r="AY483" i="3"/>
  <c r="AY480" i="3"/>
  <c r="AY449" i="3"/>
  <c r="AY406" i="3"/>
  <c r="AY419" i="3"/>
  <c r="AY503"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M27" i="67"/>
  <c r="F41" i="15"/>
  <c r="C48" i="15" l="1"/>
  <c r="C66" i="15" s="1"/>
  <c r="C48" i="67"/>
  <c r="C60" i="67" s="1"/>
  <c r="AC6" i="3"/>
  <c r="H6"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E49" i="34"/>
  <c r="F24" i="67"/>
  <c r="C24" i="67" s="1"/>
  <c r="F24" i="15"/>
  <c r="C24" i="15" s="1"/>
  <c r="T36" i="71"/>
  <c r="D36" i="71"/>
  <c r="F22" i="69"/>
  <c r="F41" i="69" s="1"/>
  <c r="F22" i="68"/>
  <c r="C44" i="68" s="1"/>
  <c r="D41" i="68" s="1"/>
  <c r="F25" i="12"/>
  <c r="C26" i="12" s="1"/>
  <c r="D25" i="12" s="1"/>
  <c r="D116" i="43"/>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D10" i="68"/>
  <c r="C14" i="67"/>
  <c r="D10" i="69"/>
  <c r="C34" i="69"/>
  <c r="F41" i="67"/>
  <c r="C17" i="15"/>
  <c r="C17" i="67"/>
  <c r="C60" i="15" l="1"/>
  <c r="F69" i="67"/>
  <c r="D30" i="6"/>
  <c r="E6" i="3"/>
  <c r="H21" i="6"/>
  <c r="F41" i="68"/>
  <c r="C24" i="11"/>
  <c r="C26" i="68"/>
  <c r="D22" i="68" s="1"/>
  <c r="C23" i="68"/>
  <c r="C26" i="69"/>
  <c r="D22" i="69" s="1"/>
  <c r="H25" i="6"/>
  <c r="C23" i="11"/>
  <c r="C26" i="11"/>
  <c r="D22" i="11" s="1"/>
  <c r="C25" i="11"/>
  <c r="C44" i="69"/>
  <c r="D41"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19" i="9"/>
  <c r="C20" i="9"/>
  <c r="D2" i="34"/>
  <c r="D2" i="37"/>
  <c r="C103" i="9" l="1"/>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D20" i="9"/>
  <c r="AO9" i="1"/>
  <c r="AO10" i="1"/>
  <c r="AO6" i="1"/>
  <c r="AO11"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4" i="52" s="1"/>
  <c r="B51" i="72" s="1"/>
  <c r="I118" i="9"/>
  <c r="H102" i="9" s="1"/>
  <c r="D7" i="53" l="1"/>
  <c r="B21" i="72" s="1"/>
  <c r="R24" i="31"/>
  <c r="E118" i="9"/>
  <c r="I4" i="52"/>
  <c r="F119" i="9"/>
  <c r="F5" i="52" s="1"/>
  <c r="B53" i="72" s="1"/>
  <c r="H118" i="9"/>
  <c r="C105" i="9"/>
  <c r="R85" i="31" l="1"/>
  <c r="S85" i="31" s="1"/>
  <c r="R86" i="31"/>
  <c r="S86" i="31" s="1"/>
  <c r="R83" i="31"/>
  <c r="S83" i="31" s="1"/>
  <c r="R84" i="31"/>
  <c r="S84" i="31" s="1"/>
  <c r="R75" i="31"/>
  <c r="S75" i="31" s="1"/>
  <c r="R78" i="31"/>
  <c r="S78" i="31" s="1"/>
  <c r="R82" i="31"/>
  <c r="S82" i="31" s="1"/>
  <c r="R79" i="31"/>
  <c r="S79" i="31" s="1"/>
  <c r="R76" i="31"/>
  <c r="S76" i="31" s="1"/>
  <c r="R80" i="31"/>
  <c r="S80" i="31" s="1"/>
  <c r="R77" i="31"/>
  <c r="S77" i="31" s="1"/>
  <c r="R81" i="31"/>
  <c r="S81" i="31" s="1"/>
  <c r="R53" i="31"/>
  <c r="S53" i="31" s="1"/>
  <c r="R56" i="31"/>
  <c r="S56" i="31" s="1"/>
  <c r="R60" i="31"/>
  <c r="S60" i="31" s="1"/>
  <c r="R64" i="31"/>
  <c r="S64" i="31" s="1"/>
  <c r="R68" i="31"/>
  <c r="S68" i="31" s="1"/>
  <c r="R72" i="31"/>
  <c r="S72" i="31" s="1"/>
  <c r="R57" i="31"/>
  <c r="S57" i="31" s="1"/>
  <c r="R61" i="31"/>
  <c r="S61" i="31" s="1"/>
  <c r="R65" i="31"/>
  <c r="S65" i="31" s="1"/>
  <c r="R69" i="31"/>
  <c r="S69" i="31" s="1"/>
  <c r="R73" i="31"/>
  <c r="S73" i="31" s="1"/>
  <c r="R54" i="31"/>
  <c r="S54" i="31" s="1"/>
  <c r="R58" i="31"/>
  <c r="S58" i="31" s="1"/>
  <c r="R62" i="31"/>
  <c r="S62" i="31" s="1"/>
  <c r="R66" i="31"/>
  <c r="S66" i="31" s="1"/>
  <c r="R70" i="31"/>
  <c r="S70" i="31" s="1"/>
  <c r="R74" i="31"/>
  <c r="S74" i="31" s="1"/>
  <c r="R55" i="31"/>
  <c r="S55" i="31" s="1"/>
  <c r="R59" i="31"/>
  <c r="S59" i="31" s="1"/>
  <c r="R63" i="31"/>
  <c r="S63" i="31" s="1"/>
  <c r="R67" i="31"/>
  <c r="S67" i="31" s="1"/>
  <c r="R71" i="31"/>
  <c r="S71" i="31" s="1"/>
  <c r="R50" i="31"/>
  <c r="S50" i="31" s="1"/>
  <c r="R51" i="31"/>
  <c r="S51" i="31" s="1"/>
  <c r="R48" i="31"/>
  <c r="S48" i="31" s="1"/>
  <c r="R52" i="31"/>
  <c r="S52" i="31" s="1"/>
  <c r="R49" i="31"/>
  <c r="S49" i="31" s="1"/>
  <c r="R28" i="31"/>
  <c r="S28" i="31" s="1"/>
  <c r="R32" i="31"/>
  <c r="S32" i="31" s="1"/>
  <c r="R36" i="31"/>
  <c r="S36" i="31" s="1"/>
  <c r="R40" i="31"/>
  <c r="S40" i="31" s="1"/>
  <c r="R44" i="31"/>
  <c r="S44" i="31" s="1"/>
  <c r="R29" i="31"/>
  <c r="S29" i="31" s="1"/>
  <c r="R33" i="31"/>
  <c r="S33" i="31" s="1"/>
  <c r="R37" i="31"/>
  <c r="S37" i="31" s="1"/>
  <c r="R41" i="31"/>
  <c r="S41" i="31" s="1"/>
  <c r="R45" i="31"/>
  <c r="S45" i="31" s="1"/>
  <c r="R26" i="31"/>
  <c r="S26" i="31" s="1"/>
  <c r="R30" i="31"/>
  <c r="S30" i="31" s="1"/>
  <c r="R34" i="31"/>
  <c r="S34" i="31" s="1"/>
  <c r="R38" i="31"/>
  <c r="S38" i="31" s="1"/>
  <c r="R42" i="31"/>
  <c r="S42" i="31" s="1"/>
  <c r="R46" i="31"/>
  <c r="S46" i="31" s="1"/>
  <c r="R27" i="31"/>
  <c r="S27" i="31" s="1"/>
  <c r="R31" i="31"/>
  <c r="S31" i="31" s="1"/>
  <c r="R35" i="31"/>
  <c r="S35" i="31" s="1"/>
  <c r="R39" i="31"/>
  <c r="S39" i="31" s="1"/>
  <c r="R43" i="31"/>
  <c r="S43" i="31" s="1"/>
  <c r="R47" i="31"/>
  <c r="S47" i="31" s="1"/>
  <c r="S24" i="31"/>
  <c r="R25" i="31"/>
  <c r="S25" i="31" s="1"/>
  <c r="D118" i="9"/>
  <c r="E4" i="52"/>
  <c r="B48" i="72" s="1"/>
  <c r="C104" i="9"/>
  <c r="H119" i="9"/>
  <c r="H5" i="52" s="1"/>
  <c r="H4" i="52"/>
  <c r="H101" i="9"/>
  <c r="S22" i="31" l="1"/>
  <c r="H107" i="9"/>
  <c r="D5" i="53"/>
  <c r="M48" i="9"/>
  <c r="D14" i="74"/>
  <c r="D45" i="9"/>
  <c r="D4" i="52"/>
  <c r="B47" i="72" s="1"/>
  <c r="D119" i="9"/>
  <c r="D5" i="52" s="1"/>
  <c r="B49" i="72" s="1"/>
  <c r="R22" i="31" l="1"/>
  <c r="B20" i="31"/>
  <c r="B21" i="31" s="1"/>
  <c r="D6" i="53"/>
  <c r="B22" i="72" s="1"/>
  <c r="B20" i="72"/>
  <c r="F14" i="74"/>
  <c r="B5" i="74"/>
  <c r="E14" i="74"/>
  <c r="C93" i="9"/>
  <c r="C86" i="9" s="1"/>
  <c r="C85" i="9"/>
  <c r="C64" i="9"/>
  <c r="C63" i="9" s="1"/>
  <c r="C67" i="9" s="1"/>
  <c r="D55" i="9"/>
  <c r="M53" i="9" s="1"/>
  <c r="D53" i="9"/>
  <c r="D52" i="9"/>
  <c r="C72" i="9"/>
  <c r="C78" i="9"/>
  <c r="C73" i="9" s="1"/>
  <c r="H108" i="9"/>
  <c r="D13" i="53"/>
  <c r="M49" i="9"/>
  <c r="D122" i="9"/>
  <c r="C95" i="9" l="1"/>
  <c r="C68" i="9"/>
  <c r="D54" i="9" s="1"/>
  <c r="D59" i="9"/>
  <c r="M55" i="9" s="1"/>
  <c r="C5" i="74"/>
  <c r="D5" i="74"/>
  <c r="D123" i="9"/>
  <c r="D9" i="52" s="1"/>
  <c r="D8" i="52"/>
  <c r="L64" i="9"/>
  <c r="M64" i="9" s="1"/>
  <c r="L66" i="9"/>
  <c r="M66" i="9" s="1"/>
  <c r="L67" i="9"/>
  <c r="M67" i="9" s="1"/>
  <c r="L63" i="9"/>
  <c r="M63" i="9" s="1"/>
  <c r="L65" i="9"/>
  <c r="M65" i="9" s="1"/>
  <c r="L68" i="9"/>
  <c r="M68" i="9" s="1"/>
  <c r="C96" i="9"/>
  <c r="E96" i="9" s="1"/>
  <c r="E97" i="9" s="1"/>
  <c r="C79" i="9"/>
  <c r="B30" i="72"/>
  <c r="D14" i="53"/>
  <c r="B32" i="72" s="1"/>
  <c r="C6" i="74"/>
  <c r="D15" i="53"/>
  <c r="B31" i="72"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<sst xmlns="http://schemas.openxmlformats.org/spreadsheetml/2006/main" count="8628" uniqueCount="3666">
  <si>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</si>
  <si>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</si>
  <si>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</si>
  <si>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</si>
  <si>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</si>
  <si>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</si>
  <si>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</si>
  <si>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</si>
  <si>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</si>
  <si>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</si>
  <si>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</si>
  <si>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</si>
  <si>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</si>
  <si>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</si>
  <si>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</si>
  <si>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</si>
  <si>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</si>
  <si>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</si>
  <si>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</si>
  <si>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</si>
  <si>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</si>
  <si>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</si>
  <si>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</si>
  <si>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</si>
  <si>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</si>
  <si>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</si>
  <si>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</si>
  <si>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</si>
  <si>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</si>
  <si>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</si>
  <si>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</si>
  <si>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</si>
  <si>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</si>
  <si>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</si>
  <si>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</si>
  <si>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</si>
  <si>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</si>
  <si>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</si>
  <si>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</si>
  <si>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</si>
  <si>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</si>
  <si>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</si>
  <si>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</si>
  <si>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</si>
  <si>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</si>
  <si>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</si>
  <si>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</si>
  <si>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</si>
  <si>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</si>
  <si>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</si>
  <si>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</si>
  <si>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</si>
  <si>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</si>
  <si>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</si>
  <si>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</si>
  <si>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</si>
  <si>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</si>
  <si>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</si>
  <si>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</si>
  <si>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</si>
  <si>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</si>
  <si>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</si>
  <si>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</si>
  <si>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</si>
  <si>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</si>
  <si>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</si>
  <si>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</si>
  <si>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</si>
  <si>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</si>
  <si>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</si>
  <si>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</si>
  <si>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</si>
  <si>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</si>
  <si>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</si>
  <si>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</si>
  <si>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</si>
  <si>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</si>
  <si>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</si>
  <si>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</si>
  <si>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</si>
  <si>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</si>
  <si>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</si>
  <si>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</si>
  <si>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</si>
  <si>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</si>
  <si>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</si>
  <si>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</si>
  <si>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</si>
  <si>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</si>
  <si>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</si>
  <si>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</si>
  <si>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</si>
  <si>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</si>
  <si>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</si>
  <si>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</si>
  <si>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</si>
  <si>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</si>
  <si>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</si>
  <si>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</si>
  <si>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</si>
  <si>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</si>
  <si>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</si>
  <si>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</si>
  <si>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</si>
  <si>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</si>
  <si>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</si>
  <si>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</si>
  <si>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</si>
  <si>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</si>
  <si>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</si>
  <si>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</si>
  <si>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</si>
  <si>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</si>
  <si>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</si>
  <si>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</si>
  <si>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</si>
  <si>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</si>
  <si>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</si>
  <si>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</si>
  <si>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</si>
  <si>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</si>
  <si>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</si>
  <si>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</si>
  <si>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</si>
  <si>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</si>
  <si>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</si>
  <si>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</si>
  <si>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</si>
  <si>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</si>
  <si>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</si>
  <si>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</si>
  <si>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</si>
  <si>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</si>
  <si>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</si>
  <si>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</si>
  <si>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</si>
  <si>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</si>
  <si>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</si>
  <si>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</si>
  <si>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</si>
  <si>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</si>
  <si>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</si>
  <si>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</si>
  <si>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</si>
  <si>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</si>
  <si>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</si>
  <si>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</si>
  <si>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</si>
  <si>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</si>
  <si>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</si>
  <si>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</si>
  <si>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</si>
  <si>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</si>
  <si>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</si>
  <si>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</si>
  <si>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</si>
  <si>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</si>
  <si>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</si>
  <si>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</si>
  <si>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</si>
  <si>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</si>
  <si>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</si>
  <si>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</si>
  <si>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</si>
  <si>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</si>
  <si>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</si>
  <si>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</si>
  <si>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</si>
  <si>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</si>
  <si>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</si>
  <si>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</si>
  <si>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</si>
  <si>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</si>
  <si>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</si>
  <si>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</si>
  <si>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</si>
  <si>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</si>
  <si>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</si>
  <si>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</si>
  <si>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</si>
  <si>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</si>
  <si>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</si>
  <si>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</si>
  <si>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</si>
  <si>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</si>
  <si>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</si>
  <si>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</si>
  <si>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</si>
  <si>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</si>
  <si>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</si>
  <si>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</si>
  <si>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</si>
  <si>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</si>
  <si>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</si>
  <si>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</si>
  <si>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</si>
  <si>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</si>
  <si>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</si>
  <si>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</si>
  <si>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</si>
  <si>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</si>
  <si>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</si>
  <si>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</si>
  <si>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</si>
  <si>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</si>
  <si>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</si>
  <si>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</si>
  <si>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</si>
  <si>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</si>
  <si>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</si>
  <si>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</si>
  <si>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</si>
  <si>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</si>
  <si>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</si>
  <si>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</si>
  <si>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</si>
  <si>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</si>
  <si>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</si>
  <si>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</si>
  <si>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</si>
  <si>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</si>
  <si>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</si>
  <si>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</si>
  <si>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</si>
  <si>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</si>
  <si>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</si>
  <si>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</si>
  <si>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</si>
  <si>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</si>
  <si>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</si>
  <si>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</si>
  <si>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</si>
  <si>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</si>
  <si>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</si>
  <si>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</si>
  <si>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</si>
  <si>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</si>
  <si>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</si>
  <si>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</si>
  <si>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</si>
  <si>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</si>
  <si>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</si>
  <si>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</si>
  <si>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</si>
  <si>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</si>
  <si>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</si>
  <si>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</si>
  <si>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</si>
  <si>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</si>
  <si>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</si>
  <si>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</si>
  <si>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</si>
  <si>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</si>
  <si>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</si>
  <si>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</si>
  <si>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</si>
  <si>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</si>
  <si>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</si>
  <si>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</si>
  <si>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</si>
  <si>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</si>
  <si>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</si>
  <si>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</si>
  <si>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</si>
  <si>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</si>
  <si>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</si>
  <si>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</si>
  <si>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</si>
  <si>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</si>
  <si>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</si>
  <si>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</si>
  <si>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</si>
  <si>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</si>
  <si>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</si>
  <si>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</si>
  <si>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</si>
  <si>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</si>
  <si>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</si>
  <si>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</si>
  <si>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</si>
  <si>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</si>
  <si>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</si>
  <si>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</si>
  <si>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</si>
  <si>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</si>
  <si>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</si>
  <si>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</si>
  <si>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</si>
  <si>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</si>
  <si>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</si>
  <si>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</si>
  <si>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</si>
  <si>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</si>
  <si>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</si>
  <si>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</si>
  <si>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</si>
  <si>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</si>
  <si>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</si>
  <si>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</si>
  <si>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</si>
  <si>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</si>
  <si>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</si>
  <si>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</si>
  <si>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</si>
  <si>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</si>
  <si>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</si>
  <si>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</si>
  <si>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</si>
  <si>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</si>
  <si>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</si>
  <si>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</si>
  <si>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</si>
  <si>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</si>
  <si>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</si>
  <si>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</si>
  <si>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</si>
  <si>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</si>
  <si>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</si>
  <si>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</si>
  <si>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</si>
  <si>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</si>
  <si>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</si>
  <si>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</si>
  <si>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</si>
  <si>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</si>
  <si>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</si>
  <si>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</si>
  <si>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</si>
  <si>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</si>
  <si>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</si>
  <si>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</si>
  <si>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</si>
  <si>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</si>
  <si>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</si>
  <si>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</si>
  <si>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</si>
  <si>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</si>
  <si>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</si>
  <si>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</si>
  <si>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</si>
  <si>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</si>
  <si>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</si>
  <si>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</si>
  <si>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</si>
  <si>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</si>
  <si>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</si>
  <si>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</si>
  <si>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</si>
  <si>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</si>
  <si>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</si>
  <si>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</si>
  <si>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</si>
  <si>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</si>
  <si>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</si>
  <si>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</si>
  <si>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</si>
  <si>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</si>
  <si>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</si>
  <si>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</si>
  <si>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</si>
  <si>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</si>
  <si>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</si>
  <si>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</si>
  <si>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</si>
  <si>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</si>
  <si>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</si>
  <si>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</si>
  <si>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</si>
  <si>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</si>
  <si>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</si>
  <si>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</si>
  <si>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</si>
  <si>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</si>
  <si>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</si>
  <si>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</si>
  <si>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</si>
  <si>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</si>
  <si>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</si>
  <si>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</si>
  <si>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</si>
  <si>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</si>
  <si>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</si>
  <si>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</si>
  <si>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</si>
  <si>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</si>
  <si>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</si>
  <si>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</si>
  <si>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</si>
  <si>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</si>
  <si>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</si>
  <si>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</si>
  <si>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</si>
  <si>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</si>
  <si>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</si>
  <si>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</si>
  <si>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</si>
  <si>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</si>
  <si>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</si>
  <si>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</si>
  <si>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</si>
  <si>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</si>
  <si>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</si>
  <si>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</si>
  <si>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</si>
  <si>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</si>
  <si>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</si>
  <si>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</si>
  <si>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</si>
  <si>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</si>
  <si>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</si>
  <si>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</si>
  <si>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</si>
  <si>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</si>
  <si>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</si>
  <si>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</si>
  <si>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</si>
  <si>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</si>
  <si>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</si>
  <si>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</si>
  <si>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</si>
  <si>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</si>
  <si>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</si>
  <si>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</si>
  <si>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</si>
  <si>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</si>
  <si>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</si>
  <si>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</si>
  <si>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</si>
  <si>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</si>
  <si>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</si>
  <si>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</si>
  <si>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</si>
  <si>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</si>
  <si>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</si>
  <si>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</si>
  <si>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</si>
  <si>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</si>
  <si>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</si>
  <si>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</si>
  <si>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</si>
  <si>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</si>
  <si>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</si>
  <si>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</si>
  <si>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</si>
  <si>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</si>
  <si>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</si>
  <si>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</si>
  <si>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</si>
  <si>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</si>
  <si>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</si>
  <si>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</si>
  <si>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</si>
  <si>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</si>
  <si>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</si>
  <si>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</si>
  <si>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</si>
  <si>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</si>
  <si>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</si>
  <si>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</si>
  <si>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</si>
  <si>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</si>
  <si>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</si>
  <si>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</si>
  <si>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</si>
  <si>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</si>
  <si>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</si>
  <si>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</si>
  <si>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</si>
  <si>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</si>
  <si>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</si>
  <si>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</si>
  <si>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</si>
  <si>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</si>
  <si>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</si>
  <si>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</si>
  <si>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</si>
  <si>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</si>
  <si>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</si>
  <si>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</si>
  <si>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</si>
  <si>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</si>
  <si>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</si>
  <si>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</si>
  <si>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</si>
  <si>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</si>
  <si>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</si>
  <si>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</si>
  <si>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</si>
  <si>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</si>
  <si>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</si>
  <si>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</si>
  <si>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</si>
  <si>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</si>
  <si>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</si>
  <si>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</si>
  <si>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</si>
  <si>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</si>
  <si>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</si>
  <si>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</si>
  <si>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</si>
  <si>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</si>
  <si>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</si>
  <si>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</si>
  <si>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</si>
  <si>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</si>
  <si>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</si>
  <si>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</si>
  <si>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</si>
  <si>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</si>
  <si>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</si>
  <si>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</si>
  <si>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</si>
  <si>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</si>
  <si>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</si>
  <si>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</si>
  <si>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</si>
  <si>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</si>
  <si>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</si>
  <si>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</si>
  <si>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</si>
  <si>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</si>
  <si>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</si>
  <si>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</si>
  <si>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</si>
  <si>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</si>
  <si>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</si>
  <si>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</si>
  <si>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</si>
  <si>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</si>
  <si>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</si>
  <si>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</si>
  <si>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</si>
  <si>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</si>
  <si>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</si>
  <si>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</si>
  <si>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</si>
  <si>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</si>
  <si>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</si>
  <si>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</si>
  <si>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</si>
  <si>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</si>
  <si>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</si>
  <si>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</si>
  <si>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</si>
  <si>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</si>
  <si>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</si>
  <si>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</si>
  <si>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</si>
  <si>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</si>
  <si>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</si>
  <si>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</si>
  <si>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</si>
  <si>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</si>
  <si>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</si>
  <si>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</si>
  <si>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</si>
  <si>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</si>
  <si>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</si>
  <si>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</si>
  <si>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</si>
  <si>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</si>
  <si>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</si>
  <si>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</si>
  <si>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</si>
  <si>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</si>
  <si>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</si>
  <si>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</si>
  <si>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</si>
  <si>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</si>
  <si>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</si>
  <si>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</si>
  <si>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</si>
  <si>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</si>
  <si>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</si>
  <si>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</si>
  <si>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</si>
  <si>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</si>
  <si>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</si>
  <si>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</si>
  <si>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</si>
  <si>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</si>
  <si>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</si>
  <si>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</si>
  <si>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</si>
  <si>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</si>
  <si>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</si>
  <si>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</si>
  <si>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</si>
  <si>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</si>
  <si>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</si>
  <si>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</si>
  <si>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</si>
  <si>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</si>
  <si>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</si>
  <si>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</si>
  <si>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</si>
  <si>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</si>
  <si>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</si>
  <si>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</si>
  <si>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</si>
  <si>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</si>
  <si>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</si>
  <si>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</si>
  <si>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</si>
  <si>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</si>
  <si>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</si>
  <si>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</si>
  <si>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</si>
  <si>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</si>
  <si>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</si>
  <si>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</si>
  <si>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</si>
  <si>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</si>
  <si>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</si>
  <si>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</si>
  <si>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</si>
  <si>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</si>
  <si>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</si>
  <si>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</si>
  <si>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</si>
  <si>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</si>
  <si>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</si>
  <si>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</si>
  <si>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</si>
  <si>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</si>
  <si>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</si>
  <si>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</si>
  <si>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</si>
  <si>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</si>
  <si>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</si>
  <si>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</si>
  <si>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</si>
  <si>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</si>
  <si>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</si>
  <si>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</si>
  <si>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</si>
  <si>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</si>
  <si>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</si>
  <si>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</si>
  <si>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</si>
  <si>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</si>
  <si>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</si>
  <si>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</si>
  <si>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</si>
  <si>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</si>
  <si>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</si>
  <si>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</si>
  <si>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</si>
  <si>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</si>
  <si>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</si>
  <si>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</si>
  <si>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</si>
  <si>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</si>
  <si>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</si>
  <si>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</si>
  <si>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</si>
  <si>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</si>
  <si>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</si>
  <si>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</si>
  <si>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</si>
  <si>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</si>
  <si>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</si>
  <si>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</si>
  <si>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</si>
  <si>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</si>
  <si>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</si>
  <si>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</si>
  <si>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</si>
  <si>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</si>
  <si>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</si>
  <si>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</si>
  <si>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</si>
  <si>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</si>
  <si>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</si>
  <si>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</si>
  <si>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</si>
  <si>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</si>
  <si>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</si>
  <si>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</si>
  <si>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</si>
  <si>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</si>
  <si>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</si>
  <si>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</si>
  <si>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</si>
  <si>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</si>
  <si>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</si>
  <si>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</si>
  <si>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</si>
  <si>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</si>
  <si>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</si>
  <si>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</si>
  <si>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</si>
  <si>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</si>
  <si>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</si>
  <si>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</si>
  <si>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</si>
  <si>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</si>
  <si>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</si>
  <si>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</si>
  <si>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</si>
  <si>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</si>
  <si>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</si>
  <si>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</si>
  <si>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</si>
  <si>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</si>
  <si>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</si>
  <si>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</si>
  <si>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</si>
  <si>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</si>
  <si>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</si>
  <si>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</si>
  <si>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</si>
  <si>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</si>
  <si>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</si>
  <si>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</si>
  <si>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</si>
  <si>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</si>
  <si>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</si>
  <si>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</si>
  <si>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</si>
  <si>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</si>
  <si>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</si>
  <si>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</si>
  <si>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</si>
  <si>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</si>
  <si>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</si>
  <si>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</si>
  <si>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</si>
  <si>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</si>
  <si>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</si>
  <si>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</si>
  <si>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</si>
  <si>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</si>
  <si>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</si>
  <si>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</si>
  <si>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</si>
  <si>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</si>
  <si>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</si>
  <si>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</si>
  <si>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</si>
  <si>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</si>
  <si>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</si>
  <si>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</si>
  <si>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</si>
  <si>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</si>
  <si>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</si>
  <si>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</si>
  <si>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</si>
  <si>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</si>
  <si>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</si>
  <si>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</si>
  <si>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</si>
  <si>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</si>
  <si>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</si>
  <si>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</si>
  <si>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</si>
  <si>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</si>
  <si>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</si>
  <si>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</si>
  <si>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</si>
  <si>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</si>
  <si>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</si>
  <si>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</si>
  <si>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</si>
  <si>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</si>
  <si>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</si>
  <si>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</si>
  <si>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</si>
  <si>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</si>
  <si>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</si>
  <si>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</si>
  <si>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</si>
  <si>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</si>
  <si>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</si>
  <si>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</si>
  <si>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</si>
  <si>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</si>
  <si>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</si>
  <si>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</si>
  <si>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</si>
  <si>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</si>
  <si>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</si>
  <si>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</si>
  <si>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</si>
  <si>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</si>
  <si>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</si>
  <si>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</si>
  <si>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</si>
  <si>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</si>
  <si>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</si>
  <si>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</si>
  <si>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</si>
  <si>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</si>
  <si>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</si>
  <si>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</si>
  <si>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</si>
  <si>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</si>
  <si>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</si>
  <si>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</si>
  <si>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</si>
  <si>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</si>
  <si>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</si>
  <si>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</si>
  <si>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</si>
  <si>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</si>
  <si>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</si>
  <si>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</si>
  <si>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</si>
  <si>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</si>
  <si>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</si>
  <si>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</si>
  <si>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</si>
  <si>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</si>
  <si>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</si>
  <si>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</si>
  <si>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</si>
  <si>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</si>
  <si>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</si>
  <si>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</si>
  <si>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</si>
  <si>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</si>
  <si>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</si>
  <si>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</si>
  <si>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</si>
  <si>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</si>
  <si>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</si>
  <si>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</si>
  <si>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</si>
  <si>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</si>
  <si>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</si>
  <si>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</si>
  <si>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</si>
  <si>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</si>
  <si>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</si>
  <si>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</si>
  <si>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</si>
  <si>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</si>
  <si>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</si>
  <si>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</si>
  <si>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</si>
  <si>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</si>
  <si>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</si>
  <si>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</si>
  <si>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</si>
  <si>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</si>
  <si>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</si>
  <si>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</si>
  <si>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</si>
  <si>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</si>
  <si>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</si>
  <si>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</si>
  <si>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</si>
  <si>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</si>
  <si>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</si>
  <si>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</si>
  <si>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</si>
  <si>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</si>
  <si>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</si>
  <si>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</si>
  <si>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</si>
  <si>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</si>
  <si>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</si>
  <si>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</si>
  <si>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</si>
  <si>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</si>
  <si>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</si>
  <si>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</si>
  <si>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</si>
  <si>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</si>
  <si>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</si>
  <si>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</si>
  <si>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</si>
  <si>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</si>
  <si>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</si>
  <si>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</si>
  <si>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</si>
  <si>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</si>
  <si>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</si>
  <si>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</si>
  <si>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</si>
  <si>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</si>
  <si>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</si>
  <si>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</si>
  <si>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</si>
  <si>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</si>
  <si>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</si>
  <si>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</si>
  <si>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</si>
  <si>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</si>
  <si>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</si>
  <si>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</si>
  <si>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</si>
  <si>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</si>
  <si>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</si>
  <si>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</si>
  <si>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</si>
  <si>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</si>
  <si>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</si>
  <si>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</si>
  <si>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</si>
  <si>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</si>
  <si>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</si>
  <si>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</si>
  <si>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</si>
  <si>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</si>
  <si>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</si>
  <si>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</si>
  <si>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</si>
  <si>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</si>
  <si>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</si>
  <si>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</si>
  <si>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</si>
  <si>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</si>
  <si>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</si>
  <si>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</si>
  <si>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</si>
  <si>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</si>
  <si>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</si>
  <si>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</si>
  <si>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</si>
  <si>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</si>
  <si>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</si>
  <si>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</si>
  <si>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</si>
  <si>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</si>
  <si>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</si>
  <si>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</si>
  <si>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</si>
  <si>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</si>
  <si>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</si>
  <si>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</si>
  <si>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</si>
  <si>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</si>
  <si>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</si>
  <si>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</si>
  <si>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</si>
  <si>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</si>
  <si>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</si>
  <si>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</si>
  <si>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</si>
  <si>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</si>
  <si>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</si>
  <si>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</si>
  <si>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</si>
  <si>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</si>
  <si>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</si>
  <si>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</si>
  <si>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</si>
  <si>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</si>
  <si>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</si>
  <si>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</si>
  <si>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</si>
  <si>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</si>
  <si>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</si>
  <si>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</si>
  <si>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</si>
  <si>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</si>
  <si>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</si>
  <si>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</si>
  <si>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</si>
  <si>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</si>
  <si>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</si>
  <si>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</si>
  <si>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</si>
  <si>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</si>
  <si>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</si>
  <si>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</si>
  <si>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</si>
  <si>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</si>
  <si>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</si>
  <si>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</si>
  <si>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</si>
  <si>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</si>
  <si>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</si>
  <si>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</si>
  <si>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</si>
  <si>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</si>
  <si>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</si>
  <si>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</si>
  <si>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</si>
  <si>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</si>
  <si>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</si>
  <si>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</si>
  <si>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</si>
  <si>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</si>
  <si>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</si>
  <si>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</si>
  <si>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</si>
  <si>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</si>
  <si>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</si>
  <si>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</si>
  <si>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</si>
  <si>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</si>
  <si>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</si>
  <si>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</si>
  <si>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</si>
  <si>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</si>
  <si>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</si>
  <si>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</si>
  <si>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</si>
  <si>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</si>
  <si>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</si>
  <si>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</si>
  <si>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</si>
  <si>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</si>
  <si>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</si>
  <si>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</si>
  <si>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</si>
  <si>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</si>
  <si>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</si>
  <si>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</si>
  <si>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</si>
  <si>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</si>
  <si>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</si>
  <si>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</si>
  <si>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</si>
  <si>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</si>
  <si>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</si>
  <si>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</si>
  <si>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</si>
  <si>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</si>
  <si>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</si>
  <si>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</si>
  <si>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</si>
  <si>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</si>
  <si>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</si>
  <si>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</si>
  <si>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</si>
  <si>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</si>
  <si>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</si>
  <si>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</si>
  <si>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</si>
  <si>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</si>
  <si>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</si>
  <si>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</si>
  <si>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</si>
  <si>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</si>
  <si>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</si>
  <si>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</si>
  <si>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</si>
  <si>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</si>
  <si>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</si>
  <si>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</si>
  <si>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</si>
  <si>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</si>
  <si>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</si>
  <si>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</si>
  <si>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</si>
  <si>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</si>
  <si>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</si>
  <si>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</si>
  <si>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</si>
  <si>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</si>
  <si>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</si>
  <si>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</si>
  <si>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</si>
  <si>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</si>
  <si>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</si>
  <si>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</si>
  <si>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</si>
  <si>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</si>
  <si>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</si>
  <si>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</si>
  <si>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</si>
  <si>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</si>
  <si>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</si>
  <si>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</si>
  <si>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</si>
  <si>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</si>
  <si>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</si>
  <si>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</si>
  <si>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</si>
  <si>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</si>
  <si>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</si>
  <si>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</si>
  <si>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</si>
  <si>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</si>
  <si>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</si>
  <si>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</si>
  <si>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</si>
  <si>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</si>
  <si>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</si>
  <si>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</si>
  <si>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</si>
  <si>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</si>
  <si>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</si>
  <si>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</si>
  <si>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</si>
  <si>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</si>
  <si>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</si>
  <si>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</si>
  <si>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</si>
  <si>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</si>
  <si>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</si>
  <si>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</si>
  <si>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</si>
  <si>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</si>
  <si>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</si>
  <si>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</si>
  <si>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</si>
  <si>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</si>
  <si>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</si>
  <si>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</si>
  <si>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</si>
  <si>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</si>
  <si>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</si>
  <si>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</si>
  <si>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</si>
  <si>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</si>
  <si>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</si>
  <si>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</si>
  <si>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</si>
  <si>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</si>
  <si>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</si>
  <si>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</si>
  <si>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</si>
  <si>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</si>
  <si>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</si>
  <si>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</si>
  <si>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</si>
  <si>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</si>
  <si>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</si>
  <si>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</si>
  <si>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</si>
  <si>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</si>
  <si>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</si>
  <si>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</si>
  <si>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</si>
  <si>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</si>
  <si>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</si>
  <si>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</si>
  <si>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</si>
  <si>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</si>
  <si>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</si>
  <si>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</si>
  <si>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</si>
  <si>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</si>
  <si>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</si>
  <si>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</si>
  <si>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</si>
  <si>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</si>
  <si>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</si>
  <si>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</si>
  <si>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</si>
  <si>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</si>
  <si>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</si>
  <si>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</si>
  <si>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</si>
  <si>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</si>
  <si>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</si>
  <si>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</si>
  <si>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</si>
  <si>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</si>
  <si>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</si>
  <si>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</si>
  <si>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</si>
  <si>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</si>
  <si>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</si>
  <si>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</si>
  <si>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</si>
  <si>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</si>
  <si>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</si>
  <si>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</si>
  <si>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</si>
  <si>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</si>
  <si>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</si>
  <si>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</si>
  <si>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</si>
  <si>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</si>
  <si>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</si>
  <si>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</si>
  <si>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</si>
  <si>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</si>
  <si>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</si>
  <si>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</si>
  <si>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</si>
  <si>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</si>
  <si>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</si>
  <si>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</si>
  <si>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</si>
  <si>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</si>
  <si>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</si>
  <si>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</si>
  <si>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</si>
  <si>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</si>
  <si>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</si>
  <si>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</si>
  <si>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</si>
  <si>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</si>
  <si>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</si>
  <si>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</si>
  <si>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</si>
  <si>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</si>
  <si>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</si>
  <si>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</si>
  <si>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</si>
  <si>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</si>
  <si>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</si>
  <si>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</si>
  <si>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</si>
  <si>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</si>
  <si>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</si>
  <si>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</si>
  <si>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</si>
  <si>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</si>
  <si>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</si>
  <si>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</si>
  <si>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</si>
  <si>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</si>
  <si>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</si>
  <si>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</si>
  <si>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</si>
  <si>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</si>
  <si>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</si>
  <si>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</si>
  <si>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</si>
  <si>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</si>
  <si>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</si>
  <si>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</si>
  <si>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</si>
  <si>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</si>
  <si>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</si>
  <si>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</si>
  <si>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</si>
  <si>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</si>
  <si>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</si>
  <si>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</si>
  <si>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</si>
  <si>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</si>
  <si>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</si>
  <si>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</si>
  <si>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</si>
  <si>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</si>
  <si>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</si>
  <si>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</si>
  <si>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</si>
  <si>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</si>
  <si>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</si>
  <si>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</si>
  <si>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</si>
  <si>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</si>
  <si>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</si>
  <si>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</si>
  <si>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</si>
  <si>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</si>
  <si>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</si>
  <si>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</si>
  <si>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</si>
  <si>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</si>
  <si>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</si>
  <si>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</si>
  <si>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</si>
  <si>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</si>
  <si>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</si>
  <si>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</si>
  <si>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</si>
  <si>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</si>
  <si>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</si>
  <si>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</si>
  <si>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</si>
  <si>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</si>
  <si>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</si>
  <si>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</si>
  <si>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</si>
  <si>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</si>
  <si>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</si>
  <si>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</si>
  <si>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</si>
  <si>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</si>
  <si>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</si>
  <si>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</si>
  <si>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</si>
  <si>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</si>
  <si>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</si>
  <si>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</si>
  <si>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</si>
  <si>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</si>
  <si>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</si>
  <si>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</si>
  <si>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</si>
  <si>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</si>
  <si>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</si>
  <si>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</si>
  <si>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</si>
  <si>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</si>
  <si>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</si>
  <si>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</si>
  <si>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</si>
  <si>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</si>
  <si>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</si>
  <si>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</si>
  <si>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</si>
  <si>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</si>
  <si>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</si>
  <si>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</si>
  <si>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</si>
  <si>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</si>
  <si>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</si>
  <si>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</si>
  <si>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</si>
  <si>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</si>
  <si>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</si>
  <si>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</si>
  <si>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</si>
  <si>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</si>
  <si>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</si>
  <si>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</si>
  <si>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</si>
  <si>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</si>
  <si>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</si>
  <si>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</si>
  <si>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</si>
  <si>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</si>
  <si>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</si>
  <si>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</si>
  <si>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</si>
  <si>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</si>
  <si>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</si>
  <si>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</si>
  <si>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</si>
  <si>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</si>
  <si>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</si>
  <si>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</si>
  <si>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</si>
  <si>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</si>
  <si>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</si>
  <si>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</si>
  <si>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</si>
  <si>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</si>
  <si>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</si>
  <si>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</si>
  <si>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</si>
  <si>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</si>
  <si>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</si>
  <si>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</si>
  <si>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</si>
  <si>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</si>
  <si>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</si>
  <si>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</si>
  <si>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</si>
  <si>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</si>
  <si>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</si>
  <si>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</si>
  <si>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</si>
  <si>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</si>
  <si>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</si>
  <si>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</si>
  <si>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</si>
  <si>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</si>
  <si>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</si>
  <si>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</si>
  <si>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</si>
  <si>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</si>
  <si>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</si>
  <si>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</si>
  <si>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</si>
  <si>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</si>
  <si>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</si>
  <si>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</si>
  <si>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</si>
  <si>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</si>
  <si>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</si>
  <si>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</si>
  <si>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</si>
  <si>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</si>
  <si>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</si>
  <si>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</si>
  <si>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</si>
  <si>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</si>
  <si>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</si>
  <si>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</si>
  <si>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</si>
  <si>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</si>
  <si>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</si>
  <si>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</si>
  <si>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</si>
  <si>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</si>
  <si>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</si>
  <si>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</si>
  <si>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</si>
  <si>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</si>
  <si>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</si>
  <si>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</si>
  <si>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</si>
  <si>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</si>
  <si>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</si>
  <si>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</si>
  <si>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</si>
  <si>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</si>
  <si>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</si>
  <si>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</si>
  <si>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</si>
  <si>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</si>
  <si>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</si>
  <si>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</si>
  <si>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</si>
  <si>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</si>
  <si>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</si>
  <si>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</si>
  <si>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</si>
  <si>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</si>
  <si>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</si>
  <si>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</si>
  <si>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</si>
  <si>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</si>
  <si>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</si>
  <si>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</si>
  <si>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</si>
  <si>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</si>
  <si>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</si>
  <si>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</si>
  <si>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</si>
  <si>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</si>
  <si>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</si>
  <si>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</si>
  <si>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</si>
  <si>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</si>
  <si>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</si>
  <si>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</si>
  <si>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</si>
  <si>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</si>
  <si>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</si>
  <si>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</si>
  <si>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</si>
  <si>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</si>
  <si>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</si>
  <si>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</si>
  <si>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</si>
  <si>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</si>
  <si>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</si>
  <si>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</si>
  <si>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</si>
  <si>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</si>
  <si>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</si>
  <si>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</si>
  <si>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</si>
  <si>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</si>
  <si>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</si>
  <si>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</si>
  <si>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</si>
  <si>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</si>
  <si>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</si>
  <si>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</si>
  <si>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</si>
  <si>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</si>
  <si>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</si>
  <si>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</si>
  <si>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</si>
  <si>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</si>
  <si>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</si>
  <si>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</si>
  <si>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</si>
  <si>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</si>
  <si>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</si>
  <si>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</si>
  <si>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</si>
  <si>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</si>
  <si>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</si>
  <si>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</si>
  <si>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</si>
  <si>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</si>
  <si>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</si>
  <si>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</si>
  <si>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</si>
  <si>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</si>
  <si>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</si>
  <si>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</si>
  <si>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</si>
  <si>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</si>
  <si>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</si>
  <si>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</si>
  <si>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</si>
  <si>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</si>
  <si>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</si>
  <si>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</si>
  <si>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</si>
  <si>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</si>
  <si>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</si>
  <si>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</si>
  <si>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</si>
  <si>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</si>
  <si>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</si>
  <si>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</si>
  <si>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</si>
  <si>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</si>
  <si>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</si>
  <si>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</si>
  <si>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</si>
  <si>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</si>
  <si>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</si>
  <si>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</si>
  <si>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</si>
  <si>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</si>
  <si>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</si>
  <si>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</si>
  <si>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</si>
  <si>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</si>
  <si>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</si>
  <si>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</si>
  <si>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</si>
  <si>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</si>
  <si>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</si>
  <si>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</si>
  <si>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</si>
  <si>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</si>
  <si>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</si>
  <si>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</si>
  <si>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</si>
  <si>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</si>
  <si>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</si>
  <si>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</si>
  <si>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</si>
  <si>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</si>
  <si>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</si>
  <si>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</si>
  <si>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</si>
  <si>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</si>
  <si>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</si>
  <si>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</si>
  <si>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</si>
  <si>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</si>
  <si>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</si>
  <si>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</si>
  <si>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</si>
  <si>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</si>
  <si>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</si>
  <si>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</si>
  <si>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</si>
  <si>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</si>
  <si>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</si>
  <si>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</si>
  <si>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</si>
  <si>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</si>
  <si>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</si>
  <si>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</si>
  <si>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</si>
  <si>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</si>
  <si>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</si>
  <si>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</si>
  <si>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</si>
  <si>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</si>
  <si>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</si>
  <si>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</si>
  <si>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</si>
  <si>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</si>
  <si>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</si>
  <si>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</si>
  <si>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</si>
  <si>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</si>
  <si>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</si>
  <si>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</si>
  <si>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</si>
  <si>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</si>
  <si>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</si>
  <si>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</si>
  <si>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</si>
  <si>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</si>
  <si>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</si>
  <si>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</si>
  <si>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</si>
  <si>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</si>
  <si>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</si>
  <si>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</si>
  <si>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</si>
  <si>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</si>
  <si>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</si>
  <si>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</si>
  <si>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</si>
  <si>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</si>
  <si>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</si>
  <si>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</si>
  <si>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</si>
  <si>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</si>
  <si>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</si>
  <si>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</si>
  <si>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</si>
  <si>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</si>
  <si>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</si>
  <si>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</si>
  <si>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</si>
  <si>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</si>
  <si>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</si>
  <si>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</si>
  <si>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</si>
  <si>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</si>
  <si>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</si>
  <si>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</si>
  <si>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</si>
  <si>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</si>
  <si>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</si>
  <si>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</si>
  <si>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</si>
  <si>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</si>
  <si>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</si>
  <si>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</si>
  <si>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</si>
  <si>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</si>
  <si>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</si>
  <si>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</si>
  <si>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</si>
  <si>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</si>
  <si>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</si>
  <si>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</si>
  <si>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</si>
  <si>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</si>
  <si>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</si>
  <si>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</si>
  <si>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</si>
  <si>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</si>
  <si>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</si>
  <si>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</si>
  <si>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</si>
  <si>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</si>
  <si>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</si>
  <si>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</si>
  <si>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</si>
  <si>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</si>
  <si>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</si>
  <si>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</si>
  <si>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</si>
  <si>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</si>
  <si>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</si>
  <si>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</si>
  <si>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</si>
  <si>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</si>
  <si>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</si>
  <si>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</si>
  <si>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</si>
  <si>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</si>
  <si>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</si>
  <si>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</si>
  <si>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</si>
  <si>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</si>
  <si>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</si>
  <si>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</si>
  <si>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</si>
  <si>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</si>
  <si>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</si>
  <si>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</si>
  <si>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</si>
  <si>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</si>
  <si>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</si>
  <si>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</si>
  <si>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</si>
  <si>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</si>
  <si>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</si>
  <si>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</si>
  <si>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</si>
  <si>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</si>
  <si>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</si>
  <si>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</si>
  <si>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</si>
  <si>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</si>
  <si>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</si>
  <si>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</si>
  <si>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</si>
  <si>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</si>
  <si>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</si>
  <si>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</si>
  <si>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</si>
  <si>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</si>
  <si>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</si>
  <si>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</si>
  <si>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</si>
  <si>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</si>
  <si>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</si>
  <si>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</si>
  <si>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</si>
  <si>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</si>
  <si>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</si>
  <si>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</si>
  <si>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</si>
  <si>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</si>
  <si>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</si>
  <si>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</si>
  <si>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</si>
  <si>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</si>
  <si>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</si>
  <si>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</si>
  <si>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</si>
  <si>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</si>
  <si>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</si>
  <si>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</si>
  <si>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</si>
  <si>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</si>
  <si>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</si>
  <si>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</si>
  <si>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</si>
  <si>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</si>
  <si>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</si>
  <si>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</si>
  <si>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</si>
  <si>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</si>
  <si>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</si>
  <si>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</si>
  <si>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</si>
  <si>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</si>
  <si>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</si>
  <si>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</si>
  <si>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</si>
  <si>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</si>
  <si>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</si>
  <si>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</si>
  <si>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</si>
  <si>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</si>
  <si>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</si>
  <si>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</si>
  <si>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</si>
  <si>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</si>
  <si>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</si>
  <si>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</si>
  <si>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</si>
  <si>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</si>
  <si>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</si>
  <si>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</si>
  <si>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</si>
  <si>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</si>
  <si>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</si>
  <si>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</si>
  <si>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</si>
  <si>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</si>
  <si>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</si>
  <si>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</si>
  <si>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</si>
  <si>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</si>
  <si>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</si>
  <si>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</si>
  <si>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</si>
  <si>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</si>
  <si>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</si>
  <si>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</si>
  <si>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</si>
  <si>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</si>
  <si>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</si>
  <si>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</si>
  <si>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</si>
  <si>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</si>
  <si>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</si>
  <si>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</si>
  <si>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</si>
  <si>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</si>
  <si>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</si>
  <si>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</si>
  <si>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</si>
  <si>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</si>
  <si>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</si>
  <si>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</si>
  <si>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</si>
  <si>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</si>
  <si>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</si>
  <si>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</si>
  <si>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</si>
  <si>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</si>
  <si>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</si>
  <si>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</si>
  <si>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</si>
  <si>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</si>
  <si>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</si>
  <si>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</si>
  <si>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</si>
  <si>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</si>
  <si>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</si>
  <si>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</si>
  <si>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</si>
  <si>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</si>
  <si>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</si>
  <si>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</si>
  <si>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</si>
  <si>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</si>
  <si>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</si>
  <si>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</si>
  <si>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</si>
  <si>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</si>
  <si>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</si>
  <si>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</si>
  <si>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</si>
  <si>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</si>
  <si>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</si>
  <si>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</si>
  <si>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</si>
  <si>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</si>
  <si>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</si>
  <si>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</si>
  <si>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</si>
  <si>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</si>
  <si>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</si>
  <si>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</si>
  <si>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</si>
  <si>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</si>
  <si>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</si>
  <si>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</si>
  <si>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</si>
  <si>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</si>
  <si>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</si>
  <si>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</si>
  <si>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</si>
  <si>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</si>
  <si>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</si>
  <si>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</si>
  <si>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</si>
  <si>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</si>
  <si>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</si>
  <si>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</si>
  <si>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</si>
  <si>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</si>
  <si>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</si>
  <si>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</si>
  <si>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</si>
  <si>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</si>
  <si>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</si>
  <si>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</si>
  <si>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</si>
  <si>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</si>
  <si>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</si>
  <si>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</si>
  <si>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</si>
  <si>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</si>
  <si>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</si>
  <si>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</si>
  <si>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</si>
  <si>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</si>
  <si>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</si>
  <si>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</si>
  <si>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</si>
  <si>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</si>
  <si>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</si>
  <si>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</si>
  <si>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</si>
  <si>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</si>
  <si>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</si>
  <si>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</si>
  <si>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</si>
  <si>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</si>
  <si>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</si>
  <si>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</si>
  <si>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</si>
  <si>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</si>
  <si>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</si>
  <si>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</si>
  <si>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</si>
  <si>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</si>
  <si>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</si>
  <si>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</si>
  <si>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</si>
  <si>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</si>
  <si>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</si>
  <si>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</si>
  <si>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</si>
  <si>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</si>
  <si>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</si>
  <si>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</si>
  <si>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</si>
  <si>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</si>
  <si>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</si>
  <si>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</si>
  <si>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</si>
  <si>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</si>
  <si>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</si>
  <si>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</si>
  <si>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</si>
  <si>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</si>
  <si>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</si>
  <si>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</si>
  <si>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</si>
  <si>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</si>
  <si>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</si>
  <si>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</si>
  <si>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</si>
  <si>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</si>
  <si>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</si>
  <si>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</si>
  <si>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</si>
  <si>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</si>
  <si>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</si>
  <si>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</si>
  <si>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</si>
  <si>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</si>
  <si>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</si>
  <si>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</si>
  <si>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</si>
  <si>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</si>
  <si>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</si>
  <si>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</si>
  <si>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</si>
  <si>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</si>
  <si>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</si>
  <si>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</si>
  <si>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</si>
  <si>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</si>
  <si>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</si>
  <si>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</si>
  <si>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</si>
  <si>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</si>
  <si>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</si>
  <si>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</si>
  <si>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</si>
  <si>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</si>
  <si>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</si>
  <si>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</si>
  <si>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</si>
  <si>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</si>
  <si>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</si>
  <si>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</si>
  <si>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</si>
  <si>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</si>
  <si>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</si>
  <si>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</si>
  <si>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</si>
  <si>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</si>
  <si>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</si>
  <si>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</si>
  <si>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</si>
  <si>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</si>
  <si>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</si>
  <si>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</si>
  <si>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</si>
  <si>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</si>
  <si>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</si>
  <si>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</si>
  <si>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</si>
  <si>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</si>
  <si>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</si>
  <si>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</si>
  <si>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</si>
  <si>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</si>
  <si>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</si>
  <si>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</si>
  <si>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</si>
  <si>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</si>
  <si>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</si>
  <si>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</si>
  <si>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</si>
  <si>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</si>
  <si>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</si>
  <si>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</si>
  <si>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</si>
  <si>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</si>
  <si>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</si>
  <si>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</si>
  <si>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</si>
  <si>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</si>
  <si>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</si>
  <si>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</si>
  <si>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</si>
  <si>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</si>
  <si>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</si>
  <si>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</si>
  <si>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</si>
  <si>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</si>
  <si>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</si>
  <si>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</si>
  <si>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</si>
  <si>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</si>
  <si>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</si>
  <si>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</si>
  <si>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</si>
  <si>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</si>
  <si>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</si>
  <si>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</si>
  <si>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</si>
  <si>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</si>
  <si>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</si>
  <si>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</si>
  <si>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</si>
  <si>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</si>
  <si>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</si>
  <si>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</si>
  <si>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</si>
  <si>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</si>
  <si>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</si>
  <si>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</si>
  <si>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</si>
  <si>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</si>
  <si>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</si>
  <si>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</si>
  <si>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</si>
  <si>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</si>
  <si>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</si>
  <si>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</si>
  <si>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</si>
  <si>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</si>
  <si>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</si>
  <si>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</si>
  <si>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</si>
  <si>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</si>
  <si>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</si>
  <si>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</si>
  <si>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</si>
  <si>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</si>
  <si>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</si>
  <si>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</si>
  <si>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</si>
  <si>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</si>
  <si>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</si>
  <si>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</si>
  <si>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</si>
  <si>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</si>
  <si>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</si>
  <si>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</si>
  <si>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</si>
  <si>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</si>
  <si>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</si>
  <si>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</si>
  <si>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</si>
  <si>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</si>
  <si>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</si>
  <si>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</si>
  <si>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</si>
  <si>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</si>
  <si>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</si>
  <si>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</si>
  <si>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</si>
  <si>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</si>
  <si>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</si>
  <si>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</si>
  <si>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</si>
  <si>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</si>
  <si>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</si>
  <si>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</si>
  <si>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</si>
  <si>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</si>
  <si>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</si>
  <si>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</si>
  <si>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</si>
  <si>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</si>
  <si>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</si>
  <si>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</si>
  <si>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</si>
  <si>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</si>
  <si>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</si>
  <si>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</si>
  <si>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</si>
  <si>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</si>
  <si>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</si>
  <si>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</si>
  <si>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</si>
  <si>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</si>
  <si>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</si>
  <si>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</si>
  <si>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</si>
  <si>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</si>
  <si>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</si>
  <si>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</si>
  <si>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</si>
  <si>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</si>
  <si>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</si>
  <si>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</si>
  <si>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</si>
  <si>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</si>
  <si>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</si>
  <si>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</si>
  <si>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</si>
  <si>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</si>
  <si>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</si>
  <si>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</si>
  <si>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</si>
  <si>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</si>
  <si>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</si>
  <si>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</si>
  <si>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</si>
  <si>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</si>
  <si>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</si>
  <si>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</si>
  <si>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</si>
  <si>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</si>
  <si>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</si>
  <si>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</si>
  <si>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</si>
  <si>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</si>
  <si>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</si>
  <si>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</si>
  <si>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</si>
  <si>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</si>
  <si>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</si>
  <si>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</si>
  <si>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</si>
  <si>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</si>
  <si>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</si>
  <si>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</si>
  <si>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</si>
  <si>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</si>
  <si>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</si>
  <si>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</si>
  <si>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</si>
  <si>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</si>
  <si>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</si>
  <si>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</si>
  <si>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</si>
  <si>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</si>
  <si>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</si>
  <si>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</si>
  <si>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</si>
  <si>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</si>
  <si>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</si>
  <si>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</si>
  <si>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</si>
  <si>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</si>
  <si>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</si>
  <si>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</si>
  <si>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</si>
  <si>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</si>
  <si>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</si>
  <si>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</si>
  <si>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</si>
  <si>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</si>
  <si>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</si>
  <si>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</si>
  <si>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</si>
  <si>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</si>
  <si>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</si>
  <si>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</si>
  <si>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</si>
  <si>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</si>
  <si>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</si>
  <si>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</si>
  <si>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</si>
  <si>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</si>
  <si>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</si>
  <si>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</si>
  <si>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</si>
  <si>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</si>
  <si>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</si>
  <si>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</si>
  <si>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</si>
  <si>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</si>
  <si>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</si>
  <si>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</si>
  <si>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</si>
  <si>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</si>
  <si>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</si>
  <si>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</si>
  <si>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</si>
  <si>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</si>
  <si>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</si>
  <si>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</si>
  <si>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</si>
  <si>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</si>
  <si>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</si>
  <si>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</si>
  <si>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</si>
  <si>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</si>
  <si>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</si>
  <si>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</si>
  <si>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</si>
  <si>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</si>
  <si>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</si>
  <si>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</si>
  <si>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</si>
  <si>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</si>
  <si>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</si>
  <si>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</si>
  <si>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</si>
  <si>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</si>
  <si>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</si>
  <si>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</si>
  <si>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</si>
  <si>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</si>
  <si>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</si>
  <si>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</si>
  <si>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</si>
  <si>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</si>
  <si>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</si>
  <si>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</si>
  <si>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</si>
  <si>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</si>
  <si>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</si>
  <si>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</si>
  <si>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</si>
  <si>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</si>
  <si>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</si>
  <si>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</si>
  <si>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</si>
  <si>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</si>
  <si>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</si>
  <si>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</si>
  <si>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</si>
  <si>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</si>
  <si>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</si>
  <si>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</si>
  <si>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</si>
  <si>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</si>
  <si>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</si>
  <si>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</si>
  <si>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</si>
  <si>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</si>
  <si>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</si>
  <si>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</si>
  <si>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</si>
  <si>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</si>
  <si>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</si>
  <si>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</si>
  <si>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</si>
  <si>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</si>
  <si>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</si>
  <si>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</si>
  <si>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</si>
  <si>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</si>
  <si>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</si>
  <si>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</si>
  <si>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</si>
  <si>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</si>
  <si>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</si>
  <si>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</si>
  <si>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</si>
  <si>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</si>
  <si>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</si>
  <si>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</si>
  <si>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</si>
  <si>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</si>
  <si>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</si>
  <si>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</si>
  <si>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</si>
  <si>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</si>
  <si>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</si>
  <si>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</si>
  <si>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</si>
  <si>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</si>
  <si>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</si>
  <si>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</si>
  <si>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</si>
  <si>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</si>
  <si>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</si>
  <si>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</si>
  <si>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</si>
  <si>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</si>
  <si>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</si>
  <si>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</si>
  <si>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</si>
  <si>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</si>
  <si>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</si>
  <si>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</si>
  <si>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</si>
  <si>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</si>
  <si>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</si>
  <si>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</si>
  <si>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</si>
  <si>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</si>
  <si>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</si>
  <si>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</si>
  <si>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</si>
  <si>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</si>
  <si>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</si>
  <si>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</si>
  <si>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</si>
  <si>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</si>
  <si>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</si>
  <si>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</si>
  <si>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</si>
  <si>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</si>
  <si>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</si>
  <si>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</si>
  <si>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</si>
  <si>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</si>
  <si>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</si>
  <si>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</si>
  <si>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</si>
  <si>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</si>
  <si>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</si>
  <si>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</si>
  <si>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</si>
  <si>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</si>
  <si>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</si>
  <si>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</si>
  <si>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</si>
  <si>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</si>
  <si>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</si>
  <si>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</si>
  <si>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</si>
  <si>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</si>
  <si>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</si>
  <si>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</si>
  <si>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</si>
  <si>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</si>
  <si>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</si>
  <si>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</si>
  <si>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</si>
  <si>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</si>
  <si>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</si>
  <si>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</si>
  <si>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</si>
  <si>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</si>
  <si>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</si>
  <si>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</si>
  <si>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</si>
  <si>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</si>
  <si>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</si>
  <si>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</si>
  <si>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</si>
  <si>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</si>
  <si>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</si>
  <si>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</si>
  <si>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</si>
  <si>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</si>
  <si>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</si>
  <si>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</si>
  <si>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</si>
  <si>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</si>
  <si>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</si>
  <si>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</si>
  <si>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</si>
  <si>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</si>
  <si>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</si>
  <si>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</si>
  <si>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</si>
  <si>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</si>
  <si>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</si>
  <si>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</si>
  <si>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</si>
  <si>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</si>
  <si>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</si>
  <si>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</si>
  <si>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</si>
  <si>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</si>
  <si>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</si>
  <si>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</si>
  <si>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</si>
  <si>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</si>
  <si>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</si>
  <si>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</si>
  <si>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</si>
  <si>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</si>
  <si>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</si>
  <si>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</si>
  <si>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</si>
  <si>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</si>
  <si>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</si>
  <si>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</si>
  <si>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</si>
  <si>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</si>
  <si>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</si>
  <si>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</si>
  <si>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</si>
  <si>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</si>
  <si>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</si>
  <si>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</si>
  <si>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</si>
  <si>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</si>
  <si>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</si>
  <si>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</si>
  <si>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</si>
  <si>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</si>
  <si>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</si>
  <si>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</si>
  <si>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</si>
  <si>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</si>
  <si>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</si>
  <si>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</si>
  <si>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</si>
  <si>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</si>
  <si>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</si>
  <si>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</si>
  <si>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</si>
  <si>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</si>
  <si>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</si>
  <si>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</si>
  <si>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</si>
  <si>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</si>
  <si>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</si>
  <si>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</si>
  <si>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</si>
  <si>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</si>
  <si>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</si>
  <si>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</si>
  <si>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</si>
  <si>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</si>
  <si>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</si>
  <si>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</si>
  <si>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</si>
  <si>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</si>
  <si>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</si>
  <si>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</si>
  <si>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</si>
  <si>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</si>
  <si>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</si>
  <si>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</si>
  <si>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</si>
  <si>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</si>
  <si>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</si>
  <si>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</si>
  <si>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</si>
  <si>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</si>
  <si>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</si>
  <si>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</si>
  <si>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</si>
  <si>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</si>
  <si>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</si>
  <si>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</si>
  <si>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</si>
  <si>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</si>
  <si>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</si>
  <si>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</si>
  <si>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</si>
  <si>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</si>
  <si>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</si>
  <si>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</si>
  <si>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</si>
  <si>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</si>
  <si>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</si>
  <si>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</si>
  <si>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</si>
  <si>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</si>
  <si>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</si>
  <si>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</si>
  <si>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</si>
  <si>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</si>
  <si>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</si>
  <si>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</si>
  <si>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</si>
  <si>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</si>
  <si>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</si>
  <si>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</si>
  <si>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</si>
  <si>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</si>
  <si>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</si>
  <si>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</si>
  <si>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</si>
  <si>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</si>
  <si>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</si>
  <si>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</si>
  <si>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</si>
  <si>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</si>
  <si>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</si>
  <si>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</si>
  <si>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</si>
  <si>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</si>
  <si>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</si>
  <si>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</si>
  <si>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</si>
  <si>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</si>
  <si>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</si>
  <si>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</si>
  <si>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</si>
  <si>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</si>
  <si>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</si>
  <si>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</si>
  <si>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</si>
  <si>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</si>
  <si>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</si>
  <si>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</si>
  <si>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</si>
  <si>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</si>
  <si>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</si>
  <si>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</si>
  <si>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</si>
  <si>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</si>
  <si>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</si>
  <si>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</si>
  <si>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</si>
  <si>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</si>
  <si>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</si>
  <si>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</si>
  <si>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</si>
  <si>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</si>
  <si>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</si>
  <si>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</si>
  <si>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</si>
  <si>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</si>
  <si>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</si>
  <si>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</si>
  <si>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</si>
  <si>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</si>
  <si>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</si>
  <si>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</si>
  <si>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</si>
  <si>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</si>
  <si>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</si>
  <si>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</si>
  <si>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</si>
  <si>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</si>
  <si>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</si>
  <si>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</si>
  <si>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</si>
  <si>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</si>
  <si>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</si>
  <si>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</si>
  <si>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</si>
  <si>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</si>
  <si>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</si>
  <si>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</si>
  <si>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</si>
  <si>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</si>
  <si>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</si>
  <si>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</si>
  <si>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</si>
  <si>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</si>
  <si>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</si>
  <si>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</si>
  <si>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</si>
  <si>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</si>
  <si>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</si>
  <si>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</si>
  <si>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</si>
  <si>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</si>
  <si>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</si>
  <si>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</si>
  <si>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</si>
  <si>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</si>
  <si>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</si>
  <si>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</si>
  <si>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</si>
  <si>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</si>
  <si>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</si>
  <si>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</si>
  <si>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</si>
  <si>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</si>
  <si>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</si>
  <si>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</si>
  <si>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</si>
  <si>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</si>
  <si>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</si>
  <si>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</si>
  <si>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</si>
  <si>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</si>
  <si>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</si>
  <si>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</si>
  <si>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</si>
  <si>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</si>
  <si>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</si>
  <si>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</si>
  <si>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</si>
  <si>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</si>
  <si>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</si>
  <si>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</si>
  <si>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</si>
  <si>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</si>
  <si>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</si>
  <si>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</si>
  <si>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</si>
  <si>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</si>
  <si>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</si>
  <si>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</si>
  <si>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</si>
  <si>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</si>
  <si>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</si>
  <si>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</si>
  <si>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</si>
  <si>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</si>
  <si>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</si>
  <si>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</si>
  <si>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</si>
  <si>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</si>
  <si>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</si>
  <si>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</si>
  <si>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</si>
  <si>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</si>
  <si>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</si>
  <si>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</si>
  <si>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</si>
  <si>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</si>
  <si>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</si>
  <si>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</si>
  <si>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</si>
  <si>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</si>
  <si>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</si>
  <si>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</si>
  <si>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</si>
  <si>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</si>
  <si>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</si>
  <si>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</si>
  <si>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</si>
  <si>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</si>
  <si>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</si>
  <si>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</si>
  <si>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</si>
  <si>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</si>
  <si>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</si>
  <si>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</si>
  <si>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</si>
  <si>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</si>
  <si>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</si>
  <si>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</si>
  <si>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</si>
  <si>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</si>
  <si>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</si>
  <si>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</si>
  <si>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</si>
  <si>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</si>
  <si>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</si>
  <si>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</si>
  <si>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</si>
  <si>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</si>
  <si>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</si>
  <si>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</si>
  <si>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</si>
  <si>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</si>
  <si>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</si>
  <si>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</si>
  <si>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</si>
  <si>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</si>
  <si>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</si>
  <si>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</si>
  <si>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</si>
  <si>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</si>
  <si>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</si>
  <si>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</si>
  <si>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</si>
  <si>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</si>
  <si>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</si>
  <si>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</si>
  <si>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</si>
  <si>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</si>
  <si>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</si>
  <si>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</si>
  <si>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</si>
  <si>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</si>
  <si>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</si>
  <si>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</si>
  <si>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</si>
  <si>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</si>
  <si>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</si>
  <si>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</si>
  <si>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</si>
  <si>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</si>
  <si>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</si>
  <si>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</si>
  <si>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</si>
  <si>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</si>
  <si>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</si>
  <si>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</si>
  <si>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</si>
  <si>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</si>
  <si>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</si>
  <si>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</si>
  <si>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</si>
  <si>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</si>
  <si>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</si>
  <si>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</si>
  <si>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</si>
  <si>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</si>
  <si>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</si>
  <si>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</si>
  <si>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</si>
  <si>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</si>
  <si>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</si>
  <si>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</si>
  <si>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</si>
  <si>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</si>
  <si>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</si>
  <si>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</si>
  <si>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</si>
  <si>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</si>
  <si>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</si>
  <si>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</si>
  <si>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</si>
  <si>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</si>
  <si>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</si>
  <si>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</si>
  <si>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</si>
  <si>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</si>
  <si>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</si>
  <si>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</si>
  <si>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</si>
  <si>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</si>
  <si>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</si>
  <si>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</si>
  <si>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</si>
  <si>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</si>
  <si>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</si>
  <si>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</si>
  <si>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</si>
  <si>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</si>
  <si>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</si>
  <si>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</si>
  <si>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</si>
  <si>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</si>
  <si>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</si>
  <si>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</si>
  <si>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</si>
  <si>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</si>
  <si>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</si>
  <si>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</si>
  <si>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</si>
  <si>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</si>
  <si>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</si>
  <si>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</si>
  <si>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</si>
  <si>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</si>
  <si>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</si>
  <si>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</si>
  <si>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</si>
  <si>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</si>
  <si>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</si>
  <si>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</si>
  <si>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</si>
  <si>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</si>
  <si>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</si>
  <si>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</si>
  <si>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</si>
  <si>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</si>
  <si>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</si>
  <si>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</si>
  <si>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</si>
  <si>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</si>
  <si>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</si>
  <si>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</si>
  <si>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</si>
  <si>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</si>
  <si>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</si>
  <si>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</si>
  <si>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</si>
  <si>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</si>
  <si>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</si>
  <si>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</si>
  <si>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</si>
  <si>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</si>
  <si>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</si>
  <si>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</si>
  <si>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</si>
  <si>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</si>
  <si>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</si>
  <si>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</si>
  <si>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</si>
  <si>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</si>
  <si>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</si>
  <si>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</si>
  <si>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</si>
  <si>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</si>
  <si>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</si>
  <si>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</si>
  <si>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</si>
  <si>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</si>
  <si>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</si>
  <si>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</si>
  <si>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</si>
  <si>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</si>
  <si>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</si>
  <si>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</si>
  <si>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</si>
  <si>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</si>
  <si>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</si>
  <si>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</si>
  <si>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</si>
  <si>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</si>
  <si>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</si>
  <si>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</si>
  <si>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</si>
  <si>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</si>
  <si>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</si>
  <si>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</si>
  <si>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</si>
  <si>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</si>
  <si>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</si>
  <si>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</si>
  <si>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</si>
  <si>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</si>
  <si>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</si>
  <si>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</si>
  <si>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</si>
  <si>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</si>
  <si>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</si>
  <si>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</si>
  <si>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</si>
  <si>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</si>
  <si>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</si>
  <si>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</si>
  <si>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</si>
  <si>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</si>
  <si>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</si>
  <si>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</si>
  <si>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</si>
  <si>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</si>
  <si>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</si>
  <si>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</si>
  <si>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</si>
  <si>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</si>
  <si>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</si>
  <si>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</si>
  <si>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</si>
  <si>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</si>
  <si>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</si>
  <si>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</si>
  <si>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</si>
  <si>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</si>
  <si>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</si>
  <si>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</si>
  <si>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</si>
  <si>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</si>
  <si>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</si>
  <si>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</si>
  <si>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</si>
  <si>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</si>
  <si>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</si>
  <si>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</si>
  <si>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</si>
  <si>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</si>
  <si>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</si>
  <si>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</si>
  <si>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</si>
  <si>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</si>
  <si>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</si>
  <si>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</si>
  <si>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</si>
  <si>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</si>
  <si>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</si>
  <si>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</si>
  <si>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</si>
  <si>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</si>
  <si>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</si>
  <si>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</si>
  <si>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</si>
  <si>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</si>
  <si>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</si>
  <si>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</si>
  <si>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</si>
  <si>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</si>
  <si>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</si>
  <si>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</si>
  <si>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</si>
  <si>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</si>
  <si>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</si>
  <si>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</si>
  <si>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</si>
  <si>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</si>
  <si>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</si>
  <si>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</si>
  <si>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</si>
  <si>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</si>
  <si>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</si>
  <si>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</si>
  <si>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</si>
  <si>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</si>
  <si>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</si>
  <si>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</si>
  <si>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</si>
  <si>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</si>
  <si>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</si>
  <si>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</si>
  <si>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</si>
  <si>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</si>
  <si>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</si>
  <si>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</si>
  <si>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</si>
  <si>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</si>
  <si>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</si>
  <si>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</si>
  <si>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</si>
  <si>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</si>
  <si>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</si>
  <si>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</si>
  <si>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</si>
  <si>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</si>
  <si>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</si>
  <si>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</si>
  <si>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</si>
  <si>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</si>
  <si>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</si>
  <si>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</si>
  <si>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</si>
  <si>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</si>
  <si>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</si>
  <si>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</si>
  <si>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</si>
  <si>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</si>
  <si>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</si>
  <si>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</si>
  <si>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</si>
  <si>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</si>
  <si>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</si>
  <si>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</si>
  <si>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</si>
  <si>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</si>
  <si>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</si>
  <si>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</si>
  <si>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</si>
  <si>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</si>
  <si>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</si>
  <si>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</si>
  <si>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</si>
  <si>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</si>
  <si>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</si>
  <si>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</si>
  <si>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</si>
  <si>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</si>
  <si>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</si>
  <si>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</si>
  <si>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</si>
  <si>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</si>
  <si>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</si>
  <si>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</si>
  <si>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</si>
  <si>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</si>
  <si>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</si>
  <si>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</si>
  <si>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</si>
  <si>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</si>
  <si>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</si>
  <si>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</si>
  <si>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</si>
  <si>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</si>
  <si>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</si>
  <si>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</si>
  <si>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</si>
  <si>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</si>
  <si>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</si>
  <si>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</si>
  <si>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</si>
  <si>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</si>
  <si>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</si>
  <si>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</si>
  <si>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</si>
  <si>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</si>
  <si>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</si>
  <si>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</si>
  <si>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</si>
  <si>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</si>
  <si>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</si>
  <si>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</si>
  <si>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</si>
  <si>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</si>
  <si>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</si>
  <si>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</si>
  <si>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</si>
  <si>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</si>
  <si>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</si>
  <si>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</si>
  <si>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</si>
  <si>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</si>
  <si>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</si>
  <si>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</si>
  <si>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</si>
  <si>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</si>
  <si>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</si>
  <si>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</si>
  <si>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</si>
  <si>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</si>
  <si>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</si>
  <si>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</si>
  <si>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</si>
  <si>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</si>
  <si>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</si>
  <si>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</si>
  <si>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</si>
  <si>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</si>
  <si>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</si>
  <si>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</si>
  <si>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</si>
  <si>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</si>
  <si>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</si>
  <si>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</si>
  <si>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</si>
  <si>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</si>
  <si>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</si>
  <si>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</si>
  <si>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</si>
  <si>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</si>
  <si>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</si>
  <si>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</si>
  <si>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</si>
  <si>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</si>
  <si>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</si>
  <si>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</si>
  <si>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</si>
  <si>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</si>
  <si>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</si>
  <si>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</si>
  <si>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</si>
  <si>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</si>
  <si>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</si>
  <si>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</si>
  <si>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</si>
  <si>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</si>
  <si>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</si>
  <si>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</si>
  <si>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</si>
  <si>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</si>
  <si>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</si>
  <si>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</si>
  <si>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</si>
  <si>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</si>
  <si>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</si>
  <si>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</si>
  <si>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</si>
  <si>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</si>
  <si>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</si>
  <si>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</si>
  <si>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</si>
  <si>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</si>
  <si>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</si>
  <si>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</si>
  <si>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</si>
  <si>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</si>
  <si>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</si>
  <si>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</si>
  <si>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</si>
  <si>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</si>
  <si>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</si>
  <si>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</si>
  <si>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</si>
  <si>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</si>
  <si>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</si>
  <si>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</si>
  <si>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</si>
  <si>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</si>
  <si>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</si>
  <si>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</si>
  <si>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</si>
  <si>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</si>
  <si>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</si>
  <si>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</si>
  <si>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</si>
  <si>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</si>
  <si>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</si>
  <si>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</si>
  <si>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</si>
  <si>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</si>
  <si>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</si>
  <si>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</si>
  <si>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</si>
  <si>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</si>
  <si>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</si>
  <si>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</si>
  <si>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</si>
  <si>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</si>
  <si>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</si>
  <si>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</si>
  <si>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</si>
  <si>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</si>
  <si>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</si>
  <si>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</si>
  <si>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</si>
  <si>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</si>
  <si>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</si>
  <si>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</si>
  <si>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</si>
  <si>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</si>
  <si>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</si>
  <si>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</si>
  <si>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</si>
  <si>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</si>
  <si>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</si>
  <si>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</si>
  <si>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</si>
  <si>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</si>
  <si>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</si>
  <si>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</si>
  <si>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</si>
  <si>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</si>
  <si>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</si>
  <si>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</si>
  <si>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</si>
  <si>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</si>
  <si>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</si>
  <si>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</si>
  <si>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</si>
  <si>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</si>
  <si>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</si>
  <si>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</si>
  <si>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</si>
  <si>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</si>
  <si>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</si>
  <si>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</si>
  <si>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</si>
  <si>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</si>
  <si>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</si>
  <si>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</si>
  <si>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</si>
  <si>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</si>
  <si>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</si>
  <si>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</si>
  <si>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</si>
  <si>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</si>
  <si>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</si>
  <si>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</si>
  <si>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</si>
  <si>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</si>
  <si>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</si>
  <si>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</si>
  <si>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</si>
  <si>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</si>
  <si>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</si>
  <si>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</si>
  <si>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</si>
  <si>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</si>
  <si>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</si>
  <si>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</si>
  <si>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</si>
  <si>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</si>
  <si>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</si>
  <si>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</si>
  <si>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</si>
  <si>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</si>
  <si>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</si>
  <si>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</si>
  <si>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</si>
  <si>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</si>
  <si>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</si>
  <si>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</si>
  <si>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</si>
  <si>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</si>
  <si>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</si>
  <si>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</si>
  <si>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</si>
  <si>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</si>
  <si>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</si>
  <si>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</si>
  <si>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</si>
  <si>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</si>
  <si>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</si>
  <si>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</si>
  <si>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</si>
  <si>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</si>
  <si>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</si>
  <si>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</si>
  <si>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</si>
  <si>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</si>
  <si>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</si>
  <si>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</si>
  <si>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</si>
  <si>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</si>
  <si>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</si>
  <si>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</si>
  <si>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</si>
  <si>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</si>
  <si>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</si>
  <si>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</si>
  <si>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</si>
  <si>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</si>
  <si>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</si>
  <si>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</si>
  <si>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</si>
  <si>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</si>
  <si>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</si>
  <si>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</si>
  <si>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</si>
  <si>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</si>
  <si>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</si>
  <si>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</si>
  <si>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</si>
  <si>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</si>
  <si>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</si>
  <si>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</si>
  <si>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</si>
  <si>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</si>
  <si>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</si>
  <si>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</si>
  <si>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</si>
  <si>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</si>
  <si>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</si>
  <si>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</si>
  <si>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</si>
  <si>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</si>
  <si>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</si>
  <si>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</si>
  <si>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</si>
  <si>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</si>
  <si>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</si>
  <si>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</si>
  <si>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</si>
  <si>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</si>
  <si>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</si>
  <si>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</si>
  <si>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</si>
  <si>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</si>
  <si>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</si>
  <si>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</si>
  <si>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</si>
  <si>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</si>
  <si>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</si>
  <si>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</si>
  <si>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</si>
  <si>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</si>
  <si>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</si>
  <si>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</si>
  <si>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</si>
  <si>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</si>
  <si>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</si>
  <si>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</si>
  <si>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</si>
  <si>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</si>
  <si>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</si>
  <si>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</si>
  <si>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</si>
  <si>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</si>
  <si>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</si>
  <si>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</si>
  <si>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</si>
  <si>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</si>
  <si>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</si>
  <si>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</si>
  <si>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</si>
  <si>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</si>
  <si>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</si>
  <si>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</si>
  <si>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</si>
  <si>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</si>
  <si>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</si>
  <si>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</si>
  <si>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</si>
  <si>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</si>
  <si>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</si>
  <si>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</si>
  <si>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</si>
  <si>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</si>
  <si>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</si>
  <si>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</si>
  <si>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</si>
  <si>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</si>
  <si>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</si>
  <si>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</si>
  <si>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</si>
  <si>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</si>
  <si>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</si>
  <si>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</si>
  <si>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</si>
  <si>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</si>
  <si>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</si>
  <si>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</si>
  <si>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</si>
  <si>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</si>
  <si>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</si>
  <si>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</si>
  <si>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</si>
  <si>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</si>
  <si>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</si>
  <si>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</si>
  <si>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</si>
  <si>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</si>
  <si>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</si>
  <si>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</si>
  <si>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</si>
  <si>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</si>
  <si>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</si>
  <si>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</si>
  <si>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</si>
  <si>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</si>
  <si>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</si>
  <si>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</si>
  <si>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</si>
  <si>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</si>
  <si>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</si>
  <si>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</si>
  <si>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</si>
  <si>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</si>
  <si>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</si>
  <si>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</si>
  <si>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</si>
  <si>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</si>
  <si>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</si>
  <si>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</si>
  <si>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</si>
  <si>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</si>
  <si>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</si>
  <si>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</si>
  <si>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</si>
  <si>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</si>
  <si>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</si>
  <si>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</si>
  <si>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</si>
  <si>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</si>
  <si>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</si>
  <si>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</si>
  <si>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</si>
  <si>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</si>
  <si>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</si>
  <si>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</si>
  <si>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</si>
  <si>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</si>
  <si>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</si>
  <si>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</si>
  <si>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</si>
  <si>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</si>
  <si>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</si>
  <si>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</si>
  <si>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</si>
  <si>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</si>
  <si>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</si>
  <si>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</si>
  <si>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</si>
  <si>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</si>
  <si>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</si>
  <si>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</si>
  <si>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</si>
  <si>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</si>
  <si>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</si>
  <si>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</si>
  <si>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</si>
  <si>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</si>
  <si>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</si>
  <si>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</si>
  <si>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</si>
  <si>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</si>
  <si>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</si>
  <si>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</si>
  <si>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</si>
  <si>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</si>
  <si>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</si>
  <si>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</si>
  <si>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</si>
  <si>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</si>
  <si>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</si>
  <si>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</si>
  <si>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</si>
  <si>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</si>
  <si>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</si>
  <si>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</si>
  <si>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</si>
  <si>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</si>
  <si>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</si>
  <si>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</si>
  <si>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</si>
  <si>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</si>
  <si>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</si>
  <si>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</si>
  <si>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</si>
  <si>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</si>
  <si>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</si>
  <si>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</si>
  <si>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</si>
  <si>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</si>
  <si>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</si>
  <si>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</si>
  <si>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</si>
  <si>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</si>
  <si>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</si>
  <si>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</si>
  <si>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</si>
  <si>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</si>
  <si>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</si>
  <si>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</si>
  <si>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</si>
  <si>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</si>
  <si>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</si>
  <si>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</si>
  <si>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</si>
  <si>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</si>
  <si>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</si>
  <si>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</si>
  <si>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</si>
  <si>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</si>
  <si>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</si>
  <si>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</si>
  <si>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</si>
  <si>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</si>
  <si>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</si>
  <si>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</si>
  <si>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</si>
  <si>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</si>
  <si>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</si>
  <si>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</si>
  <si>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</si>
  <si>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</si>
  <si>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</si>
  <si>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</si>
  <si>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</si>
  <si>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</si>
  <si>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</si>
  <si>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</si>
  <si>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</si>
  <si>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</si>
  <si>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</si>
  <si>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</si>
  <si>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</si>
  <si>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</si>
  <si>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</si>
  <si>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</si>
  <si>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</si>
  <si>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</si>
  <si>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</si>
  <si>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</si>
  <si>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</si>
  <si>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</si>
  <si>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</si>
  <si>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</si>
  <si>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</si>
  <si>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</si>
  <si>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</si>
  <si>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</si>
  <si>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</si>
  <si>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</si>
  <si>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</si>
  <si>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</si>
  <si>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</si>
  <si>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</si>
  <si>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</si>
  <si>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</si>
  <si>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</si>
  <si>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</si>
  <si>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</si>
  <si>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</si>
  <si>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</si>
  <si>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</si>
  <si>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</si>
  <si>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郑燚</t>
  </si>
  <si>
    <t>崔锴</t>
  </si>
  <si>
    <t>其他：</t>
  </si>
  <si>
    <t>天津市</t>
    <phoneticPr fontId="6" type="noConversion"/>
  </si>
  <si>
    <t>企业</t>
  </si>
  <si>
    <t>天津海泽源房地产开发有限公司</t>
    <phoneticPr fontId="6" type="noConversion"/>
  </si>
  <si>
    <t>南开区卫津南路西侧柏悦花园</t>
    <phoneticPr fontId="6" type="noConversion"/>
  </si>
  <si>
    <t>居住</t>
    <phoneticPr fontId="6" type="noConversion"/>
  </si>
  <si>
    <t>是</t>
  </si>
  <si>
    <t>居住项目</t>
  </si>
  <si>
    <t>现房</t>
  </si>
  <si>
    <t>坐落</t>
    <phoneticPr fontId="134" type="noConversion"/>
  </si>
  <si>
    <t>不动产权证号</t>
    <phoneticPr fontId="134" type="noConversion"/>
  </si>
  <si>
    <t>幢号</t>
    <phoneticPr fontId="134" type="noConversion"/>
  </si>
  <si>
    <t>房屋结构</t>
    <phoneticPr fontId="134" type="noConversion"/>
  </si>
  <si>
    <t>层数</t>
    <phoneticPr fontId="134" type="noConversion"/>
  </si>
  <si>
    <t>所在层</t>
    <phoneticPr fontId="134" type="noConversion"/>
  </si>
  <si>
    <t>规划用途</t>
    <phoneticPr fontId="134" type="noConversion"/>
  </si>
  <si>
    <t>建筑面积</t>
    <phoneticPr fontId="134" type="noConversion"/>
  </si>
  <si>
    <t>不动产登记证明号</t>
    <phoneticPr fontId="134" type="noConversion"/>
  </si>
  <si>
    <t>被担保主债权数额/最高债权数额</t>
    <phoneticPr fontId="134" type="noConversion"/>
  </si>
  <si>
    <t>津（2023）南开区不动产权第0226455号</t>
    <phoneticPr fontId="134" type="noConversion"/>
  </si>
  <si>
    <r>
      <t>南开区卫津南路西侧柏悦花园2</t>
    </r>
    <r>
      <rPr>
        <sz val="11"/>
        <color theme="1"/>
        <rFont val="宋体"/>
        <family val="3"/>
        <charset val="134"/>
        <scheme val="minor"/>
      </rPr>
      <t>-1-2401</t>
    </r>
    <phoneticPr fontId="134" type="noConversion"/>
  </si>
  <si>
    <r>
      <t>2</t>
    </r>
    <r>
      <rPr>
        <sz val="11"/>
        <color theme="1"/>
        <rFont val="宋体"/>
        <family val="3"/>
        <charset val="134"/>
        <scheme val="minor"/>
      </rPr>
      <t>-1-2401</t>
    </r>
    <phoneticPr fontId="134" type="noConversion"/>
  </si>
  <si>
    <t>钢混结构</t>
    <phoneticPr fontId="134" type="noConversion"/>
  </si>
  <si>
    <r>
      <t>4</t>
    </r>
    <r>
      <rPr>
        <sz val="11"/>
        <color theme="1"/>
        <rFont val="宋体"/>
        <family val="3"/>
        <charset val="134"/>
        <scheme val="minor"/>
      </rPr>
      <t>3004141126770</t>
    </r>
    <phoneticPr fontId="134" type="noConversion"/>
  </si>
  <si>
    <r>
      <t>4</t>
    </r>
    <r>
      <rPr>
        <sz val="11"/>
        <color theme="1"/>
        <rFont val="宋体"/>
        <family val="3"/>
        <charset val="134"/>
        <scheme val="minor"/>
      </rPr>
      <t>3004141129770</t>
    </r>
    <phoneticPr fontId="134" type="noConversion"/>
  </si>
  <si>
    <t>津（2023）南开区不动产权第0226433号</t>
    <phoneticPr fontId="134" type="noConversion"/>
  </si>
  <si>
    <r>
      <t>2</t>
    </r>
    <r>
      <rPr>
        <sz val="11"/>
        <color theme="1"/>
        <rFont val="宋体"/>
        <family val="3"/>
        <charset val="134"/>
        <scheme val="minor"/>
      </rPr>
      <t>-1-902</t>
    </r>
    <phoneticPr fontId="134" type="noConversion"/>
  </si>
  <si>
    <t>居住</t>
    <phoneticPr fontId="134" type="noConversion"/>
  </si>
  <si>
    <t>2-1-2602</t>
    <phoneticPr fontId="134" type="noConversion"/>
  </si>
  <si>
    <t>津（2023）南开区不动产权第0226449号</t>
    <phoneticPr fontId="134" type="noConversion"/>
  </si>
  <si>
    <t>津（2023）南开区不动产权第0226450号</t>
    <phoneticPr fontId="134" type="noConversion"/>
  </si>
  <si>
    <t>2-1-2603</t>
    <phoneticPr fontId="134" type="noConversion"/>
  </si>
  <si>
    <t>2-1-2604</t>
    <phoneticPr fontId="134" type="noConversion"/>
  </si>
  <si>
    <t>3-1-103</t>
    <phoneticPr fontId="134" type="noConversion"/>
  </si>
  <si>
    <r>
      <t>4</t>
    </r>
    <r>
      <rPr>
        <sz val="11"/>
        <color theme="1"/>
        <rFont val="宋体"/>
        <family val="3"/>
        <charset val="134"/>
        <scheme val="minor"/>
      </rPr>
      <t>3004141126768</t>
    </r>
    <phoneticPr fontId="134" type="noConversion"/>
  </si>
  <si>
    <r>
      <t>抵押范围9</t>
    </r>
    <r>
      <rPr>
        <sz val="11"/>
        <color theme="1"/>
        <rFont val="宋体"/>
        <family val="3"/>
        <charset val="134"/>
        <scheme val="minor"/>
      </rPr>
      <t>4.93</t>
    </r>
    <phoneticPr fontId="134" type="noConversion"/>
  </si>
  <si>
    <t>2-1-2701</t>
    <phoneticPr fontId="134" type="noConversion"/>
  </si>
  <si>
    <t>3-1-104</t>
    <phoneticPr fontId="134" type="noConversion"/>
  </si>
  <si>
    <t>2-1-302</t>
    <phoneticPr fontId="134" type="noConversion"/>
  </si>
  <si>
    <t>3-1-1405</t>
    <phoneticPr fontId="134" type="noConversion"/>
  </si>
  <si>
    <t>5-1-102</t>
    <phoneticPr fontId="134" type="noConversion"/>
  </si>
  <si>
    <t>1-1-103</t>
    <phoneticPr fontId="134" type="noConversion"/>
  </si>
  <si>
    <r>
      <t>4</t>
    </r>
    <r>
      <rPr>
        <sz val="11"/>
        <color theme="1"/>
        <rFont val="宋体"/>
        <family val="3"/>
        <charset val="134"/>
        <scheme val="minor"/>
      </rPr>
      <t>3004141126767</t>
    </r>
    <phoneticPr fontId="134" type="noConversion"/>
  </si>
  <si>
    <r>
      <t>4</t>
    </r>
    <r>
      <rPr>
        <sz val="11"/>
        <color theme="1"/>
        <rFont val="宋体"/>
        <family val="3"/>
        <charset val="134"/>
        <scheme val="minor"/>
      </rPr>
      <t>3004141126769</t>
    </r>
    <phoneticPr fontId="134" type="noConversion"/>
  </si>
  <si>
    <t>1-1-2504</t>
    <phoneticPr fontId="134" type="noConversion"/>
  </si>
  <si>
    <t>1-1-2603</t>
    <phoneticPr fontId="134" type="noConversion"/>
  </si>
  <si>
    <t>1-1-2604</t>
    <phoneticPr fontId="134" type="noConversion"/>
  </si>
  <si>
    <t>1-1-2701</t>
    <phoneticPr fontId="134" type="noConversion"/>
  </si>
  <si>
    <t>1-1-2702</t>
    <phoneticPr fontId="134" type="noConversion"/>
  </si>
  <si>
    <t>1-1-2703</t>
    <phoneticPr fontId="134" type="noConversion"/>
  </si>
  <si>
    <t>1-1-1904</t>
    <phoneticPr fontId="134" type="noConversion"/>
  </si>
  <si>
    <t>1-1-2202</t>
    <phoneticPr fontId="134" type="noConversion"/>
  </si>
  <si>
    <t>1-1-1104</t>
    <phoneticPr fontId="134" type="noConversion"/>
  </si>
  <si>
    <t>1-1-703</t>
    <phoneticPr fontId="134" type="noConversion"/>
  </si>
  <si>
    <t>1-1-804</t>
    <phoneticPr fontId="134" type="noConversion"/>
  </si>
  <si>
    <t>1-1-1503</t>
    <phoneticPr fontId="134" type="noConversion"/>
  </si>
  <si>
    <t>1-1-1603</t>
    <phoneticPr fontId="134" type="noConversion"/>
  </si>
  <si>
    <t>1-1-1604</t>
    <phoneticPr fontId="134" type="noConversion"/>
  </si>
  <si>
    <t>1-1-1704</t>
    <phoneticPr fontId="134" type="noConversion"/>
  </si>
  <si>
    <t>津（2023）南开区不动产权第0226451号</t>
    <phoneticPr fontId="134" type="noConversion"/>
  </si>
  <si>
    <t>津（2023）南开区不动产权第0226523号</t>
    <phoneticPr fontId="134" type="noConversion"/>
  </si>
  <si>
    <t>津（2023）南开区不动产权第0226452号</t>
    <phoneticPr fontId="134" type="noConversion"/>
  </si>
  <si>
    <t>津（2023）南开区不动产权第0226524号</t>
    <phoneticPr fontId="134" type="noConversion"/>
  </si>
  <si>
    <t>津（2023）南开区不动产权第0226422号</t>
    <phoneticPr fontId="134" type="noConversion"/>
  </si>
  <si>
    <t>津（2023）南开区不动产权第0226530号</t>
    <phoneticPr fontId="134" type="noConversion"/>
  </si>
  <si>
    <t>津（2023）南开区不动产权第0226426号</t>
    <phoneticPr fontId="134" type="noConversion"/>
  </si>
  <si>
    <t>津（2023）南开区不动产权第0226585号</t>
    <phoneticPr fontId="134" type="noConversion"/>
  </si>
  <si>
    <t>津（2023）南开区不动产权第0226341号</t>
    <phoneticPr fontId="134" type="noConversion"/>
  </si>
  <si>
    <t>津（2023）南开区不动产权第0226350号</t>
    <phoneticPr fontId="134" type="noConversion"/>
  </si>
  <si>
    <t>津（2023）南开区不动产权第0226351号</t>
    <phoneticPr fontId="134" type="noConversion"/>
  </si>
  <si>
    <t>津（2023）南开区不动产权第0226339号</t>
    <phoneticPr fontId="134" type="noConversion"/>
  </si>
  <si>
    <t>津（2023）南开区不动产权第0226352号</t>
    <phoneticPr fontId="134" type="noConversion"/>
  </si>
  <si>
    <t>津（2023）南开区不动产权第0226353号</t>
    <phoneticPr fontId="134" type="noConversion"/>
  </si>
  <si>
    <t>津（2023）南开区不动产权第0226354号</t>
    <phoneticPr fontId="134" type="noConversion"/>
  </si>
  <si>
    <t>津（2023）南开区不动产权第0226342号</t>
    <phoneticPr fontId="134" type="noConversion"/>
  </si>
  <si>
    <t>津（2023）南开区不动产权第0226344号</t>
    <phoneticPr fontId="134" type="noConversion"/>
  </si>
  <si>
    <t>津（2023）南开区不动产权第0226332号</t>
    <phoneticPr fontId="134" type="noConversion"/>
  </si>
  <si>
    <t>津（2023）南开区不动产权第0226338号</t>
    <phoneticPr fontId="134" type="noConversion"/>
  </si>
  <si>
    <t>津（2023）南开区不动产权第0226330号</t>
    <phoneticPr fontId="134" type="noConversion"/>
  </si>
  <si>
    <t>津（2023）南开区不动产权第0226333号</t>
    <phoneticPr fontId="134" type="noConversion"/>
  </si>
  <si>
    <t>津（2023）南开区不动产权第0226335号</t>
    <phoneticPr fontId="134" type="noConversion"/>
  </si>
  <si>
    <t>津（2023）南开区不动产权第0226336号</t>
    <phoneticPr fontId="134" type="noConversion"/>
  </si>
  <si>
    <t>津（2023）南开区不动产权第0226337号</t>
    <phoneticPr fontId="134" type="noConversion"/>
  </si>
  <si>
    <t>津（2023）南开区不动产权第0226347号</t>
    <phoneticPr fontId="134" type="noConversion"/>
  </si>
  <si>
    <t>1-1-2403</t>
    <phoneticPr fontId="134" type="noConversion"/>
  </si>
  <si>
    <t>津（2023）南开区不动产权第0226425号</t>
    <phoneticPr fontId="134" type="noConversion"/>
  </si>
  <si>
    <t>2-1-502</t>
    <phoneticPr fontId="134" type="noConversion"/>
  </si>
  <si>
    <t>津（2023）南开区不动产权第0226424号</t>
    <phoneticPr fontId="134" type="noConversion"/>
  </si>
  <si>
    <t>2-1-403</t>
    <phoneticPr fontId="134" type="noConversion"/>
  </si>
  <si>
    <t>津（2023）南开区不动产权第0226423号</t>
    <phoneticPr fontId="134" type="noConversion"/>
  </si>
  <si>
    <t>2-1-402</t>
    <phoneticPr fontId="134" type="noConversion"/>
  </si>
  <si>
    <t>津（2023）南开区不动产权第0226349号</t>
    <phoneticPr fontId="134" type="noConversion"/>
  </si>
  <si>
    <t>1-1-2503</t>
    <phoneticPr fontId="134" type="noConversion"/>
  </si>
  <si>
    <t>津（2023）南开区不动产权第0226348号</t>
    <phoneticPr fontId="134" type="noConversion"/>
  </si>
  <si>
    <t>1-1-2404</t>
    <phoneticPr fontId="134" type="noConversion"/>
  </si>
  <si>
    <t>津（2023）南开区不动产权第0226345号</t>
    <phoneticPr fontId="134" type="noConversion"/>
  </si>
  <si>
    <t>1-1-2204</t>
    <phoneticPr fontId="134" type="noConversion"/>
  </si>
  <si>
    <t>津（2023）南开区不动产权第0226346号</t>
    <phoneticPr fontId="134" type="noConversion"/>
  </si>
  <si>
    <t>1-1-2402</t>
    <phoneticPr fontId="134" type="noConversion"/>
  </si>
  <si>
    <t>津（2023）南开区不动产权第0226440号</t>
    <phoneticPr fontId="134" type="noConversion"/>
  </si>
  <si>
    <t>2-1-1601</t>
    <phoneticPr fontId="134" type="noConversion"/>
  </si>
  <si>
    <t>津（2023）南开区不动产权第0226443号</t>
    <phoneticPr fontId="134" type="noConversion"/>
  </si>
  <si>
    <t>2-1-1701</t>
    <phoneticPr fontId="134" type="noConversion"/>
  </si>
  <si>
    <t>津（2023）南开区不动产权第0226445号</t>
    <phoneticPr fontId="134" type="noConversion"/>
  </si>
  <si>
    <t>2-1-1703</t>
    <phoneticPr fontId="134" type="noConversion"/>
  </si>
  <si>
    <t>津（2023）南开区不动产权第0226444号</t>
    <phoneticPr fontId="134" type="noConversion"/>
  </si>
  <si>
    <t>2-1-1702</t>
    <phoneticPr fontId="134" type="noConversion"/>
  </si>
  <si>
    <t>津（2023）南开区不动产权第0226446号</t>
    <phoneticPr fontId="134" type="noConversion"/>
  </si>
  <si>
    <t>2-1-1803</t>
    <phoneticPr fontId="134" type="noConversion"/>
  </si>
  <si>
    <t>津（2023）南开区不动产权第0226436号</t>
    <phoneticPr fontId="134" type="noConversion"/>
  </si>
  <si>
    <t>2-1-1203</t>
    <phoneticPr fontId="134" type="noConversion"/>
  </si>
  <si>
    <t>津（2023）南开区不动产权第0226584号</t>
    <phoneticPr fontId="134" type="noConversion"/>
  </si>
  <si>
    <t>5-1-2501</t>
    <phoneticPr fontId="134" type="noConversion"/>
  </si>
  <si>
    <t>津（2023）南开区不动产权第0226438号</t>
    <phoneticPr fontId="134" type="noConversion"/>
  </si>
  <si>
    <t>2-1-1402</t>
    <phoneticPr fontId="134" type="noConversion"/>
  </si>
  <si>
    <t>津（2023）南开区不动产权第0226439号</t>
    <phoneticPr fontId="134" type="noConversion"/>
  </si>
  <si>
    <t>2-1-1403</t>
    <phoneticPr fontId="134" type="noConversion"/>
  </si>
  <si>
    <t>津（2023）南开区不动产权第0226442号</t>
    <phoneticPr fontId="134" type="noConversion"/>
  </si>
  <si>
    <t>2-1-102</t>
    <phoneticPr fontId="134" type="noConversion"/>
  </si>
  <si>
    <t>津（2023）南开区不动产权第0226586号</t>
    <phoneticPr fontId="134" type="noConversion"/>
  </si>
  <si>
    <t>5-1-103</t>
    <phoneticPr fontId="134" type="noConversion"/>
  </si>
  <si>
    <t>津（2023）南开区不动产权第0226434号</t>
    <phoneticPr fontId="134" type="noConversion"/>
  </si>
  <si>
    <t>2-1-1202</t>
    <phoneticPr fontId="134" type="noConversion"/>
  </si>
  <si>
    <t>津（2023）南开区不动产权第0226583号</t>
    <phoneticPr fontId="134" type="noConversion"/>
  </si>
  <si>
    <t>5-1-2402</t>
    <phoneticPr fontId="134" type="noConversion"/>
  </si>
  <si>
    <r>
      <t>2</t>
    </r>
    <r>
      <rPr>
        <sz val="11"/>
        <color theme="1"/>
        <rFont val="宋体"/>
        <family val="3"/>
        <charset val="134"/>
        <scheme val="minor"/>
      </rPr>
      <t>4-25</t>
    </r>
    <phoneticPr fontId="134" type="noConversion"/>
  </si>
  <si>
    <t>津（2023）南开区不动产权第0226340号</t>
    <phoneticPr fontId="134" type="noConversion"/>
  </si>
  <si>
    <t>1-1-102</t>
    <phoneticPr fontId="134" type="noConversion"/>
  </si>
  <si>
    <t>津（2023）南开区不动产权第0226591号</t>
    <phoneticPr fontId="134" type="noConversion"/>
  </si>
  <si>
    <t>5-1-803</t>
    <phoneticPr fontId="134" type="noConversion"/>
  </si>
  <si>
    <t>津（2023）南开区不动产权第0226428号</t>
    <phoneticPr fontId="134" type="noConversion"/>
  </si>
  <si>
    <t>2-1-602</t>
    <phoneticPr fontId="134" type="noConversion"/>
  </si>
  <si>
    <t>津（2023）南开区不动产权第0226447号</t>
    <phoneticPr fontId="134" type="noConversion"/>
  </si>
  <si>
    <t>2-1-1902</t>
    <phoneticPr fontId="134" type="noConversion"/>
  </si>
  <si>
    <t>津（2023）南开区不动产权第0226430号</t>
    <phoneticPr fontId="134" type="noConversion"/>
  </si>
  <si>
    <t>2-1-702</t>
    <phoneticPr fontId="134" type="noConversion"/>
  </si>
  <si>
    <t>津（2023）南开区不动产权第0226448号</t>
    <phoneticPr fontId="134" type="noConversion"/>
  </si>
  <si>
    <t>2-1-1903</t>
    <phoneticPr fontId="134" type="noConversion"/>
  </si>
  <si>
    <t>津（2023）南开区不动产权第0226431号</t>
    <phoneticPr fontId="134" type="noConversion"/>
  </si>
  <si>
    <t>2-1-802</t>
    <phoneticPr fontId="134" type="noConversion"/>
  </si>
  <si>
    <t>津（2023）南开区不动产权第0226453号</t>
    <phoneticPr fontId="134" type="noConversion"/>
  </si>
  <si>
    <t>2-1-2302</t>
    <phoneticPr fontId="134" type="noConversion"/>
  </si>
  <si>
    <t>津（2023）南开区不动产权第0226454号</t>
    <phoneticPr fontId="134" type="noConversion"/>
  </si>
  <si>
    <t>2-1-2303</t>
    <phoneticPr fontId="134" type="noConversion"/>
  </si>
  <si>
    <t>津（2023）南开区不动产权第0226435号</t>
    <phoneticPr fontId="134" type="noConversion"/>
  </si>
  <si>
    <t>2-1-803</t>
    <phoneticPr fontId="134" type="noConversion"/>
  </si>
  <si>
    <t>序号</t>
    <phoneticPr fontId="134" type="noConversion"/>
  </si>
  <si>
    <t>重复</t>
    <phoneticPr fontId="134" type="noConversion"/>
  </si>
  <si>
    <t>楼号</t>
    <phoneticPr fontId="134" type="noConversion"/>
  </si>
  <si>
    <t>房号</t>
    <phoneticPr fontId="134" type="noConversion"/>
  </si>
  <si>
    <t>楼层</t>
    <phoneticPr fontId="134" type="noConversion"/>
  </si>
  <si>
    <t>2-1-503</t>
    <phoneticPr fontId="134" type="noConversion"/>
  </si>
  <si>
    <t>备注</t>
    <phoneticPr fontId="134" type="noConversion"/>
  </si>
  <si>
    <t>跃层</t>
    <phoneticPr fontId="134" type="noConversion"/>
  </si>
  <si>
    <t>钢混</t>
  </si>
  <si>
    <t>低楼层</t>
    <phoneticPr fontId="134" type="noConversion"/>
  </si>
  <si>
    <t>中楼层</t>
    <phoneticPr fontId="134" type="noConversion"/>
  </si>
  <si>
    <t>高楼层</t>
    <phoneticPr fontId="134" type="noConversion"/>
  </si>
  <si>
    <t>共29层，分三个区，每区10层</t>
    <phoneticPr fontId="134" type="noConversion"/>
  </si>
  <si>
    <r>
      <t>1</t>
    </r>
    <r>
      <rPr>
        <sz val="11"/>
        <color theme="1"/>
        <rFont val="宋体"/>
        <family val="3"/>
        <charset val="134"/>
        <scheme val="minor"/>
      </rPr>
      <t>-10层</t>
    </r>
    <phoneticPr fontId="134" type="noConversion"/>
  </si>
  <si>
    <r>
      <t>1</t>
    </r>
    <r>
      <rPr>
        <sz val="11"/>
        <color theme="1"/>
        <rFont val="宋体"/>
        <family val="3"/>
        <charset val="134"/>
        <scheme val="minor"/>
      </rPr>
      <t>0-20层</t>
    </r>
    <phoneticPr fontId="134" type="noConversion"/>
  </si>
  <si>
    <r>
      <t>2</t>
    </r>
    <r>
      <rPr>
        <sz val="11"/>
        <color theme="1"/>
        <rFont val="宋体"/>
        <family val="3"/>
        <charset val="134"/>
        <scheme val="minor"/>
      </rPr>
      <t>0-29层</t>
    </r>
    <phoneticPr fontId="134" type="noConversion"/>
  </si>
  <si>
    <r>
      <t>含2</t>
    </r>
    <r>
      <rPr>
        <sz val="11"/>
        <color theme="1"/>
        <rFont val="宋体"/>
        <family val="3"/>
        <charset val="134"/>
        <scheme val="minor"/>
      </rPr>
      <t>0、29层</t>
    </r>
    <phoneticPr fontId="134" type="noConversion"/>
  </si>
  <si>
    <t>含1层、不含10层</t>
    <phoneticPr fontId="134" type="noConversion"/>
  </si>
  <si>
    <t>含10层、不含20层</t>
    <phoneticPr fontId="134" type="noConversion"/>
  </si>
  <si>
    <t>共27层，分三个区，每区10层</t>
    <phoneticPr fontId="134" type="noConversion"/>
  </si>
  <si>
    <t>1-9层</t>
    <phoneticPr fontId="134" type="noConversion"/>
  </si>
  <si>
    <t>含1层、不含9层</t>
    <phoneticPr fontId="134" type="noConversion"/>
  </si>
  <si>
    <t>9-18层</t>
    <phoneticPr fontId="134" type="noConversion"/>
  </si>
  <si>
    <t>含9层、不含18层</t>
    <phoneticPr fontId="134" type="noConversion"/>
  </si>
  <si>
    <t>18-27层</t>
    <phoneticPr fontId="134" type="noConversion"/>
  </si>
  <si>
    <t>含18、27层</t>
    <phoneticPr fontId="134" type="noConversion"/>
  </si>
  <si>
    <t>以2号楼2-1-1202，面积121.97，中楼层为基准</t>
    <phoneticPr fontId="134" type="noConversion"/>
  </si>
  <si>
    <t>地上</t>
  </si>
  <si>
    <t>住宅</t>
  </si>
  <si>
    <t>住宅</t>
    <phoneticPr fontId="7" type="noConversion"/>
  </si>
  <si>
    <t>成新度</t>
  </si>
  <si>
    <t>未包含在土地购买价格中</t>
  </si>
  <si>
    <t>已包含在土地取得成本中</t>
  </si>
  <si>
    <t>押一</t>
  </si>
  <si>
    <t>非生产用房</t>
  </si>
  <si>
    <t>否</t>
  </si>
  <si>
    <t>城镇住宅用地</t>
  </si>
  <si>
    <t>自定义容积率</t>
  </si>
  <si>
    <t>报价</t>
  </si>
  <si>
    <t>报价</t>
    <phoneticPr fontId="24" type="noConversion"/>
  </si>
  <si>
    <t>居住</t>
    <phoneticPr fontId="24" type="noConversion"/>
  </si>
  <si>
    <t>正常</t>
  </si>
  <si>
    <t>单套模式</t>
  </si>
  <si>
    <t>售价</t>
  </si>
  <si>
    <t>较好</t>
  </si>
  <si>
    <t>钢混</t>
    <phoneticPr fontId="24" type="noConversion"/>
  </si>
  <si>
    <t>精装修</t>
    <phoneticPr fontId="24" type="noConversion"/>
  </si>
  <si>
    <t>七通</t>
    <phoneticPr fontId="24" type="noConversion"/>
  </si>
  <si>
    <t>专业</t>
    <phoneticPr fontId="24" type="noConversion"/>
  </si>
  <si>
    <t>普通</t>
    <phoneticPr fontId="24" type="noConversion"/>
  </si>
  <si>
    <t>六通</t>
    <phoneticPr fontId="24" type="noConversion"/>
  </si>
  <si>
    <t>五通</t>
    <phoneticPr fontId="24" type="noConversion"/>
  </si>
  <si>
    <t>四通</t>
    <phoneticPr fontId="24" type="noConversion"/>
  </si>
  <si>
    <t>三通</t>
    <phoneticPr fontId="24" type="noConversion"/>
  </si>
  <si>
    <t>普通装修</t>
    <phoneticPr fontId="24" type="noConversion"/>
  </si>
  <si>
    <t>简单装修</t>
    <phoneticPr fontId="24" type="noConversion"/>
  </si>
  <si>
    <t>毛坯</t>
    <phoneticPr fontId="24" type="noConversion"/>
  </si>
  <si>
    <t>高楼层</t>
    <phoneticPr fontId="24" type="noConversion"/>
  </si>
  <si>
    <t>中楼层</t>
    <phoneticPr fontId="24" type="noConversion"/>
  </si>
  <si>
    <t>低楼层</t>
    <phoneticPr fontId="24" type="noConversion"/>
  </si>
  <si>
    <t>楼层</t>
    <phoneticPr fontId="24" type="noConversion"/>
  </si>
  <si>
    <t>柏悦花园户型有两室一厅、两室两厅、三室一厅、三室二厅、复式</t>
    <phoneticPr fontId="134" type="noConversion"/>
  </si>
  <si>
    <t>面积</t>
    <phoneticPr fontId="134" type="noConversion"/>
  </si>
  <si>
    <t>总价</t>
    <phoneticPr fontId="134" type="noConversion"/>
  </si>
  <si>
    <t>单价</t>
    <phoneticPr fontId="134" type="noConversion"/>
  </si>
  <si>
    <t>装修</t>
    <phoneticPr fontId="134" type="noConversion"/>
  </si>
  <si>
    <t>毛坯</t>
    <phoneticPr fontId="134" type="noConversion"/>
  </si>
  <si>
    <t>有</t>
    <phoneticPr fontId="134" type="noConversion"/>
  </si>
  <si>
    <t>两室两厅</t>
    <phoneticPr fontId="134" type="noConversion"/>
  </si>
  <si>
    <t>户型</t>
    <phoneticPr fontId="134" type="noConversion"/>
  </si>
  <si>
    <t>三室一厅</t>
    <phoneticPr fontId="134" type="noConversion"/>
  </si>
  <si>
    <t>三室两厅</t>
    <phoneticPr fontId="134" type="noConversion"/>
  </si>
  <si>
    <t>均价2万左右</t>
    <phoneticPr fontId="134" type="noConversion"/>
  </si>
  <si>
    <t>最大的户型，均价2万出头，距桥最远</t>
    <phoneticPr fontId="134" type="noConversion"/>
  </si>
  <si>
    <t>有噪音</t>
    <phoneticPr fontId="134" type="noConversion"/>
  </si>
  <si>
    <t>成交价</t>
    <phoneticPr fontId="134" type="noConversion"/>
  </si>
  <si>
    <r>
      <t>1</t>
    </r>
    <r>
      <rPr>
        <sz val="11"/>
        <color theme="1"/>
        <rFont val="宋体"/>
        <family val="3"/>
        <charset val="134"/>
        <scheme val="minor"/>
      </rPr>
      <t>05和94.2的为两梯三户</t>
    </r>
    <phoneticPr fontId="134" type="noConversion"/>
  </si>
  <si>
    <r>
      <t>1</t>
    </r>
    <r>
      <rPr>
        <sz val="11"/>
        <color theme="1"/>
        <rFont val="宋体"/>
        <family val="3"/>
        <charset val="134"/>
        <scheme val="minor"/>
      </rPr>
      <t>13-126的为两梯两户</t>
    </r>
    <phoneticPr fontId="134" type="noConversion"/>
  </si>
  <si>
    <t>全南向，比平层单价要低</t>
    <phoneticPr fontId="134" type="noConversion"/>
  </si>
  <si>
    <t>复式两室一厅</t>
    <phoneticPr fontId="134" type="noConversion"/>
  </si>
  <si>
    <t>精装修</t>
  </si>
  <si>
    <t>专业</t>
  </si>
  <si>
    <t>七通</t>
  </si>
  <si>
    <t>毛坯</t>
  </si>
  <si>
    <t>柏悦花园</t>
    <phoneticPr fontId="3" type="noConversion"/>
  </si>
  <si>
    <t>链家王爽</t>
    <phoneticPr fontId="134" type="noConversion"/>
  </si>
  <si>
    <t>案例1</t>
    <phoneticPr fontId="134" type="noConversion"/>
  </si>
  <si>
    <t>面积</t>
    <phoneticPr fontId="134" type="noConversion"/>
  </si>
  <si>
    <t>楼层</t>
    <phoneticPr fontId="134" type="noConversion"/>
  </si>
  <si>
    <t>单价</t>
    <phoneticPr fontId="134" type="noConversion"/>
  </si>
  <si>
    <t>总价</t>
    <phoneticPr fontId="134" type="noConversion"/>
  </si>
  <si>
    <t>装修</t>
    <phoneticPr fontId="134" type="noConversion"/>
  </si>
  <si>
    <t>户型</t>
    <phoneticPr fontId="134" type="noConversion"/>
  </si>
  <si>
    <t>毛坯</t>
    <phoneticPr fontId="134" type="noConversion"/>
  </si>
  <si>
    <t>三室二厅</t>
    <phoneticPr fontId="134" type="noConversion"/>
  </si>
  <si>
    <t>高楼层</t>
    <phoneticPr fontId="134" type="noConversion"/>
  </si>
  <si>
    <t>中楼层</t>
    <phoneticPr fontId="134" type="noConversion"/>
  </si>
  <si>
    <t>精装修</t>
    <phoneticPr fontId="134" type="noConversion"/>
  </si>
  <si>
    <t>高楼层</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</si>
  <si>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</si>
  <si>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</si>
  <si>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</si>
  <si>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</si>
  <si>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</si>
  <si>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</si>
  <si>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</si>
  <si>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</si>
  <si>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</si>
  <si>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 type="noConversion"/>
  </si>
  <si>
    <t>建成年代</t>
    <phoneticPr fontId="3" type="noConversion"/>
  </si>
  <si>
    <t>不准</t>
    <phoneticPr fontId="3" type="noConversion"/>
  </si>
  <si>
    <t>收益法 (元)</t>
  </si>
  <si>
    <t>比较法-住宅</t>
  </si>
  <si>
    <t>高楼层</t>
    <phoneticPr fontId="24" type="noConversion"/>
  </si>
  <si>
    <t>中楼层</t>
  </si>
  <si>
    <t>中楼层</t>
    <phoneticPr fontId="24" type="noConversion"/>
  </si>
  <si>
    <t>低楼层</t>
  </si>
  <si>
    <t>低楼层</t>
    <phoneticPr fontId="24" type="noConversion"/>
  </si>
  <si>
    <t>楼面单价</t>
  </si>
  <si>
    <t>自定义</t>
  </si>
  <si>
    <t>朝向</t>
    <phoneticPr fontId="3" type="noConversion"/>
  </si>
  <si>
    <t>楼层</t>
    <phoneticPr fontId="3" type="noConversion"/>
  </si>
  <si>
    <t>朝向</t>
    <phoneticPr fontId="134" type="noConversion"/>
  </si>
  <si>
    <t>南北</t>
    <phoneticPr fontId="134" type="noConversion"/>
  </si>
  <si>
    <t>户型</t>
    <phoneticPr fontId="3" type="noConversion"/>
  </si>
  <si>
    <t>平层</t>
  </si>
  <si>
    <t>平层</t>
    <phoneticPr fontId="24" type="noConversion"/>
  </si>
  <si>
    <t>跃层</t>
  </si>
  <si>
    <t>跃层</t>
    <phoneticPr fontId="24" type="noConversion"/>
  </si>
  <si>
    <r>
      <t>5</t>
    </r>
    <r>
      <rPr>
        <sz val="11"/>
        <color theme="1"/>
        <rFont val="宋体"/>
        <family val="3"/>
        <charset val="134"/>
        <scheme val="minor"/>
      </rPr>
      <t>9套</t>
    </r>
    <phoneticPr fontId="134" type="noConversion"/>
  </si>
  <si>
    <t>60套包含1套重复</t>
    <phoneticPr fontId="134" type="noConversion"/>
  </si>
  <si>
    <r>
      <t>1</t>
    </r>
    <r>
      <rPr>
        <sz val="11"/>
        <color theme="1"/>
        <rFont val="宋体"/>
        <family val="3"/>
        <charset val="134"/>
        <scheme val="minor"/>
      </rPr>
      <t>-1-1504</t>
    </r>
    <phoneticPr fontId="134" type="noConversion"/>
  </si>
  <si>
    <r>
      <t>2</t>
    </r>
    <r>
      <rPr>
        <sz val="11"/>
        <color theme="1"/>
        <rFont val="宋体"/>
        <family val="3"/>
        <charset val="134"/>
        <scheme val="minor"/>
      </rPr>
      <t>-1-1303</t>
    </r>
    <phoneticPr fontId="134" type="noConversion"/>
  </si>
  <si>
    <t>2-1-504</t>
    <phoneticPr fontId="134" type="noConversion"/>
  </si>
  <si>
    <t>5-1-405</t>
    <phoneticPr fontId="134" type="noConversion"/>
  </si>
  <si>
    <r>
      <t>4</t>
    </r>
    <r>
      <rPr>
        <sz val="11"/>
        <color theme="1"/>
        <rFont val="宋体"/>
        <family val="3"/>
        <charset val="134"/>
        <scheme val="minor"/>
      </rPr>
      <t>-5</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</si>
</sst>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0" fillId="5" borderId="0" xfId="0" applyFill="1">
      <alignment vertical="center"/>
    </xf>
    <xf numFmtId="49" fontId="0" fillId="5" borderId="0" xfId="0" applyNumberFormat="1" applyFill="1">
      <alignment vertical="center"/>
    </xf>
    <xf numFmtId="0" fontId="269" fillId="0" borderId="0" xfId="0" applyFont="1">
      <alignment vertical="center"/>
    </xf>
    <xf numFmtId="0" fontId="269" fillId="5" borderId="0" xfId="0" applyFont="1" applyFill="1">
      <alignment vertical="center"/>
    </xf>
    <xf numFmtId="49" fontId="269" fillId="5" borderId="0" xfId="0" applyNumberFormat="1" applyFont="1" applyFill="1">
      <alignment vertical="center"/>
    </xf>
    <xf numFmtId="58" fontId="95" fillId="0" borderId="0" xfId="0" applyNumberFormat="1"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77" fillId="12" borderId="0" xfId="0" applyFont="1" applyFill="1" applyProtection="1">
      <alignment vertical="center"/>
      <protection locked="0"/>
    </xf>
    <xf numFmtId="0" fontId="47" fillId="8" borderId="0" xfId="0" applyFont="1" applyFill="1" applyProtection="1">
      <alignment vertical="center"/>
      <protection locked="0"/>
    </xf>
    <xf numFmtId="10" fontId="44" fillId="9" borderId="6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2" fontId="47" fillId="6" borderId="1" xfId="0" applyNumberFormat="1" applyFont="1" applyFill="1" applyBorder="1" applyAlignment="1">
      <alignment horizontal="center" vertical="center"/>
    </xf>
    <xf numFmtId="2" fontId="102" fillId="6" borderId="1"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id="{E8E9579E-3F50-A35A-0F69-3CF6E13AF8FF}"/>
            </a:ext>
          </a:extLst>
        </xdr:cNvPr>
        <xdr:cNvPicPr>
          <a:picLocks noChangeAspect="1"/>
        </xdr:cNvPicPr>
      </xdr:nvPicPr>
      <xdr:blipFill>
        <a:blip xmlns:r="http://schemas.openxmlformats.org/officeDocument/2006/relationships" r:embed="rId1"/>
        <a:stretch>
          <a:fillRect/>
        </a:stretch>
      </xdr:blipFill>
      <xdr:spPr>
        <a:xfrm>
          <a:off x="0" y="3657600"/>
          <a:ext cx="8619048" cy="6571429"/>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id="{0F206804-D362-8345-1874-4A2EF5C06CF7}"/>
            </a:ext>
          </a:extLst>
        </xdr:cNvPr>
        <xdr:cNvPicPr>
          <a:picLocks noChangeAspect="1"/>
        </xdr:cNvPicPr>
      </xdr:nvPicPr>
      <xdr:blipFill>
        <a:blip xmlns:r="http://schemas.openxmlformats.org/officeDocument/2006/relationships" r:embed="rId2"/>
        <a:stretch>
          <a:fillRect/>
        </a:stretch>
      </xdr:blipFill>
      <xdr:spPr>
        <a:xfrm>
          <a:off x="0" y="10241280"/>
          <a:ext cx="8685714" cy="6190476"/>
        </a:xfrm>
        <a:prstGeom prst="rect">
          <a:avLst/>
        </a:prstGeom>
      </xdr:spPr>
    </xdr:pic>
    <xdr:clientData/>
  </xdr:twoCellAnchor>
  <xdr:twoCellAnchor editAs="oneCell">
    <xdr:from>
      <xdr:col>0</xdr:col>
      <xdr:colOff>0</xdr:colOff>
      <xdr:row>90</xdr:row>
      <xdr:rowOff>0</xdr:rowOff>
    </xdr:from>
    <xdr:to>
      <xdr:col>14</xdr:col>
      <xdr:colOff>94171</xdr:colOff>
      <xdr:row>124</xdr:row>
      <xdr:rowOff>182080</xdr:rowOff>
    </xdr:to>
    <xdr:pic>
      <xdr:nvPicPr>
        <xdr:cNvPr id="4" name="图片 3">
          <a:extLst>
            <a:ext uri="{FF2B5EF4-FFF2-40B4-BE49-F238E27FC236}">
              <a16:creationId xmlns:a16="http://schemas.microsoft.com/office/drawing/2014/main" id="{00621551-1EF8-BC6B-BF67-D5D9828A28A4}"/>
            </a:ext>
          </a:extLst>
        </xdr:cNvPr>
        <xdr:cNvPicPr>
          <a:picLocks noChangeAspect="1"/>
        </xdr:cNvPicPr>
      </xdr:nvPicPr>
      <xdr:blipFill>
        <a:blip xmlns:r="http://schemas.openxmlformats.org/officeDocument/2006/relationships" r:embed="rId3"/>
        <a:stretch>
          <a:fillRect/>
        </a:stretch>
      </xdr:blipFill>
      <xdr:spPr>
        <a:xfrm>
          <a:off x="0" y="16459200"/>
          <a:ext cx="8628571" cy="6400000"/>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id="{B24A71B2-A3CD-2945-B9A3-46136BB96E76}"/>
            </a:ext>
          </a:extLst>
        </xdr:cNvPr>
        <xdr:cNvPicPr>
          <a:picLocks noChangeAspect="1"/>
        </xdr:cNvPicPr>
      </xdr:nvPicPr>
      <xdr:blipFill>
        <a:blip xmlns:r="http://schemas.openxmlformats.org/officeDocument/2006/relationships" r:embed="rId4"/>
        <a:stretch>
          <a:fillRect/>
        </a:stretch>
      </xdr:blipFill>
      <xdr:spPr>
        <a:xfrm>
          <a:off x="0" y="22860000"/>
          <a:ext cx="8561905" cy="6276190"/>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id="{C69FE9CA-78C3-B82F-0239-D4A3DB227113}"/>
            </a:ext>
          </a:extLst>
        </xdr:cNvPr>
        <xdr:cNvPicPr>
          <a:picLocks noChangeAspect="1"/>
        </xdr:cNvPicPr>
      </xdr:nvPicPr>
      <xdr:blipFill>
        <a:blip xmlns:r="http://schemas.openxmlformats.org/officeDocument/2006/relationships" r:embed="rId5"/>
        <a:stretch>
          <a:fillRect/>
        </a:stretch>
      </xdr:blipFill>
      <xdr:spPr>
        <a:xfrm>
          <a:off x="0" y="29260800"/>
          <a:ext cx="8657143" cy="6771428"/>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id="{93D71AB2-D3A2-29A0-D608-34E3E303E531}"/>
            </a:ext>
          </a:extLst>
        </xdr:cNvPr>
        <xdr:cNvPicPr>
          <a:picLocks noChangeAspect="1"/>
        </xdr:cNvPicPr>
      </xdr:nvPicPr>
      <xdr:blipFill>
        <a:blip xmlns:r="http://schemas.openxmlformats.org/officeDocument/2006/relationships" r:embed="rId6"/>
        <a:stretch>
          <a:fillRect/>
        </a:stretch>
      </xdr:blipFill>
      <xdr:spPr>
        <a:xfrm>
          <a:off x="0" y="36210240"/>
          <a:ext cx="8895238" cy="6152381"/>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id="{82ADFDA9-4896-AF36-B835-D9DD09B1F8D0}"/>
            </a:ext>
          </a:extLst>
        </xdr:cNvPr>
        <xdr:cNvPicPr>
          <a:picLocks noChangeAspect="1"/>
        </xdr:cNvPicPr>
      </xdr:nvPicPr>
      <xdr:blipFill>
        <a:blip xmlns:r="http://schemas.openxmlformats.org/officeDocument/2006/relationships" r:embed="rId7"/>
        <a:stretch>
          <a:fillRect/>
        </a:stretch>
      </xdr:blipFill>
      <xdr:spPr>
        <a:xfrm>
          <a:off x="0" y="42428160"/>
          <a:ext cx="8571428" cy="196190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id="{74F49F25-18C2-0A48-A983-D6784991BA34}"/>
            </a:ext>
          </a:extLst>
        </xdr:cNvPr>
        <xdr:cNvPicPr>
          <a:picLocks noChangeAspect="1"/>
        </xdr:cNvPicPr>
      </xdr:nvPicPr>
      <xdr:blipFill>
        <a:blip xmlns:r="http://schemas.openxmlformats.org/officeDocument/2006/relationships" r:embed="rId8"/>
        <a:stretch>
          <a:fillRect/>
        </a:stretch>
      </xdr:blipFill>
      <xdr:spPr>
        <a:xfrm>
          <a:off x="15240000" y="2560320"/>
          <a:ext cx="8085714"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天津市南开区卫津南路西侧柏悦花园房地产抵押价值预评估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受贵公司委托，我公司对天津市南开区卫津南路西侧柏悦花园房地产抵押价值进行了预评估。</v>
      </c>
    </row>
    <row r="7" spans="1:2">
      <c r="A7" s="1116" t="s">
        <v>566</v>
      </c>
      <c r="B7" s="1117"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2024年9月20日（评估专业人员实地查勘之日）</v>
      </c>
    </row>
    <row r="13" spans="1:2">
      <c r="A13" s="1116" t="s">
        <v>529</v>
      </c>
      <c r="B13" s="1117"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1116" t="s">
        <v>530</v>
      </c>
      <c r="B14" s="1117"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227</v>
      </c>
    </row>
    <row r="21" spans="1:2">
      <c r="A21" s="1116" t="s">
        <v>537</v>
      </c>
      <c r="B21" s="1117">
        <f ca="1">'预评函-2'!D7</f>
        <v>18633</v>
      </c>
    </row>
    <row r="22" spans="1:2">
      <c r="A22" s="1116" t="s">
        <v>538</v>
      </c>
      <c r="B22" s="1117" t="str">
        <f ca="1">'预评函-2'!D6</f>
        <v>贰佰贰拾柒万元整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227</v>
      </c>
    </row>
    <row r="31" spans="1:2">
      <c r="A31" s="1116" t="s">
        <v>576</v>
      </c>
      <c r="B31" s="1117">
        <f ca="1">'预评函-2'!D15</f>
        <v>18633</v>
      </c>
    </row>
    <row r="32" spans="1:2">
      <c r="A32" s="1116" t="s">
        <v>543</v>
      </c>
      <c r="B32" s="1117" t="str">
        <f ca="1">'预评函-2'!D14</f>
        <v>贰佰贰拾柒万元整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天津市南开区卫津南路西侧柏悦花园房地产</v>
      </c>
    </row>
    <row r="42" spans="1:2" ht="31.2">
      <c r="A42" s="1116" t="s">
        <v>590</v>
      </c>
      <c r="B42" s="1117" t="str">
        <f>'预评函-3'!B2</f>
        <v>建筑面积</v>
      </c>
    </row>
    <row r="43" spans="1:2">
      <c r="A43" s="1116" t="s">
        <v>591</v>
      </c>
      <c r="B43" s="1117">
        <f>'预评函-3'!B4</f>
        <v>121.97</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3348</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3334</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3335</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3336</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3337</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3338</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3339</v>
      </c>
    </row>
    <row r="8" spans="1:23">
      <c r="A8" s="1436" t="s">
        <v>1026</v>
      </c>
      <c r="B8" s="1436" t="s">
        <v>1027</v>
      </c>
      <c r="C8" s="1437" t="s">
        <v>319</v>
      </c>
      <c r="F8" s="1438" t="s">
        <v>1028</v>
      </c>
      <c r="H8" s="1438" t="s">
        <v>2574</v>
      </c>
      <c r="I8" s="1438" t="s">
        <v>3340</v>
      </c>
    </row>
    <row r="9" spans="1:23">
      <c r="A9" s="1436" t="s">
        <v>1029</v>
      </c>
      <c r="B9" s="1436" t="s">
        <v>1030</v>
      </c>
      <c r="C9" s="1437" t="s">
        <v>320</v>
      </c>
      <c r="F9" s="1438" t="s">
        <v>1031</v>
      </c>
      <c r="H9" s="1438"/>
      <c r="I9" s="1440" t="s">
        <v>3341</v>
      </c>
    </row>
    <row r="10" spans="1:23">
      <c r="A10" s="1436" t="s">
        <v>1032</v>
      </c>
      <c r="B10" s="1436" t="s">
        <v>1033</v>
      </c>
      <c r="C10" s="1437" t="s">
        <v>321</v>
      </c>
      <c r="F10" s="1438" t="s">
        <v>2575</v>
      </c>
      <c r="I10" s="1440" t="s">
        <v>3342</v>
      </c>
    </row>
    <row r="11" spans="1:23">
      <c r="A11" s="1436" t="s">
        <v>1034</v>
      </c>
      <c r="B11" s="1436" t="s">
        <v>1035</v>
      </c>
      <c r="C11" s="1437" t="s">
        <v>322</v>
      </c>
      <c r="F11" s="1438" t="s">
        <v>13</v>
      </c>
      <c r="I11" s="1440" t="s">
        <v>3343</v>
      </c>
    </row>
    <row r="12" spans="1:23">
      <c r="A12" s="1436" t="s">
        <v>1036</v>
      </c>
      <c r="B12" s="1436" t="s">
        <v>1037</v>
      </c>
      <c r="C12" s="1437" t="s">
        <v>323</v>
      </c>
      <c r="I12" s="1440" t="s">
        <v>3344</v>
      </c>
    </row>
    <row r="13" spans="1:23">
      <c r="A13" s="1436" t="s">
        <v>1038</v>
      </c>
      <c r="B13" s="1436" t="s">
        <v>1039</v>
      </c>
      <c r="C13" s="1437" t="s">
        <v>324</v>
      </c>
      <c r="I13" s="1440" t="s">
        <v>3345</v>
      </c>
    </row>
    <row r="14" spans="1:23">
      <c r="A14" s="1436" t="s">
        <v>1040</v>
      </c>
      <c r="B14" s="1436" t="s">
        <v>1041</v>
      </c>
      <c r="C14" s="1438" t="s">
        <v>13</v>
      </c>
      <c r="I14" s="1440" t="s">
        <v>3346</v>
      </c>
    </row>
    <row r="15" spans="1:23">
      <c r="A15" s="1436" t="s">
        <v>1042</v>
      </c>
      <c r="B15" s="1436" t="s">
        <v>1043</v>
      </c>
      <c r="C15" s="1437"/>
      <c r="I15" s="1440" t="s">
        <v>3347</v>
      </c>
    </row>
    <row r="16" spans="1:23">
      <c r="A16" s="1436" t="s">
        <v>1044</v>
      </c>
      <c r="B16" s="1436" t="s">
        <v>312</v>
      </c>
      <c r="C16" s="1437"/>
    </row>
    <row r="17" spans="1:3">
      <c r="A17" s="1436" t="s">
        <v>1045</v>
      </c>
      <c r="B17" s="1436" t="s">
        <v>2288</v>
      </c>
      <c r="C17" s="1437"/>
    </row>
    <row r="18" spans="1:3">
      <c r="A18" s="1436" t="s">
        <v>1046</v>
      </c>
      <c r="B18" s="1436" t="s">
        <v>2430</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11"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11"/>
      <c r="B54" s="1442" t="s">
        <v>385</v>
      </c>
      <c r="C54" s="1440" t="s">
        <v>583</v>
      </c>
    </row>
    <row r="55" spans="1:4">
      <c r="A55" s="3211"/>
      <c r="B55" s="1442" t="s">
        <v>386</v>
      </c>
      <c r="C55" s="1440" t="s">
        <v>584</v>
      </c>
    </row>
    <row r="56" spans="1:4">
      <c r="A56" s="3211"/>
      <c r="B56" s="1442" t="s">
        <v>387</v>
      </c>
      <c r="C56" s="1440" t="s">
        <v>588</v>
      </c>
    </row>
    <row r="57" spans="1:4">
      <c r="A57" s="3211"/>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12" t="s">
        <v>2577</v>
      </c>
      <c r="J2" s="3212"/>
      <c r="K2" s="3212"/>
      <c r="L2" s="3212"/>
      <c r="M2" s="3212"/>
      <c r="N2" s="3212"/>
      <c r="O2" s="3212"/>
      <c r="P2" s="3212"/>
      <c r="Q2" s="3212"/>
      <c r="R2" s="3212"/>
    </row>
    <row r="3" spans="1:18">
      <c r="A3" s="2755" t="s">
        <v>2498</v>
      </c>
      <c r="B3" s="2756">
        <f>项目基本情况!D3</f>
        <v>45555</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2.2400000000000002</v>
      </c>
      <c r="D5" s="2760">
        <f>IF(ISERROR(ROUND(POWER(1+E5,A5-C5)*(POWER(1+E5,C5)-1)/(POWER(1+E5,A5)-1),3)),0,ROUND(POWER(1+E5,A5-C5)*(POWER(1+E5,C5)-1)/(POWER(1+E5,A5)-1),4))</f>
        <v>0.1062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12.25</v>
      </c>
      <c r="D6" s="2760">
        <f>IF(ISERROR(ROUND(POWER(1+E6,A6-C6)*(POWER(1+E6,C6)-1)/(POWER(1+E6,A6)-1),3)),0,ROUND(POWER(1+E6,A6-C6)*(POWER(1+E6,C6)-1)/(POWER(1+E6,A6)-1),4))</f>
        <v>0.44400000000000001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32.26</v>
      </c>
      <c r="D7" s="2760">
        <f>IF(ISERROR(ROUND(POWER(1+E7,A7-C7)*(POWER(1+E7,C7)-1)/(POWER(1+E7,A7)-1),3)),0,ROUND(POWER(1+E7,A7-C7)*(POWER(1+E7,C7)-1)/(POWER(1+E7,A7)-1),4))</f>
        <v>0.7671</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5" thickBot="1">
      <c r="A18" s="2765" t="s">
        <v>2513</v>
      </c>
      <c r="B18" s="2766">
        <f>ROUND(B17*F11/F12,2)</f>
        <v>5541.87</v>
      </c>
      <c r="C18" s="2766">
        <f>ROUND(F11/F12,4)</f>
        <v>1.1521999999999999</v>
      </c>
      <c r="D18" s="2767"/>
      <c r="E18" s="2767"/>
      <c r="F18" s="2768"/>
    </row>
    <row r="19" spans="1:13" ht="15" thickBot="1"/>
    <row r="20" spans="1:13" s="2801" customFormat="1" ht="1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3.2"/>
  <cols>
    <col min="1" max="1" width="16.88671875" style="1613" customWidth="1"/>
    <col min="2" max="2" width="10" style="1613" customWidth="1"/>
    <col min="3" max="3" width="11.44140625" style="1613" customWidth="1"/>
    <col min="4" max="4" width="10" style="1613" customWidth="1"/>
    <col min="5" max="5" width="12.6640625" style="1613" customWidth="1"/>
    <col min="6" max="6" width="10" style="1613" customWidth="1"/>
    <col min="7" max="7" width="10.77734375" style="1613" customWidth="1"/>
    <col min="8" max="8" width="10" style="1613" customWidth="1"/>
    <col min="9" max="9" width="11.10937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8" thickBot="1">
      <c r="A1" s="2176" t="s">
        <v>2163</v>
      </c>
      <c r="B1" s="3213" t="str">
        <f>IF(B10="北京市","北京市",C10)&amp;F10&amp;IF(结果表!G1="在建","出让国有建设用地使用权及在建建筑物",IF(结果表!G1="土地","出让国有建设用地使用权",))&amp;B9&amp;"预评估"</f>
        <v>天津市南开区卫津南路西侧柏悦花园房地产抵押价值预评估</v>
      </c>
      <c r="C1" s="3214"/>
      <c r="D1" s="3214"/>
      <c r="E1" s="3214"/>
      <c r="F1" s="3214"/>
      <c r="G1" s="3214"/>
      <c r="H1" s="3214"/>
      <c r="I1" s="3215"/>
      <c r="J1" s="2238"/>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1613"/>
      <c r="U1" s="1613"/>
      <c r="V1" s="1613"/>
      <c r="W1" s="1613"/>
      <c r="X1" s="1613"/>
      <c r="Y1" s="1613"/>
      <c r="Z1" s="1613"/>
      <c r="AA1" s="1613"/>
      <c r="AB1" s="1613"/>
    </row>
    <row r="2" spans="1:30">
      <c r="A2" s="2177" t="s">
        <v>2164</v>
      </c>
      <c r="B2" s="122"/>
      <c r="D2" s="2440"/>
      <c r="E2" s="2434"/>
      <c r="F2" s="2434"/>
      <c r="G2" s="2435"/>
      <c r="H2" s="2435"/>
      <c r="I2" s="2435"/>
      <c r="J2" s="2238"/>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天津市南开区卫津南路西侧柏悦花园房地产</v>
      </c>
      <c r="T2" s="1613"/>
      <c r="U2" s="1613"/>
      <c r="V2" s="1613"/>
      <c r="W2" s="1613"/>
      <c r="X2" s="1613"/>
      <c r="Y2" s="1613"/>
      <c r="Z2" s="1613"/>
      <c r="AA2" s="1613"/>
      <c r="AB2" s="1613"/>
    </row>
    <row r="3" spans="1:30">
      <c r="A3" s="294" t="s">
        <v>2165</v>
      </c>
      <c r="B3" s="2180">
        <v>45555</v>
      </c>
      <c r="C3" s="2181" t="s">
        <v>2166</v>
      </c>
      <c r="D3" s="2180">
        <f>B3</f>
        <v>45555</v>
      </c>
      <c r="E3" s="2435"/>
      <c r="F3" s="2435"/>
      <c r="G3" s="2435"/>
      <c r="H3" s="2435"/>
      <c r="I3" s="2435"/>
      <c r="J3" s="2238"/>
      <c r="K3" s="2178"/>
      <c r="L3" s="2179"/>
      <c r="M3" s="2179"/>
      <c r="N3" s="2177"/>
      <c r="O3" s="1461"/>
      <c r="P3" s="2177"/>
      <c r="Q3" s="2177"/>
      <c r="R3" s="2177"/>
      <c r="S3" s="1556"/>
      <c r="T3" s="1613"/>
      <c r="U3" s="1613"/>
      <c r="V3" s="1613"/>
      <c r="W3" s="1613"/>
      <c r="X3" s="1613"/>
      <c r="Y3" s="1613"/>
      <c r="Z3" s="1613"/>
      <c r="AA3" s="1613"/>
      <c r="AB3" s="1613"/>
    </row>
    <row r="4" spans="1:30" ht="13.8" thickBot="1">
      <c r="A4" s="1024" t="s">
        <v>2167</v>
      </c>
      <c r="B4" s="2182" t="s">
        <v>3382</v>
      </c>
      <c r="C4" s="2183">
        <f ca="1">SUMIF(注册房地产估价师,B4,估价师及机构信息!B3:B24)</f>
        <v>1120070131</v>
      </c>
      <c r="D4" s="2182" t="s">
        <v>3383</v>
      </c>
      <c r="E4" s="2183">
        <f ca="1">SUMIF(注册房地产估价师,D4,估价师及机构信息!B3:B24)</f>
        <v>1120100036</v>
      </c>
      <c r="F4" s="2182"/>
      <c r="G4" s="2183">
        <f>SUMIF(注册房地产估价师,F4,估价师及机构信息!B3:B24)</f>
        <v>0</v>
      </c>
      <c r="H4" s="2182"/>
      <c r="I4" s="2183">
        <f>SUMIF(注册房地产估价师,H4,估价师及机构信息!B3:B24)</f>
        <v>0</v>
      </c>
      <c r="J4" s="2238"/>
      <c r="K4" s="2184" t="str">
        <f ca="1">CONCATENATE(B4,"（注册号：",C4,")、",D4,"（注册号：",E4,")")</f>
        <v>郑燚（注册号：1120070131)、崔锴（注册号：1120100036)</v>
      </c>
      <c r="L4" s="2179"/>
      <c r="M4" s="2179"/>
      <c r="N4" s="2177"/>
      <c r="O4" s="1461"/>
      <c r="P4" s="2177"/>
      <c r="Q4" s="2177"/>
      <c r="R4" s="2177"/>
      <c r="S4" s="1556"/>
      <c r="T4" s="1613"/>
      <c r="U4" s="1613"/>
      <c r="V4" s="1613"/>
      <c r="W4" s="1613"/>
      <c r="X4" s="1613"/>
      <c r="Y4" s="1613"/>
      <c r="Z4" s="1613"/>
      <c r="AA4" s="1613"/>
      <c r="AB4" s="1613"/>
    </row>
    <row r="5" spans="1:30" ht="13.8" thickTop="1">
      <c r="A5" s="2185" t="s">
        <v>2168</v>
      </c>
      <c r="B5" s="2186"/>
      <c r="C5" s="2187"/>
      <c r="D5" s="2188"/>
      <c r="E5" s="2435"/>
      <c r="F5" s="2435"/>
      <c r="G5" s="2435"/>
      <c r="H5" s="2435"/>
      <c r="I5" s="2435"/>
      <c r="J5" s="2238"/>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2169</v>
      </c>
      <c r="B6" s="2190"/>
      <c r="C6" s="2191"/>
      <c r="D6" s="2192"/>
      <c r="E6" s="2434"/>
      <c r="F6" s="2435"/>
      <c r="G6" s="2435"/>
      <c r="H6" s="2435"/>
      <c r="I6" s="2435"/>
      <c r="J6" s="2238"/>
      <c r="K6" s="2394" t="str">
        <f>IF(COUNTIF(B6,"*上海银行*"),"上海银行","")</f>
        <v/>
      </c>
      <c r="L6" s="2392"/>
      <c r="M6" s="2392"/>
      <c r="N6" s="2238"/>
      <c r="O6" s="1665"/>
      <c r="P6" s="2238"/>
      <c r="Q6" s="2238"/>
      <c r="R6" s="2238"/>
    </row>
    <row r="7" spans="1:30">
      <c r="A7" s="2189" t="s">
        <v>2170</v>
      </c>
      <c r="B7" s="2193"/>
      <c r="C7" s="2191"/>
      <c r="D7" s="2192"/>
      <c r="E7" s="2434"/>
      <c r="F7" s="2435"/>
      <c r="G7" s="2435"/>
      <c r="H7" s="2435"/>
      <c r="I7" s="2435"/>
      <c r="J7" s="2238"/>
      <c r="K7" s="2395"/>
      <c r="L7" s="2392"/>
      <c r="M7" s="2392"/>
      <c r="N7" s="2238"/>
      <c r="O7" s="1665"/>
      <c r="P7" s="2238"/>
      <c r="Q7" s="2238"/>
      <c r="R7" s="2238"/>
    </row>
    <row r="8" spans="1:30">
      <c r="A8" s="2194" t="s">
        <v>2171</v>
      </c>
      <c r="B8" s="2195" t="s">
        <v>3380</v>
      </c>
      <c r="C8" s="2196"/>
      <c r="D8" s="3216" t="s">
        <v>2172</v>
      </c>
      <c r="E8" s="2197" t="s">
        <v>3381</v>
      </c>
      <c r="F8" s="2198"/>
      <c r="G8" s="2435"/>
      <c r="H8" s="2435"/>
      <c r="I8" s="2435"/>
      <c r="J8" s="2238"/>
      <c r="K8" s="2393"/>
      <c r="L8" s="2392"/>
      <c r="M8" s="2392"/>
      <c r="N8" s="2238"/>
      <c r="O8" s="1665"/>
      <c r="P8" s="2238"/>
      <c r="Q8" s="2238"/>
      <c r="R8" s="2238"/>
    </row>
    <row r="9" spans="1:30" ht="13.8" thickBot="1">
      <c r="A9" s="2199" t="s">
        <v>2173</v>
      </c>
      <c r="B9" s="2200" t="s">
        <v>3381</v>
      </c>
      <c r="C9" s="2201"/>
      <c r="D9" s="3217"/>
      <c r="E9" s="2200"/>
      <c r="F9" s="2202"/>
      <c r="G9" s="2436"/>
      <c r="H9" s="2436"/>
      <c r="I9" s="2436"/>
      <c r="J9" s="2238"/>
      <c r="K9" s="2395"/>
      <c r="L9" s="2392"/>
      <c r="M9" s="2392"/>
      <c r="N9" s="2238"/>
      <c r="O9" s="1665"/>
      <c r="P9" s="2238"/>
      <c r="Q9" s="2238"/>
      <c r="R9" s="2238"/>
    </row>
    <row r="10" spans="1:30" ht="13.8" thickTop="1">
      <c r="A10" s="2203" t="s">
        <v>2174</v>
      </c>
      <c r="B10" s="2204" t="s">
        <v>3384</v>
      </c>
      <c r="C10" s="3137" t="s">
        <v>3385</v>
      </c>
      <c r="D10" s="2188"/>
      <c r="E10" s="2205" t="s">
        <v>2175</v>
      </c>
      <c r="F10" s="3139" t="s">
        <v>3388</v>
      </c>
      <c r="G10" s="2437"/>
      <c r="H10" s="2438"/>
      <c r="I10" s="2439"/>
      <c r="J10" s="2238"/>
      <c r="K10" s="2395"/>
      <c r="L10" s="2392"/>
      <c r="M10" s="2392"/>
      <c r="N10" s="2238"/>
      <c r="O10" s="1665"/>
      <c r="P10" s="2238"/>
      <c r="Q10" s="2238"/>
      <c r="R10" s="2238"/>
    </row>
    <row r="11" spans="1:30" ht="36">
      <c r="A11" s="2206" t="s">
        <v>2176</v>
      </c>
      <c r="B11" s="2207" t="s">
        <v>3386</v>
      </c>
      <c r="C11" s="3138" t="s">
        <v>3387</v>
      </c>
      <c r="D11" s="2208"/>
      <c r="E11" s="2177"/>
      <c r="F11" s="2177"/>
      <c r="G11" s="2177"/>
      <c r="H11" s="2177"/>
      <c r="I11" s="2177"/>
      <c r="J11" s="2794"/>
      <c r="K11" s="2392"/>
      <c r="L11" s="2392"/>
      <c r="M11" s="2392"/>
      <c r="N11" s="2238"/>
      <c r="O11" s="1665"/>
      <c r="P11" s="2238"/>
      <c r="Q11" s="2238"/>
      <c r="R11" s="2238"/>
    </row>
    <row r="12" spans="1:30">
      <c r="A12" s="2209" t="s">
        <v>2177</v>
      </c>
      <c r="B12" s="315" t="s">
        <v>2178</v>
      </c>
      <c r="C12" s="2210" t="s">
        <v>2179</v>
      </c>
      <c r="D12" s="2210" t="s">
        <v>2180</v>
      </c>
      <c r="E12" s="2210" t="s">
        <v>2181</v>
      </c>
      <c r="F12" s="2210" t="s">
        <v>2182</v>
      </c>
      <c r="G12" s="2210" t="s">
        <v>2183</v>
      </c>
      <c r="H12" s="2210" t="s">
        <v>2184</v>
      </c>
      <c r="I12" s="2793" t="s">
        <v>2573</v>
      </c>
      <c r="J12" s="2795"/>
      <c r="K12" s="2392"/>
      <c r="L12" s="2392"/>
      <c r="M12" s="2238"/>
      <c r="N12" s="1665"/>
      <c r="O12" s="2238"/>
      <c r="P12" s="2238"/>
      <c r="Q12" s="2238"/>
      <c r="AD12" s="1613"/>
    </row>
    <row r="13" spans="1:30">
      <c r="A13" s="3114" t="s">
        <v>3329</v>
      </c>
      <c r="B13" s="2211" t="s">
        <v>2185</v>
      </c>
      <c r="C13" s="802">
        <v>65896</v>
      </c>
      <c r="D13" s="802"/>
      <c r="E13" s="802"/>
      <c r="F13" s="802"/>
      <c r="G13" s="802"/>
      <c r="H13" s="802"/>
      <c r="I13" s="802"/>
      <c r="J13" s="2795"/>
      <c r="K13" s="2392"/>
      <c r="L13" s="2392"/>
      <c r="M13" s="2238"/>
      <c r="N13" s="1665"/>
      <c r="O13" s="2238"/>
      <c r="P13" s="2238"/>
      <c r="Q13" s="2238"/>
      <c r="AD13" s="1613"/>
    </row>
    <row r="14" spans="1:30">
      <c r="A14" s="1015"/>
      <c r="B14" s="2211" t="s">
        <v>2186</v>
      </c>
      <c r="C14" s="2212">
        <v>70</v>
      </c>
      <c r="D14" s="2212"/>
      <c r="E14" s="2212"/>
      <c r="F14" s="2212"/>
      <c r="G14" s="2212"/>
      <c r="H14" s="2212"/>
      <c r="I14" s="2212"/>
      <c r="J14" s="2796"/>
      <c r="K14" s="2392"/>
      <c r="L14" s="2392"/>
      <c r="M14" s="2238"/>
      <c r="N14" s="1665"/>
      <c r="O14" s="2238"/>
      <c r="P14" s="2238"/>
      <c r="Q14" s="2238"/>
      <c r="AD14" s="1613"/>
    </row>
    <row r="15" spans="1:30">
      <c r="A15" s="312"/>
      <c r="B15" s="2213" t="s">
        <v>2187</v>
      </c>
      <c r="C15" s="2214">
        <f>IF(A13="出让",IF(C13="","",ROUNDDOWN(MIN((C13-$D$3)/365,C14),2)),C14)</f>
        <v>55.72</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5" t="s">
        <v>2188</v>
      </c>
      <c r="B16" s="3223" t="s">
        <v>3389</v>
      </c>
      <c r="C16" s="3224"/>
      <c r="D16" s="3225"/>
      <c r="E16" s="2215" t="s">
        <v>2189</v>
      </c>
      <c r="F16" s="3226">
        <f>C15</f>
        <v>55.72</v>
      </c>
      <c r="G16" s="3227"/>
      <c r="H16" s="3227"/>
      <c r="I16" s="3228"/>
      <c r="J16" s="2238"/>
      <c r="K16" s="2396"/>
      <c r="L16" s="1665"/>
      <c r="M16" s="1665"/>
      <c r="N16" s="2238"/>
      <c r="O16" s="1665"/>
      <c r="P16" s="2238"/>
      <c r="Q16" s="2238"/>
      <c r="R16" s="2238"/>
    </row>
    <row r="17" spans="1:28">
      <c r="A17" s="305" t="s">
        <v>2190</v>
      </c>
      <c r="B17" s="294" t="s">
        <v>2191</v>
      </c>
      <c r="C17" s="8">
        <f>'数据-汇总表'!E3</f>
        <v>121.97</v>
      </c>
      <c r="D17" s="1251" t="s">
        <v>2192</v>
      </c>
      <c r="E17" s="3229" t="s">
        <v>2193</v>
      </c>
      <c r="F17" s="3230"/>
      <c r="G17" s="3230"/>
      <c r="H17" s="3230"/>
      <c r="I17" s="3231"/>
      <c r="J17" s="2238"/>
      <c r="K17" s="2397"/>
      <c r="L17" s="1665"/>
      <c r="M17" s="1665"/>
      <c r="N17" s="2238"/>
      <c r="O17" s="1665"/>
      <c r="P17" s="2238"/>
      <c r="Q17" s="2238"/>
      <c r="R17" s="2238"/>
      <c r="S17" s="2238"/>
      <c r="T17" s="2238"/>
      <c r="U17" s="2238"/>
      <c r="V17" s="2238"/>
    </row>
    <row r="18" spans="1:28" ht="24.6" thickBot="1">
      <c r="A18" s="2216" t="s">
        <v>2194</v>
      </c>
      <c r="B18" s="1024" t="s">
        <v>2195</v>
      </c>
      <c r="C18" s="2217">
        <f>'数据-汇总表'!D3</f>
        <v>0</v>
      </c>
      <c r="D18" s="1026" t="s">
        <v>2196</v>
      </c>
      <c r="E18" s="3232" t="s">
        <v>2197</v>
      </c>
      <c r="F18" s="3233"/>
      <c r="G18" s="3233"/>
      <c r="H18" s="3233"/>
      <c r="I18" s="3234"/>
      <c r="J18" s="2238"/>
      <c r="K18" s="2397"/>
      <c r="L18" s="1665"/>
      <c r="M18" s="1665"/>
      <c r="N18" s="2238"/>
      <c r="O18" s="1665"/>
      <c r="P18" s="2238"/>
      <c r="Q18" s="2238"/>
      <c r="R18" s="2238"/>
      <c r="S18" s="2238"/>
      <c r="T18" s="2238"/>
      <c r="U18" s="2238"/>
      <c r="V18" s="2238"/>
    </row>
    <row r="19" spans="1:28" ht="37.200000000000003" thickTop="1" thickBot="1">
      <c r="A19" s="319" t="s">
        <v>1055</v>
      </c>
      <c r="B19" s="299" t="s">
        <v>2198</v>
      </c>
      <c r="C19" s="1450" t="s">
        <v>3390</v>
      </c>
      <c r="D19" s="1451" t="s">
        <v>2199</v>
      </c>
      <c r="E19" s="1452"/>
      <c r="F19" s="1453" t="str">
        <f>IF(AND(C19="是",E19="否"),"是否提供他项权证或相关说明","")</f>
        <v/>
      </c>
      <c r="G19" s="1454"/>
      <c r="H19" s="2435"/>
      <c r="I19" s="2435"/>
      <c r="J19" s="2238"/>
      <c r="K19" s="2395"/>
      <c r="L19" s="2392"/>
      <c r="M19" s="2392"/>
      <c r="N19" s="2238"/>
      <c r="O19" s="1665"/>
      <c r="P19" s="2238"/>
      <c r="Q19" s="2238"/>
      <c r="R19" s="2238"/>
      <c r="S19" s="2238"/>
      <c r="T19" s="2238"/>
      <c r="U19" s="2238"/>
      <c r="V19" s="2238"/>
    </row>
    <row r="20" spans="1:28">
      <c r="A20" s="2410" t="s">
        <v>2200</v>
      </c>
      <c r="B20" s="3219" t="s">
        <v>2201</v>
      </c>
      <c r="C20" s="3220"/>
      <c r="D20" s="3221" t="s">
        <v>2202</v>
      </c>
      <c r="E20" s="3222"/>
      <c r="F20" s="2423" t="s">
        <v>1056</v>
      </c>
      <c r="G20" s="2435"/>
      <c r="H20" s="2435"/>
      <c r="I20" s="2435"/>
      <c r="J20" s="2238"/>
      <c r="K20" s="3218"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1"/>
      <c r="P20" s="2177"/>
      <c r="Q20" s="2177"/>
      <c r="R20" s="2177"/>
      <c r="S20" s="2177"/>
      <c r="T20" s="2177"/>
      <c r="U20" s="2177"/>
      <c r="V20" s="2177"/>
      <c r="W20" s="1613"/>
      <c r="X20" s="1613"/>
      <c r="Y20" s="1613"/>
      <c r="Z20" s="1613"/>
      <c r="AA20" s="1613"/>
      <c r="AB20" s="1613"/>
    </row>
    <row r="21" spans="1:28" ht="36.6" thickBot="1">
      <c r="A21" s="2410"/>
      <c r="B21" s="2411" t="s">
        <v>2204</v>
      </c>
      <c r="C21" s="2289" t="s">
        <v>1057</v>
      </c>
      <c r="D21" s="1455" t="s">
        <v>2205</v>
      </c>
      <c r="E21" s="2412" t="s">
        <v>1057</v>
      </c>
      <c r="F21" s="2424"/>
      <c r="G21" s="2435"/>
      <c r="H21" s="2435"/>
      <c r="I21" s="2435"/>
      <c r="J21" s="2238"/>
      <c r="K21" s="321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36.6" thickBot="1">
      <c r="A22" s="2410"/>
      <c r="B22" s="2413" t="s">
        <v>2206</v>
      </c>
      <c r="C22" s="2289" t="s">
        <v>1058</v>
      </c>
      <c r="D22" s="2435"/>
      <c r="E22" s="2435"/>
      <c r="F22" s="2435"/>
      <c r="G22" s="2435"/>
      <c r="H22" s="2435"/>
      <c r="I22" s="2435"/>
      <c r="J22" s="2238"/>
      <c r="K22" s="321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4" t="s">
        <v>2207</v>
      </c>
      <c r="B23" s="2286" t="s">
        <v>2208</v>
      </c>
      <c r="C23" s="2415"/>
      <c r="D23" s="2416" t="s">
        <v>2208</v>
      </c>
      <c r="E23" s="2417"/>
      <c r="F23" s="2435"/>
      <c r="G23" s="2435"/>
      <c r="H23" s="2435"/>
      <c r="I23" s="2435"/>
      <c r="J23" s="2238"/>
      <c r="K23" s="2394"/>
      <c r="L23" s="121"/>
      <c r="M23" s="2392"/>
      <c r="N23" s="2238"/>
      <c r="O23" s="1665"/>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21"/>
      <c r="M24" s="2392"/>
      <c r="N24" s="2238"/>
      <c r="O24" s="1665"/>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5"/>
      <c r="P25" s="2238"/>
      <c r="Q25" s="2238"/>
      <c r="R25" s="2238"/>
      <c r="S25" s="2238"/>
      <c r="T25" s="2238"/>
      <c r="U25" s="2238"/>
      <c r="V25" s="2238"/>
    </row>
    <row r="26" spans="1:28" ht="13.8" thickBot="1">
      <c r="A26" s="2419"/>
      <c r="B26" s="2420" t="s">
        <v>1061</v>
      </c>
      <c r="C26" s="2421"/>
      <c r="D26" s="2419" t="s">
        <v>1061</v>
      </c>
      <c r="E26" s="2422"/>
      <c r="F26" s="2436"/>
      <c r="G26" s="2436"/>
      <c r="H26" s="2436"/>
      <c r="I26" s="2436"/>
      <c r="J26" s="2238"/>
      <c r="K26" s="2395"/>
      <c r="L26" s="2392"/>
      <c r="M26" s="2392"/>
      <c r="N26" s="2238"/>
      <c r="O26" s="1665"/>
      <c r="P26" s="2238"/>
      <c r="Q26" s="2238"/>
      <c r="R26" s="2238"/>
      <c r="S26" s="2238"/>
      <c r="T26" s="2238"/>
      <c r="U26" s="2238"/>
      <c r="V26" s="2238"/>
    </row>
    <row r="27" spans="1:28" ht="13.8" thickTop="1">
      <c r="A27" s="3236" t="s">
        <v>2209</v>
      </c>
      <c r="B27" s="312" t="s">
        <v>2210</v>
      </c>
      <c r="C27" s="2218" t="s">
        <v>3391</v>
      </c>
      <c r="D27" s="2219"/>
      <c r="E27" s="2435"/>
      <c r="F27" s="2435"/>
      <c r="G27" s="2435"/>
      <c r="H27" s="2435"/>
      <c r="I27" s="2435"/>
      <c r="J27" s="2238"/>
      <c r="K27" s="2396"/>
      <c r="L27" s="1665"/>
      <c r="M27" s="1665"/>
      <c r="N27" s="2238"/>
      <c r="O27" s="1665"/>
      <c r="P27" s="2238"/>
      <c r="Q27" s="2238"/>
      <c r="R27" s="2238"/>
      <c r="S27" s="2238"/>
      <c r="T27" s="2238"/>
      <c r="U27" s="2238"/>
      <c r="V27" s="2238"/>
    </row>
    <row r="28" spans="1:28">
      <c r="A28" s="3236"/>
      <c r="B28" s="294" t="s">
        <v>2211</v>
      </c>
      <c r="C28" s="2220"/>
      <c r="D28" s="2221"/>
      <c r="E28" s="2435"/>
      <c r="F28" s="2435"/>
      <c r="G28" s="2435"/>
      <c r="H28" s="2435"/>
      <c r="I28" s="2435"/>
      <c r="J28" s="2238"/>
      <c r="K28" s="2395"/>
      <c r="L28" s="2392"/>
      <c r="M28" s="2392"/>
      <c r="N28" s="2238"/>
      <c r="O28" s="1665"/>
      <c r="P28" s="2238"/>
      <c r="Q28" s="2238"/>
      <c r="R28" s="2238"/>
      <c r="S28" s="2238"/>
      <c r="T28" s="2238"/>
      <c r="U28" s="2238"/>
      <c r="V28" s="2238"/>
    </row>
    <row r="29" spans="1:28">
      <c r="A29" s="3236"/>
      <c r="B29" s="294" t="s">
        <v>2212</v>
      </c>
      <c r="C29" s="2222"/>
      <c r="D29" s="2223"/>
      <c r="E29" s="2435"/>
      <c r="F29" s="2435"/>
      <c r="G29" s="2435"/>
      <c r="H29" s="2435"/>
      <c r="I29" s="2435"/>
      <c r="J29" s="2238"/>
      <c r="K29" s="2395"/>
      <c r="L29" s="2392"/>
      <c r="M29" s="2392"/>
      <c r="N29" s="2238"/>
      <c r="O29" s="1665"/>
      <c r="P29" s="2238"/>
      <c r="Q29" s="2238"/>
      <c r="R29" s="2238"/>
      <c r="S29" s="2238"/>
      <c r="T29" s="2238"/>
      <c r="U29" s="2238"/>
      <c r="V29" s="2238"/>
    </row>
    <row r="30" spans="1:28">
      <c r="A30" s="3237"/>
      <c r="B30" s="294" t="s">
        <v>2213</v>
      </c>
      <c r="C30" s="3238"/>
      <c r="D30" s="3239"/>
      <c r="E30" s="2435"/>
      <c r="F30" s="2435"/>
      <c r="G30" s="2435"/>
      <c r="H30" s="2435"/>
      <c r="I30" s="2435"/>
      <c r="J30" s="2238"/>
      <c r="K30" s="2395"/>
      <c r="L30" s="2392"/>
      <c r="M30" s="2392"/>
      <c r="N30" s="2238"/>
      <c r="O30" s="1665"/>
      <c r="P30" s="2238"/>
      <c r="Q30" s="2238"/>
      <c r="R30" s="2238"/>
      <c r="S30" s="2238"/>
      <c r="T30" s="2238"/>
      <c r="U30" s="2238"/>
      <c r="V30" s="2238"/>
    </row>
    <row r="31" spans="1:28">
      <c r="A31" s="3240" t="s">
        <v>2214</v>
      </c>
      <c r="B31" s="2224" t="s">
        <v>3392</v>
      </c>
      <c r="C31" s="12" t="str">
        <f>IF(B31="现房","成新及维护状况正常否",IF(B31="在建","工程状态是否正常",IF(B31="土地","是否闲置","-")))</f>
        <v>成新及维护状况正常否</v>
      </c>
      <c r="D31" s="1276"/>
      <c r="E31" s="2225"/>
      <c r="F31" s="2435"/>
      <c r="G31" s="2435"/>
      <c r="H31" s="2435"/>
      <c r="I31" s="2435"/>
      <c r="J31" s="2238"/>
      <c r="K31" s="2394"/>
      <c r="L31" s="2392"/>
      <c r="M31" s="2392"/>
      <c r="N31" s="2238"/>
      <c r="O31" s="1665"/>
      <c r="P31" s="2238"/>
      <c r="Q31" s="2238"/>
      <c r="R31" s="2238"/>
      <c r="S31" s="2238"/>
      <c r="T31" s="2238"/>
      <c r="U31" s="2238"/>
      <c r="V31" s="2238"/>
    </row>
    <row r="32" spans="1:28">
      <c r="A32" s="3241"/>
      <c r="B32" s="2224"/>
      <c r="C32" s="12" t="str">
        <f>IF(B32="现房","成新及维护状况是否正常",IF(B32="在建","工程状态是否正常",IF(B32="土地","是否闲置","-")))</f>
        <v>-</v>
      </c>
      <c r="D32" s="1276"/>
      <c r="E32" s="2225"/>
      <c r="F32" s="2435"/>
      <c r="G32" s="2435"/>
      <c r="H32" s="2435"/>
      <c r="I32" s="2435"/>
      <c r="J32" s="2238"/>
      <c r="K32" s="2395"/>
      <c r="L32" s="2392"/>
      <c r="M32" s="2392"/>
      <c r="N32" s="2238"/>
      <c r="O32" s="1665"/>
      <c r="P32" s="2238"/>
      <c r="Q32" s="2238"/>
      <c r="R32" s="2238"/>
      <c r="S32" s="2238"/>
      <c r="T32" s="2238"/>
      <c r="U32" s="2238"/>
      <c r="V32" s="2238"/>
    </row>
    <row r="33" spans="1:30">
      <c r="A33" s="3241"/>
      <c r="B33" s="2227"/>
      <c r="C33" s="1473" t="str">
        <f>IF(B33="现房","成新及维护状况是否正常",IF(B33="在建","工程状态是否正常",IF(B33="土地","是否闲置","-")))</f>
        <v>-</v>
      </c>
      <c r="D33" s="1269"/>
      <c r="E33" s="2228"/>
      <c r="F33" s="2435"/>
      <c r="G33" s="2435"/>
      <c r="H33" s="2435"/>
      <c r="I33" s="2435"/>
      <c r="J33" s="2238"/>
      <c r="K33" s="2395"/>
      <c r="L33" s="2392"/>
      <c r="M33" s="2392"/>
      <c r="N33" s="2238"/>
      <c r="O33" s="1665"/>
      <c r="P33" s="2238"/>
      <c r="Q33" s="2238"/>
      <c r="R33" s="2238"/>
      <c r="S33" s="2238"/>
      <c r="T33" s="2238"/>
      <c r="U33" s="2238"/>
      <c r="V33" s="2238"/>
    </row>
    <row r="34" spans="1:30">
      <c r="A34" s="294" t="s">
        <v>2215</v>
      </c>
      <c r="B34" s="1865"/>
      <c r="C34" s="1865"/>
      <c r="D34" s="1865"/>
      <c r="E34" s="1865"/>
      <c r="F34" s="1865"/>
      <c r="G34" s="1865"/>
      <c r="H34" s="1865"/>
      <c r="I34" s="2435"/>
      <c r="J34" s="2238"/>
      <c r="K34" s="8">
        <f>COUNTIF(B34:H34,"——")</f>
        <v>0</v>
      </c>
      <c r="L34" s="315" t="s">
        <v>2216</v>
      </c>
      <c r="M34" s="315" t="s">
        <v>2217</v>
      </c>
      <c r="N34" s="315" t="s">
        <v>2218</v>
      </c>
      <c r="O34" s="315" t="s">
        <v>2219</v>
      </c>
      <c r="P34" s="315" t="s">
        <v>2220</v>
      </c>
      <c r="Q34" s="315" t="s">
        <v>2221</v>
      </c>
      <c r="R34" s="315" t="s">
        <v>2222</v>
      </c>
      <c r="S34" s="3235" t="s">
        <v>2223</v>
      </c>
      <c r="T34" s="315" t="str">
        <f>NUMBERSTRING(7-K34,1)&amp;"通"</f>
        <v>七通</v>
      </c>
      <c r="U34" s="2238"/>
      <c r="V34" s="2238"/>
    </row>
    <row r="35" spans="1:30">
      <c r="A35" s="2229"/>
      <c r="B35" s="3235" t="s">
        <v>2224</v>
      </c>
      <c r="C35" s="3235"/>
      <c r="D35" s="3235"/>
      <c r="E35" s="3235"/>
      <c r="F35" s="8" t="str">
        <f>C10</f>
        <v>天津市</v>
      </c>
      <c r="G35" s="2435"/>
      <c r="H35" s="2435"/>
      <c r="I35" s="2435"/>
      <c r="J35" s="2238"/>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5"/>
      <c r="T35" s="138" t="str">
        <f>IF(T34="一通",L35,IF(T34="二通",M35,IF(T34="三通",N35,IF(T34="四通",O35,IF(T34="五通",P35,IF(T34="六通",Q35,R35))))))</f>
        <v>、、、、、、</v>
      </c>
      <c r="U35" s="2238"/>
      <c r="V35" s="2238"/>
    </row>
    <row r="36" spans="1:30">
      <c r="A36" s="2178"/>
      <c r="B36" s="8" t="s">
        <v>2180</v>
      </c>
      <c r="C36" s="8" t="s">
        <v>2181</v>
      </c>
      <c r="D36" s="8" t="s">
        <v>2179</v>
      </c>
      <c r="E36" s="8" t="s">
        <v>2184</v>
      </c>
      <c r="F36" s="2793" t="s">
        <v>2576</v>
      </c>
      <c r="G36" s="2435"/>
      <c r="H36" s="2435"/>
      <c r="I36" s="2435"/>
      <c r="J36" s="2238"/>
      <c r="K36" s="2395"/>
      <c r="L36" s="2392"/>
      <c r="M36" s="2392"/>
      <c r="N36" s="2238"/>
      <c r="O36" s="1665"/>
      <c r="P36" s="2238"/>
      <c r="Q36" s="2238"/>
      <c r="R36" s="2238"/>
      <c r="S36" s="2238"/>
      <c r="T36" s="2238"/>
      <c r="U36" s="2238"/>
      <c r="V36" s="2238"/>
    </row>
    <row r="37" spans="1:30">
      <c r="A37" s="2408" t="s">
        <v>2225</v>
      </c>
      <c r="B37" s="2230"/>
      <c r="C37" s="2230"/>
      <c r="D37" s="2230"/>
      <c r="E37" s="2230"/>
      <c r="F37" s="2230"/>
      <c r="G37" s="2435"/>
      <c r="H37" s="2435"/>
      <c r="I37" s="2435"/>
      <c r="J37" s="2238"/>
      <c r="K37" s="2395"/>
      <c r="L37" s="2392"/>
      <c r="M37" s="2392"/>
      <c r="N37" s="2238"/>
      <c r="O37" s="1665"/>
      <c r="P37" s="2238"/>
      <c r="Q37" s="2238"/>
      <c r="R37" s="2238"/>
      <c r="S37" s="2238"/>
      <c r="T37" s="2238"/>
      <c r="U37" s="2238"/>
      <c r="V37" s="2238"/>
    </row>
    <row r="38" spans="1:30" ht="13.8" thickBot="1">
      <c r="A38" s="2409" t="s">
        <v>2226</v>
      </c>
      <c r="B38" s="2231"/>
      <c r="C38" s="2231"/>
      <c r="D38" s="2231"/>
      <c r="E38" s="2231"/>
      <c r="F38" s="2231"/>
      <c r="G38" s="2436"/>
      <c r="H38" s="2436"/>
      <c r="I38" s="2436"/>
      <c r="J38" s="2238"/>
      <c r="K38" s="2395"/>
      <c r="L38" s="2392"/>
      <c r="M38" s="2392"/>
      <c r="N38" s="2238"/>
      <c r="O38" s="1665"/>
      <c r="P38" s="2238"/>
      <c r="Q38" s="2238"/>
      <c r="R38" s="2238"/>
      <c r="S38" s="2238"/>
      <c r="T38" s="2238"/>
      <c r="U38" s="2238"/>
      <c r="V38" s="2238"/>
    </row>
    <row r="39" spans="1:30" s="2234" customFormat="1" ht="14.4" thickTop="1" thickBot="1">
      <c r="A39" s="2232" t="s">
        <v>2227</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1"/>
      <c r="J40" s="2238"/>
      <c r="K40" s="2394"/>
      <c r="L40" s="1665"/>
      <c r="M40" s="1665"/>
      <c r="N40" s="2238"/>
      <c r="O40" s="1665"/>
      <c r="P40" s="2238"/>
      <c r="Q40" s="2238"/>
      <c r="R40" s="2238"/>
      <c r="S40" s="2238"/>
      <c r="T40" s="2238"/>
      <c r="U40" s="2238"/>
      <c r="V40" s="2238"/>
    </row>
    <row r="41" spans="1:30">
      <c r="A41" s="2235" t="s">
        <v>2228</v>
      </c>
      <c r="B41" s="1622"/>
      <c r="C41" s="1276"/>
      <c r="D41" s="2177"/>
      <c r="E41" s="2177"/>
      <c r="F41" s="2177"/>
      <c r="G41" s="2177"/>
      <c r="H41" s="2177"/>
      <c r="I41" s="1461"/>
      <c r="J41" s="2238"/>
      <c r="K41" s="2395"/>
      <c r="L41" s="2392"/>
      <c r="M41" s="2392"/>
      <c r="N41" s="2238"/>
      <c r="O41" s="1665"/>
      <c r="P41" s="2238"/>
      <c r="Q41" s="2238"/>
      <c r="R41" s="2238"/>
      <c r="S41" s="2238"/>
      <c r="T41" s="2238"/>
      <c r="U41" s="2238"/>
      <c r="V41" s="2238"/>
    </row>
    <row r="42" spans="1:30" ht="25.2">
      <c r="A42" s="315" t="s">
        <v>2229</v>
      </c>
      <c r="B42" s="8" t="s">
        <v>2230</v>
      </c>
      <c r="C42" s="8" t="s">
        <v>2231</v>
      </c>
      <c r="D42" s="8" t="s">
        <v>2232</v>
      </c>
      <c r="E42" s="8" t="s">
        <v>2233</v>
      </c>
      <c r="F42" s="8" t="s">
        <v>2234</v>
      </c>
      <c r="G42" s="8" t="s">
        <v>2235</v>
      </c>
      <c r="H42" s="8" t="s">
        <v>2236</v>
      </c>
      <c r="I42" s="8" t="s">
        <v>2237</v>
      </c>
      <c r="J42" s="2404" t="s">
        <v>2238</v>
      </c>
      <c r="K42" s="2405" t="s">
        <v>2239</v>
      </c>
      <c r="L42" s="2405" t="s">
        <v>2240</v>
      </c>
      <c r="M42" s="2405" t="s">
        <v>2241</v>
      </c>
      <c r="N42" s="2398" t="s">
        <v>2242</v>
      </c>
      <c r="O42" s="2398" t="s">
        <v>2243</v>
      </c>
      <c r="P42" s="2398" t="s">
        <v>2244</v>
      </c>
      <c r="Q42" s="2399" t="s">
        <v>2245</v>
      </c>
      <c r="R42" s="2399" t="s">
        <v>2246</v>
      </c>
      <c r="S42" s="2238"/>
      <c r="T42" s="2238"/>
      <c r="U42" s="2238"/>
      <c r="V42" s="2238"/>
    </row>
    <row r="43" spans="1:30" s="1611" customFormat="1">
      <c r="A43" s="1457"/>
      <c r="B43" s="627"/>
      <c r="C43" s="627"/>
      <c r="D43" s="627"/>
      <c r="E43" s="627"/>
      <c r="F43" s="627"/>
      <c r="G43" s="627"/>
      <c r="H43" s="627"/>
      <c r="I43" s="627"/>
      <c r="J43" s="2236"/>
      <c r="K43" s="2237"/>
      <c r="L43" s="2237"/>
      <c r="M43" s="627"/>
      <c r="N43" s="627"/>
      <c r="O43" s="627"/>
      <c r="P43" s="627"/>
      <c r="Q43" s="627"/>
      <c r="R43" s="627"/>
      <c r="S43" s="2238"/>
      <c r="T43" s="2238"/>
      <c r="U43" s="2238"/>
      <c r="V43" s="2238"/>
    </row>
    <row r="44" spans="1:30" s="1611" customFormat="1">
      <c r="A44" s="1457"/>
      <c r="B44" s="1457"/>
      <c r="C44" s="627"/>
      <c r="D44" s="627"/>
      <c r="E44" s="627"/>
      <c r="F44" s="627"/>
      <c r="G44" s="627"/>
      <c r="H44" s="627"/>
      <c r="I44" s="627"/>
      <c r="J44" s="2236"/>
      <c r="K44" s="2237"/>
      <c r="L44" s="2237"/>
      <c r="M44" s="627"/>
      <c r="N44" s="627"/>
      <c r="O44" s="627"/>
      <c r="P44" s="627"/>
      <c r="Q44" s="627"/>
      <c r="R44" s="627"/>
      <c r="S44" s="2238"/>
      <c r="T44" s="2238"/>
      <c r="U44" s="2238"/>
      <c r="V44" s="2238"/>
    </row>
    <row r="45" spans="1:30" s="1611" customFormat="1">
      <c r="A45" s="1457"/>
      <c r="B45" s="1457"/>
      <c r="C45" s="627"/>
      <c r="D45" s="627"/>
      <c r="E45" s="627"/>
      <c r="F45" s="627"/>
      <c r="G45" s="627"/>
      <c r="H45" s="627"/>
      <c r="I45" s="627"/>
      <c r="J45" s="2236"/>
      <c r="K45" s="2237"/>
      <c r="L45" s="2237"/>
      <c r="M45" s="627"/>
      <c r="N45" s="627"/>
      <c r="O45" s="627"/>
      <c r="P45" s="627"/>
      <c r="Q45" s="627"/>
      <c r="R45" s="627"/>
      <c r="S45" s="2238"/>
      <c r="T45" s="2238"/>
      <c r="U45" s="2238"/>
      <c r="V45" s="2238"/>
    </row>
    <row r="46" spans="1:30" s="1611" customFormat="1">
      <c r="A46" s="1457"/>
      <c r="B46" s="1457"/>
      <c r="C46" s="627"/>
      <c r="D46" s="627"/>
      <c r="E46" s="627"/>
      <c r="F46" s="627"/>
      <c r="G46" s="627"/>
      <c r="H46" s="627"/>
      <c r="I46" s="627"/>
      <c r="J46" s="2236"/>
      <c r="K46" s="2237"/>
      <c r="L46" s="2237"/>
      <c r="M46" s="627"/>
      <c r="N46" s="627"/>
      <c r="O46" s="627"/>
      <c r="P46" s="627"/>
      <c r="Q46" s="627"/>
      <c r="R46" s="627"/>
      <c r="S46" s="2238"/>
      <c r="T46" s="2238"/>
      <c r="U46" s="2238"/>
      <c r="V46" s="2238"/>
    </row>
    <row r="47" spans="1:30" s="1611" customFormat="1">
      <c r="A47" s="1457"/>
      <c r="B47" s="1457"/>
      <c r="C47" s="627"/>
      <c r="D47" s="627"/>
      <c r="E47" s="627"/>
      <c r="F47" s="627"/>
      <c r="G47" s="627"/>
      <c r="H47" s="627"/>
      <c r="I47" s="627"/>
      <c r="J47" s="2236"/>
      <c r="K47" s="2237"/>
      <c r="L47" s="2237"/>
      <c r="M47" s="627"/>
      <c r="N47" s="627"/>
      <c r="O47" s="627"/>
      <c r="P47" s="627"/>
      <c r="Q47" s="627"/>
      <c r="R47" s="627"/>
      <c r="S47" s="2238"/>
      <c r="T47" s="2238"/>
      <c r="U47" s="2238"/>
      <c r="V47" s="2238"/>
    </row>
    <row r="48" spans="1:30" s="1611" customFormat="1">
      <c r="A48" s="1457"/>
      <c r="B48" s="1457"/>
      <c r="C48" s="627"/>
      <c r="D48" s="627"/>
      <c r="E48" s="627"/>
      <c r="F48" s="627"/>
      <c r="G48" s="627"/>
      <c r="H48" s="627"/>
      <c r="I48" s="627"/>
      <c r="J48" s="2236"/>
      <c r="K48" s="2237"/>
      <c r="L48" s="2237"/>
      <c r="M48" s="627"/>
      <c r="N48" s="627"/>
      <c r="O48" s="627"/>
      <c r="P48" s="627"/>
      <c r="Q48" s="627"/>
      <c r="R48" s="627"/>
      <c r="S48" s="2238"/>
      <c r="T48" s="2238"/>
      <c r="U48" s="2238"/>
      <c r="V48" s="2238"/>
    </row>
    <row r="49" spans="1:22" s="1611" customFormat="1">
      <c r="A49" s="1457"/>
      <c r="B49" s="1457"/>
      <c r="C49" s="627"/>
      <c r="D49" s="627"/>
      <c r="E49" s="627"/>
      <c r="F49" s="627"/>
      <c r="G49" s="627"/>
      <c r="H49" s="627"/>
      <c r="I49" s="627"/>
      <c r="J49" s="2236"/>
      <c r="K49" s="2237"/>
      <c r="L49" s="2237"/>
      <c r="M49" s="627"/>
      <c r="N49" s="627"/>
      <c r="O49" s="627"/>
      <c r="P49" s="627"/>
      <c r="Q49" s="627"/>
      <c r="R49" s="627"/>
      <c r="S49" s="2238"/>
      <c r="T49" s="2238"/>
      <c r="U49" s="2238"/>
      <c r="V49" s="2238"/>
    </row>
    <row r="50" spans="1:22" s="1611" customFormat="1">
      <c r="A50" s="1457"/>
      <c r="B50" s="1457"/>
      <c r="C50" s="627"/>
      <c r="D50" s="627"/>
      <c r="E50" s="627"/>
      <c r="F50" s="627"/>
      <c r="G50" s="627"/>
      <c r="H50" s="627"/>
      <c r="I50" s="627"/>
      <c r="J50" s="2236"/>
      <c r="K50" s="2237"/>
      <c r="L50" s="2237"/>
      <c r="M50" s="627"/>
      <c r="N50" s="627"/>
      <c r="O50" s="627"/>
      <c r="P50" s="627"/>
      <c r="Q50" s="627"/>
      <c r="R50" s="627"/>
      <c r="S50" s="2238"/>
      <c r="T50" s="2238"/>
      <c r="U50" s="2238"/>
      <c r="V50" s="2238"/>
    </row>
    <row r="51" spans="1:22" s="1611" customFormat="1">
      <c r="A51" s="1457"/>
      <c r="B51" s="1457"/>
      <c r="C51" s="627"/>
      <c r="D51" s="627"/>
      <c r="E51" s="627"/>
      <c r="F51" s="627"/>
      <c r="G51" s="627"/>
      <c r="H51" s="627"/>
      <c r="I51" s="627"/>
      <c r="J51" s="2236"/>
      <c r="K51" s="2237"/>
      <c r="L51" s="2237"/>
      <c r="M51" s="627"/>
      <c r="N51" s="627"/>
      <c r="O51" s="627"/>
      <c r="P51" s="627"/>
      <c r="Q51" s="627"/>
      <c r="R51" s="627"/>
    </row>
    <row r="52" spans="1:22" s="1611" customFormat="1">
      <c r="A52" s="1457"/>
      <c r="B52" s="1457"/>
      <c r="C52" s="1457"/>
      <c r="D52" s="1457"/>
      <c r="E52" s="1457"/>
      <c r="F52" s="627"/>
      <c r="G52" s="1457"/>
      <c r="H52" s="1457"/>
      <c r="I52" s="1457"/>
      <c r="J52" s="2239"/>
      <c r="K52" s="2237"/>
      <c r="L52" s="2237"/>
      <c r="M52" s="2237"/>
      <c r="N52" s="1457"/>
      <c r="O52" s="1457"/>
      <c r="P52" s="1457"/>
      <c r="Q52" s="1457"/>
      <c r="R52" s="1457"/>
    </row>
    <row r="53" spans="1:22" s="1611" customFormat="1">
      <c r="A53" s="1457"/>
      <c r="B53" s="1457"/>
      <c r="C53" s="1457"/>
      <c r="D53" s="1457"/>
      <c r="E53" s="1457"/>
      <c r="F53" s="627"/>
      <c r="G53" s="1457"/>
      <c r="H53" s="1457"/>
      <c r="I53" s="1457"/>
      <c r="J53" s="2239"/>
      <c r="K53" s="2237"/>
      <c r="L53" s="2237"/>
      <c r="M53" s="2237"/>
      <c r="N53" s="1457"/>
      <c r="O53" s="1457"/>
      <c r="P53" s="1457"/>
      <c r="Q53" s="1457"/>
      <c r="R53" s="1457"/>
    </row>
    <row r="54" spans="1:22" s="1611" customFormat="1">
      <c r="A54" s="1457"/>
      <c r="B54" s="1457"/>
      <c r="C54" s="1457"/>
      <c r="D54" s="1457"/>
      <c r="E54" s="1457"/>
      <c r="F54" s="627"/>
      <c r="G54" s="1457"/>
      <c r="H54" s="1457"/>
      <c r="I54" s="1457"/>
      <c r="J54" s="2239"/>
      <c r="K54" s="2237"/>
      <c r="L54" s="2237"/>
      <c r="M54" s="2237"/>
      <c r="N54" s="1457"/>
      <c r="O54" s="1457"/>
      <c r="P54" s="1457"/>
      <c r="Q54" s="1457"/>
      <c r="R54" s="1457"/>
    </row>
    <row r="55" spans="1:22" s="1611" customFormat="1">
      <c r="A55" s="1457"/>
      <c r="B55" s="1457"/>
      <c r="C55" s="1457"/>
      <c r="D55" s="1457"/>
      <c r="E55" s="1457"/>
      <c r="F55" s="627"/>
      <c r="G55" s="1457"/>
      <c r="H55" s="1457"/>
      <c r="I55" s="1457"/>
      <c r="J55" s="2239"/>
      <c r="K55" s="2237"/>
      <c r="L55" s="2237"/>
      <c r="M55" s="2237"/>
      <c r="N55" s="1457"/>
      <c r="O55" s="1457"/>
      <c r="P55" s="1457"/>
      <c r="Q55" s="1457"/>
      <c r="R55" s="1457"/>
    </row>
    <row r="56" spans="1:22" s="1611" customFormat="1">
      <c r="A56" s="1457"/>
      <c r="B56" s="1457"/>
      <c r="C56" s="1457"/>
      <c r="D56" s="1457"/>
      <c r="E56" s="1457"/>
      <c r="F56" s="627"/>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B32A9-D7C9-4BD5-97A9-7B5252150E89}">
  <sheetPr>
    <tabColor rgb="FFFFFF00"/>
  </sheetPr>
  <dimension ref="A1:V16"/>
  <sheetViews>
    <sheetView workbookViewId="0">
      <selection activeCell="R16" sqref="R16"/>
    </sheetView>
  </sheetViews>
  <sheetFormatPr defaultRowHeight="14.4"/>
  <sheetData>
    <row r="1" spans="1:22">
      <c r="A1" s="1400" t="s">
        <v>3615</v>
      </c>
      <c r="Q1" s="1400" t="s">
        <v>3617</v>
      </c>
      <c r="R1" s="1400" t="s">
        <v>3618</v>
      </c>
      <c r="S1" s="1400" t="s">
        <v>3619</v>
      </c>
      <c r="T1" s="1400" t="s">
        <v>3620</v>
      </c>
      <c r="U1" s="1400" t="s">
        <v>3621</v>
      </c>
      <c r="V1" s="1400" t="s">
        <v>3622</v>
      </c>
    </row>
    <row r="2" spans="1:22">
      <c r="A2" s="1400" t="s">
        <v>3591</v>
      </c>
      <c r="I2" s="1400" t="s">
        <v>3604</v>
      </c>
      <c r="P2" s="1400" t="s">
        <v>3616</v>
      </c>
      <c r="Q2">
        <v>126.87</v>
      </c>
      <c r="R2" s="1400" t="s">
        <v>3626</v>
      </c>
      <c r="S2">
        <v>23647</v>
      </c>
      <c r="T2">
        <v>300</v>
      </c>
      <c r="U2" s="1400" t="s">
        <v>3623</v>
      </c>
      <c r="V2" s="1400" t="s">
        <v>3624</v>
      </c>
    </row>
    <row r="3" spans="1:22">
      <c r="A3" s="1400" t="s">
        <v>3592</v>
      </c>
      <c r="B3" s="1400" t="s">
        <v>3534</v>
      </c>
      <c r="C3" s="1400" t="s">
        <v>3593</v>
      </c>
      <c r="D3" s="1400" t="s">
        <v>3594</v>
      </c>
      <c r="E3" s="1400" t="s">
        <v>3595</v>
      </c>
      <c r="F3" s="1400" t="s">
        <v>3599</v>
      </c>
      <c r="Q3">
        <v>117.03</v>
      </c>
      <c r="R3" s="1400" t="s">
        <v>3625</v>
      </c>
      <c r="S3">
        <v>24780</v>
      </c>
      <c r="T3">
        <v>290</v>
      </c>
      <c r="U3" s="1400" t="s">
        <v>3627</v>
      </c>
      <c r="V3" s="1400" t="s">
        <v>3624</v>
      </c>
    </row>
    <row r="4" spans="1:22">
      <c r="A4" s="3155">
        <v>93.53</v>
      </c>
      <c r="B4" s="3155">
        <v>19</v>
      </c>
      <c r="C4" s="3155">
        <v>190</v>
      </c>
      <c r="D4" s="3155">
        <f>ROUND(C4*10000/A4,0)</f>
        <v>20314</v>
      </c>
      <c r="E4" s="3156" t="s">
        <v>3596</v>
      </c>
      <c r="F4" s="3156" t="s">
        <v>3598</v>
      </c>
      <c r="G4" s="1400" t="s">
        <v>3602</v>
      </c>
      <c r="Q4">
        <v>113.66</v>
      </c>
      <c r="R4" s="1400" t="s">
        <v>3626</v>
      </c>
      <c r="S4">
        <v>21380</v>
      </c>
      <c r="T4">
        <v>243</v>
      </c>
      <c r="U4" s="1400" t="s">
        <v>3627</v>
      </c>
      <c r="V4" s="1400" t="s">
        <v>3624</v>
      </c>
    </row>
    <row r="5" spans="1:22">
      <c r="A5" s="3155">
        <v>93.53</v>
      </c>
      <c r="B5" s="3155"/>
      <c r="C5" s="3155">
        <v>200</v>
      </c>
      <c r="D5" s="3155">
        <f t="shared" ref="D5:D16" si="0">ROUND(C5*10000/A5,0)</f>
        <v>21384</v>
      </c>
      <c r="E5" s="3156" t="s">
        <v>3597</v>
      </c>
      <c r="F5" s="3155"/>
    </row>
    <row r="6" spans="1:22">
      <c r="A6" s="3155">
        <v>93.53</v>
      </c>
      <c r="B6" s="3155">
        <v>12</v>
      </c>
      <c r="C6" s="3155">
        <v>186</v>
      </c>
      <c r="D6" s="3155">
        <f t="shared" si="0"/>
        <v>19887</v>
      </c>
      <c r="E6" s="3156" t="s">
        <v>3597</v>
      </c>
      <c r="F6" s="3155"/>
      <c r="G6" s="1400" t="s">
        <v>3605</v>
      </c>
    </row>
    <row r="7" spans="1:22">
      <c r="D7" s="3155"/>
    </row>
    <row r="8" spans="1:22">
      <c r="A8" s="3155">
        <v>105</v>
      </c>
      <c r="B8" s="3155">
        <v>5</v>
      </c>
      <c r="C8" s="3155">
        <v>180</v>
      </c>
      <c r="D8" s="3155">
        <f t="shared" si="0"/>
        <v>17143</v>
      </c>
      <c r="E8" s="3156" t="s">
        <v>3596</v>
      </c>
      <c r="F8" s="3156" t="s">
        <v>3600</v>
      </c>
      <c r="G8" s="1400" t="s">
        <v>3602</v>
      </c>
      <c r="L8" s="1400" t="s">
        <v>3606</v>
      </c>
    </row>
    <row r="9" spans="1:22">
      <c r="A9" s="3155">
        <v>105</v>
      </c>
      <c r="B9" s="3155"/>
      <c r="C9" s="3155">
        <v>125</v>
      </c>
      <c r="D9" s="3155">
        <f t="shared" si="0"/>
        <v>11905</v>
      </c>
      <c r="E9" s="3156" t="s">
        <v>3597</v>
      </c>
      <c r="F9" s="3156"/>
      <c r="L9" s="1400" t="s">
        <v>3607</v>
      </c>
    </row>
    <row r="10" spans="1:22">
      <c r="D10" s="3155"/>
    </row>
    <row r="11" spans="1:22">
      <c r="A11" s="3155">
        <v>113</v>
      </c>
      <c r="B11" s="3155"/>
      <c r="C11" s="3155">
        <v>215</v>
      </c>
      <c r="D11" s="3155">
        <f t="shared" si="0"/>
        <v>19027</v>
      </c>
      <c r="E11" s="3156" t="s">
        <v>3596</v>
      </c>
      <c r="F11" s="3156" t="s">
        <v>3601</v>
      </c>
      <c r="G11" s="1400" t="s">
        <v>3602</v>
      </c>
    </row>
    <row r="12" spans="1:22">
      <c r="D12" s="3155"/>
    </row>
    <row r="13" spans="1:22">
      <c r="A13" s="3155">
        <v>126</v>
      </c>
      <c r="B13" s="3155"/>
      <c r="C13" s="3155">
        <v>248</v>
      </c>
      <c r="D13" s="3155">
        <f t="shared" si="0"/>
        <v>19683</v>
      </c>
      <c r="E13" s="3156" t="s">
        <v>3596</v>
      </c>
      <c r="F13" s="3156" t="s">
        <v>3601</v>
      </c>
      <c r="G13" s="1400" t="s">
        <v>3603</v>
      </c>
    </row>
    <row r="14" spans="1:22">
      <c r="D14" s="3155"/>
    </row>
    <row r="15" spans="1:22">
      <c r="A15" s="3155">
        <v>94.2</v>
      </c>
      <c r="B15" s="3155"/>
      <c r="C15" s="3155">
        <v>160</v>
      </c>
      <c r="D15" s="3155">
        <f t="shared" si="0"/>
        <v>16985</v>
      </c>
      <c r="E15" s="3155"/>
      <c r="F15" s="3156" t="s">
        <v>3609</v>
      </c>
    </row>
    <row r="16" spans="1:22">
      <c r="A16" s="3155">
        <v>94.2</v>
      </c>
      <c r="B16" s="3155">
        <v>18</v>
      </c>
      <c r="C16" s="3155">
        <v>125</v>
      </c>
      <c r="D16" s="3155">
        <f t="shared" si="0"/>
        <v>13270</v>
      </c>
      <c r="E16" s="3156" t="s">
        <v>3596</v>
      </c>
      <c r="F16" s="3155"/>
      <c r="G16" s="1400" t="s">
        <v>3605</v>
      </c>
      <c r="H16" s="1400" t="s">
        <v>3608</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58" customWidth="1"/>
    <col min="2" max="2" width="11" style="1458" customWidth="1"/>
    <col min="3" max="3" width="10.33203125" style="1458" customWidth="1"/>
    <col min="4" max="4" width="9.109375" style="1458" customWidth="1"/>
    <col min="5" max="8" width="10" style="1458" customWidth="1"/>
    <col min="9" max="9" width="10.6640625" style="1458" customWidth="1"/>
    <col min="10" max="10" width="9.44140625" style="1458" customWidth="1"/>
    <col min="11" max="11" width="11" style="1458" customWidth="1"/>
    <col min="12" max="14" width="9.44140625" style="1458" customWidth="1"/>
    <col min="15" max="15" width="9.88671875" style="1458" customWidth="1"/>
    <col min="16" max="16" width="9.77734375" style="1458" customWidth="1"/>
    <col min="17" max="17" width="9.33203125" style="1458" customWidth="1"/>
    <col min="18" max="18" width="9.21875" style="1458" customWidth="1"/>
    <col min="19" max="19" width="10.88671875" style="1458" customWidth="1"/>
    <col min="20" max="21" width="10.77734375" style="1458" customWidth="1"/>
    <col min="22" max="22" width="10.88671875" style="1458" customWidth="1"/>
    <col min="23" max="27" width="10.77734375" style="1458" customWidth="1"/>
    <col min="28" max="28" width="10.88671875" style="1458" customWidth="1"/>
    <col min="29" max="29" width="11" style="1458" bestFit="1" customWidth="1"/>
    <col min="30" max="30" width="10" style="1458" bestFit="1" customWidth="1"/>
    <col min="31" max="31" width="9.77734375" style="1458" customWidth="1"/>
    <col min="32" max="46" width="9.44140625" style="1458" customWidth="1"/>
    <col min="47" max="47" width="18.109375" style="1458" customWidth="1"/>
    <col min="48" max="50" width="9.77734375" style="1458" customWidth="1"/>
    <col min="51" max="55" width="10.44140625" style="1458" bestFit="1" customWidth="1"/>
    <col min="56" max="56" width="9.44140625" style="1458" bestFit="1" customWidth="1"/>
    <col min="57" max="63" width="9.109375" style="1458" bestFit="1" customWidth="1"/>
    <col min="64" max="64" width="9.44140625" style="1458" bestFit="1" customWidth="1"/>
    <col min="65" max="65" width="9.109375" style="1458" bestFit="1" customWidth="1"/>
    <col min="66" max="66" width="9.44140625" style="1458" bestFit="1" customWidth="1"/>
    <col min="67" max="69" width="9.109375" style="1458" bestFit="1" customWidth="1"/>
    <col min="70" max="70" width="9.44140625" style="1458" bestFit="1" customWidth="1"/>
    <col min="71" max="71" width="9" style="1458" customWidth="1"/>
    <col min="72" max="72" width="9.109375" style="1458" bestFit="1" customWidth="1"/>
    <col min="73" max="16384" width="8.88671875" style="1458"/>
  </cols>
  <sheetData>
    <row r="1" spans="1:72" ht="21">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3" t="s">
        <v>1067</v>
      </c>
      <c r="AZ2" s="984"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3.2">
      <c r="A3" s="10"/>
      <c r="B3" s="11">
        <f>IF(C3="否",G5-AT5,G5)</f>
        <v>121.97</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5"/>
      <c r="AZ3" s="627"/>
      <c r="BA3" s="986"/>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3.2">
      <c r="A5" s="12" t="s">
        <v>1071</v>
      </c>
      <c r="B5" s="1254"/>
      <c r="C5" s="1254"/>
      <c r="D5" s="1255"/>
      <c r="E5" s="13" t="s">
        <v>0</v>
      </c>
      <c r="F5" s="13">
        <f>SUM(F13:F587)</f>
        <v>0</v>
      </c>
      <c r="G5" s="13">
        <f>SUM(G13:G587)</f>
        <v>121.97</v>
      </c>
      <c r="H5" s="13">
        <f t="shared" ref="H5:AT5" si="0">SUM(H13:H656)</f>
        <v>121.97</v>
      </c>
      <c r="I5" s="13">
        <f t="shared" si="0"/>
        <v>121.97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121.97</v>
      </c>
      <c r="BA5" s="15">
        <f t="shared" si="1"/>
        <v>121.97</v>
      </c>
      <c r="BB5" s="15">
        <f t="shared" si="1"/>
        <v>121.97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3.2">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5.2">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4" t="s">
        <v>1087</v>
      </c>
      <c r="AU8" s="1477" t="s">
        <v>1088</v>
      </c>
      <c r="AV8" s="1004"/>
      <c r="AW8" s="1462"/>
      <c r="AX8" s="1004"/>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3.2">
      <c r="A9" s="1477"/>
      <c r="B9" s="1477"/>
      <c r="C9" s="1477"/>
      <c r="D9" s="1477"/>
      <c r="E9" s="1477"/>
      <c r="F9" s="1477"/>
      <c r="G9" s="1004"/>
      <c r="H9" s="1485" t="s">
        <v>1091</v>
      </c>
      <c r="I9" s="1486" t="s">
        <v>3557</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8"/>
      <c r="AT9" s="1477"/>
      <c r="AU9" s="1477" t="s">
        <v>1094</v>
      </c>
      <c r="AV9" s="1004"/>
      <c r="AW9" s="1462"/>
      <c r="AX9" s="1004"/>
      <c r="AY9" s="25"/>
      <c r="AZ9" s="25" t="s">
        <v>1084</v>
      </c>
      <c r="BA9" s="1489" t="s">
        <v>1095</v>
      </c>
      <c r="BB9" s="1490"/>
      <c r="BC9" s="1022"/>
      <c r="BD9" s="1022"/>
      <c r="BE9" s="1022"/>
      <c r="BF9" s="1022"/>
      <c r="BG9" s="1022"/>
      <c r="BH9" s="1022"/>
      <c r="BI9" s="1022"/>
      <c r="BJ9" s="1022"/>
      <c r="BK9" s="1491"/>
      <c r="BL9" s="12" t="s">
        <v>1096</v>
      </c>
      <c r="BM9" s="1264"/>
      <c r="BN9" s="1480"/>
      <c r="BO9" s="1264"/>
      <c r="BP9" s="1264"/>
      <c r="BQ9" s="1264"/>
      <c r="BR9" s="1264"/>
      <c r="BS9" s="1264"/>
      <c r="BT9" s="23"/>
    </row>
    <row r="10" spans="1:72" s="1484" customFormat="1" ht="13.2">
      <c r="A10" s="1477"/>
      <c r="B10" s="1477"/>
      <c r="C10" s="1477"/>
      <c r="D10" s="1477"/>
      <c r="E10" s="1477"/>
      <c r="F10" s="1477"/>
      <c r="G10" s="1004"/>
      <c r="H10" s="25"/>
      <c r="I10" s="1486" t="s">
        <v>3558</v>
      </c>
      <c r="J10" s="760"/>
      <c r="K10" s="1492"/>
      <c r="L10" s="760"/>
      <c r="M10" s="1492"/>
      <c r="N10" s="760"/>
      <c r="O10" s="1492"/>
      <c r="P10" s="760"/>
      <c r="Q10" s="1492"/>
      <c r="R10" s="760"/>
      <c r="S10" s="1492"/>
      <c r="T10" s="760"/>
      <c r="U10" s="1492"/>
      <c r="V10" s="760"/>
      <c r="W10" s="1492"/>
      <c r="X10" s="760"/>
      <c r="Y10" s="1492"/>
      <c r="Z10" s="760"/>
      <c r="AA10" s="1492"/>
      <c r="AB10" s="760"/>
      <c r="AC10" s="1004"/>
      <c r="AD10" s="12" t="s">
        <v>1097</v>
      </c>
      <c r="AE10" s="1493"/>
      <c r="AF10" s="12" t="s">
        <v>1097</v>
      </c>
      <c r="AG10" s="1493"/>
      <c r="AH10" s="12" t="s">
        <v>1098</v>
      </c>
      <c r="AI10" s="1493"/>
      <c r="AJ10" s="12" t="s">
        <v>1098</v>
      </c>
      <c r="AK10" s="1493"/>
      <c r="AL10" s="12" t="s">
        <v>1099</v>
      </c>
      <c r="AM10" s="1010"/>
      <c r="AN10" s="12" t="s">
        <v>1099</v>
      </c>
      <c r="AO10" s="1010"/>
      <c r="AP10" s="12" t="s">
        <v>1100</v>
      </c>
      <c r="AQ10" s="1010"/>
      <c r="AR10" s="12" t="s">
        <v>1100</v>
      </c>
      <c r="AS10" s="1010"/>
      <c r="AT10" s="1477"/>
      <c r="AU10" s="1477"/>
      <c r="AV10" s="1004"/>
      <c r="AW10" s="1462"/>
      <c r="AX10" s="1004"/>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3.2">
      <c r="A11" s="1477"/>
      <c r="B11" s="1477"/>
      <c r="C11" s="1477"/>
      <c r="D11" s="1477"/>
      <c r="E11" s="1477"/>
      <c r="F11" s="1477"/>
      <c r="G11" s="1004"/>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4"/>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4"/>
      <c r="AW11" s="1462"/>
      <c r="AX11" s="1004"/>
      <c r="AY11" s="25"/>
      <c r="AZ11" s="25"/>
      <c r="BA11" s="25"/>
      <c r="BB11" s="1482" t="str">
        <f>I10</f>
        <v>住宅</v>
      </c>
      <c r="BC11" s="1482">
        <f>K10</f>
        <v>0</v>
      </c>
      <c r="BD11" s="1482">
        <f>M10</f>
        <v>0</v>
      </c>
      <c r="BE11" s="1482">
        <f>O10</f>
        <v>0</v>
      </c>
      <c r="BF11" s="1482">
        <f>Q10</f>
        <v>0</v>
      </c>
      <c r="BG11" s="1482">
        <f>S10</f>
        <v>0</v>
      </c>
      <c r="BH11" s="1482">
        <f>U10</f>
        <v>0</v>
      </c>
      <c r="BI11" s="1482">
        <f>W10</f>
        <v>0</v>
      </c>
      <c r="BJ11" s="1482">
        <f>Y10</f>
        <v>0</v>
      </c>
      <c r="BK11" s="1482">
        <f>AA10</f>
        <v>0</v>
      </c>
      <c r="BL11" s="1004"/>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3.2">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4"/>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3.2">
      <c r="A13" s="627"/>
      <c r="B13" s="627"/>
      <c r="C13" s="627" t="str">
        <f>'2号楼'!F13</f>
        <v>2-1-1202</v>
      </c>
      <c r="D13" s="1508" t="s">
        <v>3390</v>
      </c>
      <c r="E13" s="13">
        <f>IF($C$3="是",ROUND($A$3*G13/$B$3,2),ROUND($A$3*(G13-AT13)/$B$3,2))</f>
        <v>0</v>
      </c>
      <c r="F13" s="29"/>
      <c r="G13" s="30">
        <f>H13+AC13+AT13</f>
        <v>121.97</v>
      </c>
      <c r="H13" s="17">
        <f>SUMIF(I$12:AB$12,"总值",I13:AB13)</f>
        <v>121.97</v>
      </c>
      <c r="I13" s="1509">
        <f>'2号楼'!K13</f>
        <v>121.97</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0"/>
      <c r="AV13" s="8">
        <f t="shared" ref="AV13:AX17" si="6">A13</f>
        <v>0</v>
      </c>
      <c r="AW13" s="8">
        <f t="shared" si="6"/>
        <v>0</v>
      </c>
      <c r="AX13" s="8" t="str">
        <f t="shared" si="6"/>
        <v>2-1-1202</v>
      </c>
      <c r="AY13" s="1255">
        <f>ROUND($AY$6*AZ13/$AZ$5,2)</f>
        <v>0</v>
      </c>
      <c r="AZ13" s="13">
        <f>BA13+BL13</f>
        <v>121.97</v>
      </c>
      <c r="BA13" s="13">
        <f>SUM(BB13:BK13)</f>
        <v>121.97</v>
      </c>
      <c r="BB13" s="13">
        <f>IF($D13="是",I13-J13,0)</f>
        <v>121.97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3.2">
      <c r="A14" s="627"/>
      <c r="B14" s="627"/>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3.2">
      <c r="A15" s="627"/>
      <c r="B15" s="627"/>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3.2">
      <c r="A16" s="627"/>
      <c r="B16" s="627"/>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3.2">
      <c r="A17" s="627"/>
      <c r="B17" s="627"/>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17" customWidth="1"/>
    <col min="2" max="2" width="10.21875" style="1517" customWidth="1"/>
    <col min="3" max="3" width="18.44140625" style="1517" customWidth="1"/>
    <col min="4" max="4" width="11.6640625" style="1517" customWidth="1"/>
    <col min="5" max="5" width="13.33203125" style="1517" customWidth="1"/>
    <col min="6" max="8" width="11.44140625" style="1517" customWidth="1"/>
    <col min="9" max="9" width="11.109375" style="1517" customWidth="1"/>
    <col min="10" max="10" width="3.109375" style="1517" customWidth="1"/>
    <col min="11" max="16" width="10" style="1517" customWidth="1"/>
    <col min="17" max="17" width="2.6640625" style="1517" customWidth="1"/>
    <col min="18" max="18" width="9.33203125" style="1517" bestFit="1" customWidth="1"/>
    <col min="19" max="19" width="10.44140625" style="1517" bestFit="1" customWidth="1"/>
    <col min="20" max="16384" width="9.21875" style="1517"/>
  </cols>
  <sheetData>
    <row r="1" spans="1:16" ht="18" thickBot="1">
      <c r="A1" s="1516" t="s">
        <v>1130</v>
      </c>
      <c r="B1" s="1068"/>
      <c r="C1" s="1068"/>
      <c r="D1" s="1068"/>
      <c r="E1" s="1068"/>
      <c r="F1" s="1068"/>
      <c r="G1" s="1068"/>
      <c r="H1" s="1068"/>
      <c r="I1" s="1068"/>
      <c r="J1" s="1068"/>
      <c r="K1" s="1068"/>
      <c r="L1" s="1068"/>
      <c r="M1" s="1068"/>
      <c r="N1" s="1068"/>
      <c r="O1" s="1068"/>
      <c r="P1" s="1068"/>
    </row>
    <row r="2" spans="1:16" ht="14.4">
      <c r="A2" s="3251" t="s">
        <v>1131</v>
      </c>
      <c r="B2" s="3251"/>
      <c r="C2" s="3251"/>
      <c r="D2" s="747" t="s">
        <v>1107</v>
      </c>
      <c r="E2" s="1518" t="s">
        <v>1108</v>
      </c>
      <c r="F2" s="2432"/>
      <c r="G2" s="2425"/>
      <c r="H2" s="2426"/>
      <c r="I2" s="2141" t="s">
        <v>1132</v>
      </c>
      <c r="J2" s="2432"/>
      <c r="K2" s="2432"/>
      <c r="L2" s="2432"/>
      <c r="M2" s="2432"/>
      <c r="N2" s="2433"/>
      <c r="O2" s="2432"/>
      <c r="P2" s="2432"/>
    </row>
    <row r="3" spans="1:16" ht="15" thickBot="1">
      <c r="A3" s="3252" t="s">
        <v>1105</v>
      </c>
      <c r="B3" s="3252"/>
      <c r="C3" s="3252"/>
      <c r="D3" s="41">
        <f>'数据-基础表'!AY6</f>
        <v>0</v>
      </c>
      <c r="E3" s="41">
        <f>'数据-基础表'!AZ5</f>
        <v>121.97</v>
      </c>
      <c r="F3" s="2432"/>
      <c r="G3" s="42"/>
      <c r="H3" s="43" t="s">
        <v>1106</v>
      </c>
      <c r="I3" s="801" t="e">
        <f>ROUND('数据-基础表'!B3/'数据-基础表'!A3,2)</f>
        <v>#DIV/0!</v>
      </c>
      <c r="J3" s="2432"/>
      <c r="K3" s="2432"/>
      <c r="L3" s="2432"/>
      <c r="M3" s="2432"/>
      <c r="N3" s="2433"/>
      <c r="O3" s="2432"/>
      <c r="P3" s="2432"/>
    </row>
    <row r="4" spans="1:16" ht="14.4">
      <c r="A4" s="3253"/>
      <c r="B4" s="3254"/>
      <c r="C4" s="3255"/>
      <c r="D4" s="1519" t="s">
        <v>1107</v>
      </c>
      <c r="E4" s="1520" t="s">
        <v>1108</v>
      </c>
      <c r="F4" s="2432"/>
      <c r="G4" s="2427" t="s">
        <v>1133</v>
      </c>
      <c r="H4" s="43" t="s">
        <v>1113</v>
      </c>
      <c r="I4" s="801" t="e">
        <f>ROUND(SUMIF('数据-基础表'!I9:AS9,"地上",'数据-基础表'!I5:AS5)/'数据-基础表'!A3,2)</f>
        <v>#DIV/0!</v>
      </c>
      <c r="J4" s="2432"/>
      <c r="K4" s="2432"/>
      <c r="L4" s="2432"/>
      <c r="M4" s="2432"/>
      <c r="N4" s="2433"/>
      <c r="O4" s="2432"/>
      <c r="P4" s="2432"/>
    </row>
    <row r="5" spans="1:16" ht="14.4">
      <c r="A5" s="42" t="s">
        <v>1109</v>
      </c>
      <c r="B5" s="3256" t="s">
        <v>1110</v>
      </c>
      <c r="C5" s="3256"/>
      <c r="D5" s="43">
        <f>ROUND($D$3*E5/$E$3,2)</f>
        <v>0</v>
      </c>
      <c r="E5" s="44">
        <f>SUMIF('数据-基础表'!$11:$11,"住宅",'数据-基础表'!$5:$5)</f>
        <v>121.97</v>
      </c>
      <c r="F5" s="2432"/>
      <c r="G5" s="42"/>
      <c r="H5" s="43" t="s">
        <v>1106</v>
      </c>
      <c r="I5" s="801" t="e">
        <f>ROUND(E31/D31,2)</f>
        <v>#DIV/0!</v>
      </c>
      <c r="J5" s="2432"/>
      <c r="K5" s="2432"/>
      <c r="L5" s="2432"/>
      <c r="M5" s="2432"/>
      <c r="N5" s="2432"/>
      <c r="O5" s="2432"/>
      <c r="P5" s="2432"/>
    </row>
    <row r="6" spans="1:16" ht="15" thickBot="1">
      <c r="A6" s="1522"/>
      <c r="B6" s="3256" t="s">
        <v>1111</v>
      </c>
      <c r="C6" s="3256"/>
      <c r="D6" s="43">
        <f>ROUND($D$3*E6/$E$3,2)</f>
        <v>0</v>
      </c>
      <c r="E6" s="44">
        <f>E3-E5</f>
        <v>0</v>
      </c>
      <c r="F6" s="2432"/>
      <c r="G6" s="1524" t="s">
        <v>1112</v>
      </c>
      <c r="H6" s="45" t="s">
        <v>1113</v>
      </c>
      <c r="I6" s="2428" t="e">
        <f>ROUND(F31/D31,2)</f>
        <v>#DIV/0!</v>
      </c>
      <c r="J6" s="2432"/>
      <c r="K6" s="2432"/>
      <c r="L6" s="2432"/>
      <c r="M6" s="2432"/>
      <c r="N6" s="2432"/>
      <c r="O6" s="2432"/>
      <c r="P6" s="2432"/>
    </row>
    <row r="7" spans="1:16" ht="15" thickBot="1">
      <c r="A7" s="3248"/>
      <c r="B7" s="3249"/>
      <c r="C7" s="3250"/>
      <c r="D7" s="1519" t="s">
        <v>1107</v>
      </c>
      <c r="E7" s="1523"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0</v>
      </c>
      <c r="E8" s="46">
        <f>SUMIF('数据-基础表'!BB10:BK10,"地上",'数据-基础表'!BB5:BK5)</f>
        <v>121.97</v>
      </c>
      <c r="F8" s="2432"/>
      <c r="G8" s="2432"/>
      <c r="H8" s="2432"/>
      <c r="I8" s="2432"/>
      <c r="J8" s="2432"/>
      <c r="K8" s="2432"/>
      <c r="L8" s="2432"/>
      <c r="M8" s="2432"/>
      <c r="N8" s="2432"/>
      <c r="O8" s="2432"/>
      <c r="P8" s="2432"/>
    </row>
    <row r="9" spans="1:16" ht="14.4">
      <c r="A9" s="1524"/>
      <c r="B9" s="1525"/>
      <c r="C9" s="43" t="s">
        <v>1119</v>
      </c>
      <c r="D9" s="43">
        <f t="shared" si="0"/>
        <v>0</v>
      </c>
      <c r="E9" s="47">
        <v>0</v>
      </c>
      <c r="F9" s="2432"/>
      <c r="G9" s="2432"/>
      <c r="H9" s="2432"/>
      <c r="I9" s="2432"/>
      <c r="J9" s="2432"/>
      <c r="K9" s="2432"/>
      <c r="L9" s="2432"/>
      <c r="M9" s="2432"/>
      <c r="N9" s="2432"/>
      <c r="O9" s="2432"/>
      <c r="P9" s="2432"/>
    </row>
    <row r="10" spans="1:16" ht="14.4">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4"/>
      <c r="B13" s="1525"/>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2"/>
      <c r="B16" s="1525"/>
      <c r="C16" s="45" t="s">
        <v>1123</v>
      </c>
      <c r="D16" s="45">
        <f>SUM(D8:D15)</f>
        <v>0</v>
      </c>
      <c r="E16" s="48">
        <f>SUM(E8:E15)</f>
        <v>121.97</v>
      </c>
      <c r="F16" s="2432"/>
      <c r="G16" s="2432"/>
      <c r="H16" s="1526" t="s">
        <v>1135</v>
      </c>
      <c r="I16" s="1527"/>
      <c r="J16" s="1068"/>
      <c r="K16" s="3245" t="s">
        <v>1135</v>
      </c>
      <c r="L16" s="3246"/>
      <c r="M16" s="3246"/>
      <c r="N16" s="3246"/>
      <c r="O16" s="3246"/>
      <c r="P16" s="3247"/>
    </row>
    <row r="17" spans="1:19" ht="14.4">
      <c r="A17" s="1528" t="s">
        <v>1136</v>
      </c>
      <c r="B17" s="1529" t="s">
        <v>1137</v>
      </c>
      <c r="C17" s="1530" t="s">
        <v>1138</v>
      </c>
      <c r="D17" s="1531" t="s">
        <v>1126</v>
      </c>
      <c r="E17" s="1532" t="s">
        <v>1127</v>
      </c>
      <c r="F17" s="1533"/>
      <c r="G17" s="1534"/>
      <c r="H17" s="1535" t="s">
        <v>1139</v>
      </c>
      <c r="I17" s="1536" t="s">
        <v>1124</v>
      </c>
      <c r="J17" s="1068"/>
      <c r="K17" s="3242" t="s">
        <v>1140</v>
      </c>
      <c r="L17" s="3243"/>
      <c r="M17" s="3244"/>
      <c r="N17" s="3242" t="s">
        <v>1141</v>
      </c>
      <c r="O17" s="3243"/>
      <c r="P17" s="3244"/>
      <c r="R17" s="768" t="s">
        <v>1142</v>
      </c>
      <c r="S17" s="54"/>
    </row>
    <row r="18" spans="1:19" ht="14.4">
      <c r="A18" s="1524"/>
      <c r="B18" s="1521"/>
      <c r="C18" s="1537"/>
      <c r="D18" s="1538"/>
      <c r="E18" s="1539" t="s">
        <v>1143</v>
      </c>
      <c r="F18" s="1540" t="s">
        <v>1144</v>
      </c>
      <c r="G18" s="1541" t="s">
        <v>1145</v>
      </c>
      <c r="H18" s="977" t="s">
        <v>1146</v>
      </c>
      <c r="I18" s="1542" t="s">
        <v>1147</v>
      </c>
      <c r="J18" s="1068"/>
      <c r="K18" s="977" t="s">
        <v>1148</v>
      </c>
      <c r="L18" s="1543" t="s">
        <v>1149</v>
      </c>
      <c r="M18" s="801" t="s">
        <v>1150</v>
      </c>
      <c r="N18" s="977" t="s">
        <v>1148</v>
      </c>
      <c r="O18" s="1543" t="s">
        <v>1149</v>
      </c>
      <c r="P18" s="801" t="s">
        <v>1150</v>
      </c>
      <c r="R18" s="43" t="s">
        <v>1151</v>
      </c>
      <c r="S18" s="43" t="s">
        <v>1152</v>
      </c>
    </row>
    <row r="19" spans="1:19" ht="14.4">
      <c r="A19" s="1544"/>
      <c r="B19" s="45" t="s">
        <v>1125</v>
      </c>
      <c r="C19" s="3108" t="s">
        <v>3559</v>
      </c>
      <c r="D19" s="43">
        <f>ROUND($D$3*E19/$E$3,2)</f>
        <v>0</v>
      </c>
      <c r="E19" s="51">
        <f t="shared" ref="E19:E26" si="1">SUM(F19:G19)</f>
        <v>121.97</v>
      </c>
      <c r="F19" s="2550">
        <f>'数据-基础表'!G13</f>
        <v>121.97</v>
      </c>
      <c r="G19" s="1239"/>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121.97</v>
      </c>
    </row>
    <row r="20" spans="1:19" ht="14.4">
      <c r="A20" s="1544"/>
      <c r="B20" s="45" t="s">
        <v>1153</v>
      </c>
      <c r="C20" s="3108"/>
      <c r="D20" s="43">
        <f t="shared" ref="D20:D26" si="6">ROUND($D$3*E20/$E$3,2)</f>
        <v>0</v>
      </c>
      <c r="E20" s="51">
        <f t="shared" si="1"/>
        <v>0</v>
      </c>
      <c r="F20" s="2550"/>
      <c r="G20" s="1239"/>
      <c r="H20" s="636">
        <f t="shared" ref="H20:H26" si="7">ROUND($D$3*I20/$E$3,2)</f>
        <v>0</v>
      </c>
      <c r="I20" s="46">
        <f t="shared" si="2"/>
        <v>0</v>
      </c>
      <c r="J20" s="1068"/>
      <c r="K20" s="636">
        <f t="shared" si="3"/>
        <v>0</v>
      </c>
      <c r="L20" s="43">
        <f t="shared" si="4"/>
        <v>0</v>
      </c>
      <c r="M20" s="46">
        <f t="shared" ref="M20:M26" si="8">K20+L20</f>
        <v>0</v>
      </c>
      <c r="N20" s="1545"/>
      <c r="O20" s="1546"/>
      <c r="P20" s="46">
        <f t="shared" ref="P20:P26" si="9">N20+O20</f>
        <v>0</v>
      </c>
      <c r="R20" s="43">
        <f t="shared" si="5"/>
        <v>0</v>
      </c>
      <c r="S20" s="51">
        <f t="shared" si="5"/>
        <v>0</v>
      </c>
    </row>
    <row r="21" spans="1:19" ht="14.4">
      <c r="A21" s="1544"/>
      <c r="B21" s="45" t="s">
        <v>1153</v>
      </c>
      <c r="C21" s="3108"/>
      <c r="D21" s="43">
        <f t="shared" si="6"/>
        <v>0</v>
      </c>
      <c r="E21" s="51">
        <f t="shared" si="1"/>
        <v>0</v>
      </c>
      <c r="F21" s="2550"/>
      <c r="G21" s="1239"/>
      <c r="H21" s="636">
        <f t="shared" si="7"/>
        <v>0</v>
      </c>
      <c r="I21" s="46">
        <f t="shared" si="2"/>
        <v>0</v>
      </c>
      <c r="J21" s="1068"/>
      <c r="K21" s="636">
        <f t="shared" si="3"/>
        <v>0</v>
      </c>
      <c r="L21" s="43">
        <f t="shared" si="4"/>
        <v>0</v>
      </c>
      <c r="M21" s="46">
        <f t="shared" si="8"/>
        <v>0</v>
      </c>
      <c r="N21" s="1545"/>
      <c r="O21" s="1546"/>
      <c r="P21" s="46">
        <f t="shared" si="9"/>
        <v>0</v>
      </c>
      <c r="R21" s="43">
        <f t="shared" si="5"/>
        <v>0</v>
      </c>
      <c r="S21" s="51">
        <f t="shared" si="5"/>
        <v>0</v>
      </c>
    </row>
    <row r="22" spans="1:19" ht="14.4">
      <c r="A22" s="1544"/>
      <c r="B22" s="45" t="s">
        <v>1153</v>
      </c>
      <c r="C22" s="3109"/>
      <c r="D22" s="43">
        <f t="shared" si="6"/>
        <v>0</v>
      </c>
      <c r="E22" s="51">
        <f t="shared" si="1"/>
        <v>0</v>
      </c>
      <c r="F22" s="2551"/>
      <c r="G22" s="2552"/>
      <c r="H22" s="636">
        <f t="shared" si="7"/>
        <v>0</v>
      </c>
      <c r="I22" s="46">
        <f t="shared" si="2"/>
        <v>0</v>
      </c>
      <c r="J22" s="1068"/>
      <c r="K22" s="636">
        <f t="shared" si="3"/>
        <v>0</v>
      </c>
      <c r="L22" s="43">
        <f t="shared" si="4"/>
        <v>0</v>
      </c>
      <c r="M22" s="46">
        <f t="shared" si="8"/>
        <v>0</v>
      </c>
      <c r="N22" s="1545"/>
      <c r="O22" s="1546"/>
      <c r="P22" s="46">
        <f t="shared" si="9"/>
        <v>0</v>
      </c>
      <c r="R22" s="43">
        <f t="shared" si="5"/>
        <v>0</v>
      </c>
      <c r="S22" s="51">
        <f t="shared" si="5"/>
        <v>0</v>
      </c>
    </row>
    <row r="23" spans="1:19" ht="14.4">
      <c r="A23" s="1544"/>
      <c r="B23" s="45" t="s">
        <v>1153</v>
      </c>
      <c r="C23" s="3109"/>
      <c r="D23" s="43">
        <f>ROUND($D$3*E23/$E$3,2)</f>
        <v>0</v>
      </c>
      <c r="E23" s="51">
        <f>SUM(F23:G23)</f>
        <v>0</v>
      </c>
      <c r="F23" s="2551"/>
      <c r="G23" s="2552"/>
      <c r="H23" s="636">
        <f>ROUND($D$3*I23/$E$3,2)</f>
        <v>0</v>
      </c>
      <c r="I23" s="46">
        <f t="shared" si="2"/>
        <v>0</v>
      </c>
      <c r="J23" s="1068"/>
      <c r="K23" s="636">
        <f t="shared" si="3"/>
        <v>0</v>
      </c>
      <c r="L23" s="43">
        <f t="shared" si="4"/>
        <v>0</v>
      </c>
      <c r="M23" s="46">
        <f t="shared" si="8"/>
        <v>0</v>
      </c>
      <c r="N23" s="1545"/>
      <c r="O23" s="1546"/>
      <c r="P23" s="46">
        <f t="shared" si="9"/>
        <v>0</v>
      </c>
      <c r="R23" s="43">
        <f t="shared" si="5"/>
        <v>0</v>
      </c>
      <c r="S23" s="51">
        <f t="shared" si="5"/>
        <v>0</v>
      </c>
    </row>
    <row r="24" spans="1:19" ht="14.4">
      <c r="A24" s="1544"/>
      <c r="B24" s="45" t="s">
        <v>1153</v>
      </c>
      <c r="C24" s="3109"/>
      <c r="D24" s="43">
        <f>ROUND($D$3*E24/$E$3,2)</f>
        <v>0</v>
      </c>
      <c r="E24" s="51">
        <f>SUM(F24:G24)</f>
        <v>0</v>
      </c>
      <c r="F24" s="2551"/>
      <c r="G24" s="2552"/>
      <c r="H24" s="636">
        <f>ROUND($D$3*I24/$E$3,2)</f>
        <v>0</v>
      </c>
      <c r="I24" s="46">
        <f t="shared" si="2"/>
        <v>0</v>
      </c>
      <c r="J24" s="1068"/>
      <c r="K24" s="636">
        <f t="shared" si="3"/>
        <v>0</v>
      </c>
      <c r="L24" s="43">
        <f t="shared" si="4"/>
        <v>0</v>
      </c>
      <c r="M24" s="46">
        <f t="shared" si="8"/>
        <v>0</v>
      </c>
      <c r="N24" s="1545"/>
      <c r="O24" s="1546"/>
      <c r="P24" s="46">
        <f t="shared" si="9"/>
        <v>0</v>
      </c>
      <c r="R24" s="43">
        <f t="shared" si="5"/>
        <v>0</v>
      </c>
      <c r="S24" s="51">
        <f t="shared" si="5"/>
        <v>0</v>
      </c>
    </row>
    <row r="25" spans="1:19" ht="14.4">
      <c r="A25" s="1544"/>
      <c r="B25" s="45" t="s">
        <v>1153</v>
      </c>
      <c r="C25" s="3109"/>
      <c r="D25" s="43">
        <f t="shared" si="6"/>
        <v>0</v>
      </c>
      <c r="E25" s="51">
        <f t="shared" si="1"/>
        <v>0</v>
      </c>
      <c r="F25" s="2551"/>
      <c r="G25" s="2552"/>
      <c r="H25" s="42">
        <f t="shared" si="7"/>
        <v>0</v>
      </c>
      <c r="I25" s="46">
        <f t="shared" si="2"/>
        <v>0</v>
      </c>
      <c r="J25" s="1068"/>
      <c r="K25" s="636">
        <f t="shared" si="3"/>
        <v>0</v>
      </c>
      <c r="L25" s="43">
        <f t="shared" si="4"/>
        <v>0</v>
      </c>
      <c r="M25" s="46">
        <f t="shared" si="8"/>
        <v>0</v>
      </c>
      <c r="N25" s="1545"/>
      <c r="O25" s="1546"/>
      <c r="P25" s="46">
        <f t="shared" si="9"/>
        <v>0</v>
      </c>
      <c r="R25" s="43">
        <f t="shared" si="5"/>
        <v>0</v>
      </c>
      <c r="S25" s="51">
        <f t="shared" si="5"/>
        <v>0</v>
      </c>
    </row>
    <row r="26" spans="1:19" ht="14.4">
      <c r="A26" s="1544"/>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7"/>
      <c r="O26" s="1548"/>
      <c r="P26" s="48">
        <f t="shared" si="9"/>
        <v>0</v>
      </c>
      <c r="R26" s="43">
        <f t="shared" si="5"/>
        <v>0</v>
      </c>
      <c r="S26" s="51">
        <f t="shared" si="5"/>
        <v>0</v>
      </c>
    </row>
    <row r="27" spans="1:19" ht="15" thickBot="1">
      <c r="A27" s="1544"/>
      <c r="B27" s="43"/>
      <c r="C27" s="1549" t="s">
        <v>1154</v>
      </c>
      <c r="D27" s="1069">
        <f>SUM(D19:D26)</f>
        <v>0</v>
      </c>
      <c r="E27" s="1070">
        <f>IF(SUM(E19:E26)='数据-基础表'!BA5,SUM(E19:E26),IF(F27="地上面积有误","面积有误","地下面积有误"))</f>
        <v>121.97</v>
      </c>
      <c r="F27" s="1069">
        <f>IF(SUM(F19:F26)=E8,SUM(F19:F26),"地上面积有误")</f>
        <v>121.97</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5">
        <f>IF(SUM(R19:R26)=$D$3,SUM(R19:R26),SUM(R19:R26)&amp;"误差"&amp;ROUND(SUM(R19:R26)-$D$3,2))</f>
        <v>0</v>
      </c>
      <c r="S27" s="43">
        <f>IF(SUM(S19:S26)=$E$3,SUM(S19:S26),SUM(S19:S26)&amp;"误差"&amp;ROUND(SUM(S19:S26)-E3,2))</f>
        <v>121.97</v>
      </c>
    </row>
    <row r="28" spans="1:19" ht="14.4">
      <c r="A28" s="1544"/>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4"/>
      <c r="B30" s="45"/>
      <c r="C30" s="1551" t="s">
        <v>1154</v>
      </c>
      <c r="D30" s="1069">
        <f>SUM(D28:D29)</f>
        <v>0</v>
      </c>
      <c r="E30" s="1069">
        <f>SUM(E28:E29)</f>
        <v>0</v>
      </c>
      <c r="F30" s="1069">
        <f>SUM(F28:F29)</f>
        <v>0</v>
      </c>
      <c r="G30" s="1071">
        <f>SUM(G28:G29)</f>
        <v>0</v>
      </c>
      <c r="H30" s="2432"/>
      <c r="I30" s="2432"/>
      <c r="J30" s="2432"/>
      <c r="K30" s="2432"/>
      <c r="L30" s="2432"/>
      <c r="M30" s="2432"/>
      <c r="N30" s="2432"/>
      <c r="O30" s="2432"/>
      <c r="P30" s="2432"/>
    </row>
    <row r="31" spans="1:19" ht="15" thickBot="1">
      <c r="A31" s="1552"/>
      <c r="B31" s="96"/>
      <c r="C31" s="784" t="s">
        <v>1158</v>
      </c>
      <c r="D31" s="642">
        <f>D27+D30</f>
        <v>0</v>
      </c>
      <c r="E31" s="642">
        <f>E27+E30</f>
        <v>121.97</v>
      </c>
      <c r="F31" s="643">
        <f>F27+F30</f>
        <v>121.97</v>
      </c>
      <c r="G31" s="644">
        <f>G27+G30</f>
        <v>0</v>
      </c>
      <c r="H31" s="2432"/>
      <c r="I31" s="2432"/>
      <c r="J31" s="2432"/>
      <c r="K31" s="2432"/>
      <c r="L31" s="2432"/>
      <c r="M31" s="2432"/>
      <c r="N31" s="2432"/>
      <c r="O31" s="2432"/>
      <c r="P31" s="2432"/>
    </row>
    <row r="32" spans="1:19" ht="14.4">
      <c r="A32" s="1521"/>
      <c r="B32" s="1521" t="s">
        <v>1159</v>
      </c>
      <c r="C32" s="1521"/>
      <c r="D32" s="1521"/>
      <c r="E32" s="987">
        <f>SUMIF(C19:C26,"*住宅*",E19:E26)</f>
        <v>121.97</v>
      </c>
      <c r="F32" s="1521"/>
      <c r="G32" s="1521"/>
      <c r="H32" s="2432"/>
      <c r="I32" s="2432"/>
      <c r="J32" s="2432"/>
      <c r="K32" s="2432"/>
      <c r="L32" s="2432"/>
      <c r="M32" s="2432"/>
      <c r="N32" s="2432"/>
      <c r="O32" s="2432"/>
      <c r="P32" s="2432"/>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39" activePane="bottomRight" state="frozen"/>
      <selection activeCell="C50" sqref="C50"/>
      <selection pane="topRight" activeCell="C50" sqref="C50"/>
      <selection pane="bottomLeft" activeCell="C50" sqref="C50"/>
      <selection pane="bottomRight" activeCell="B49" sqref="B49"/>
    </sheetView>
  </sheetViews>
  <sheetFormatPr defaultColWidth="13.77734375" defaultRowHeight="13.2"/>
  <cols>
    <col min="1" max="1" width="20.88671875" style="1613" customWidth="1"/>
    <col min="2" max="2" width="12" style="1556" customWidth="1"/>
    <col min="3" max="3" width="12.77734375" style="1556" customWidth="1"/>
    <col min="4" max="4" width="9.109375" style="1614" customWidth="1"/>
    <col min="5" max="5" width="15" style="1556" bestFit="1" customWidth="1"/>
    <col min="6" max="10" width="8.88671875" style="1556" customWidth="1"/>
    <col min="11" max="12" width="12.33203125" style="1484" customWidth="1"/>
    <col min="13" max="13" width="8.6640625" style="1556" customWidth="1"/>
    <col min="14" max="14" width="11.88671875" style="1556" customWidth="1"/>
    <col min="15" max="15" width="8.44140625" style="1556" customWidth="1"/>
    <col min="16" max="17" width="10.88671875" style="1556" customWidth="1"/>
    <col min="18" max="19" width="12.44140625" style="1556" customWidth="1"/>
    <col min="20" max="20" width="12.109375" style="1556" customWidth="1"/>
    <col min="21" max="21" width="7.44140625" style="1556" customWidth="1"/>
    <col min="22" max="22" width="6.33203125" style="1556" customWidth="1"/>
    <col min="23" max="30" width="6.77734375" style="1556" customWidth="1"/>
    <col min="31" max="31" width="8" style="1556" customWidth="1"/>
    <col min="32" max="34" width="7.21875" style="1556" customWidth="1"/>
    <col min="35" max="39" width="8" style="1556" customWidth="1"/>
    <col min="40" max="40" width="13.77734375" style="122"/>
    <col min="41" max="41" width="11.6640625" style="122" customWidth="1"/>
    <col min="42" max="42" width="9.77734375" style="122" customWidth="1"/>
    <col min="43" max="67" width="13.77734375" style="122"/>
    <col min="68" max="16384" width="13.77734375" style="1556"/>
  </cols>
  <sheetData>
    <row r="1" spans="1:67" ht="18"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6" customFormat="1" ht="15" thickBot="1">
      <c r="A2" s="1557" t="s">
        <v>1161</v>
      </c>
      <c r="B2" s="981">
        <f>项目基本情况!D3</f>
        <v>45555</v>
      </c>
      <c r="C2" s="1068"/>
      <c r="D2" s="1558"/>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4.4" thickBot="1">
      <c r="A3" s="1444"/>
      <c r="B3" s="1537"/>
      <c r="C3" s="1068"/>
      <c r="D3" s="1558"/>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57.6">
      <c r="A5" s="1566" t="s">
        <v>1168</v>
      </c>
      <c r="B5" s="1567" t="s">
        <v>1169</v>
      </c>
      <c r="C5" s="1568" t="s">
        <v>1170</v>
      </c>
      <c r="D5" s="1569" t="s">
        <v>1171</v>
      </c>
      <c r="E5" s="504" t="s">
        <v>1172</v>
      </c>
      <c r="F5" s="1570" t="s">
        <v>1173</v>
      </c>
      <c r="G5" s="504" t="s">
        <v>1174</v>
      </c>
      <c r="H5" s="504" t="s">
        <v>1175</v>
      </c>
      <c r="I5" s="504" t="s">
        <v>1176</v>
      </c>
      <c r="J5" s="1243" t="s">
        <v>1177</v>
      </c>
      <c r="K5" s="1571" t="s">
        <v>1178</v>
      </c>
      <c r="L5" s="1572" t="s">
        <v>1179</v>
      </c>
      <c r="M5" s="1573" t="s">
        <v>1180</v>
      </c>
      <c r="N5" s="1574" t="s">
        <v>3560</v>
      </c>
      <c r="O5" s="1572" t="s">
        <v>1181</v>
      </c>
      <c r="P5" s="1575" t="s">
        <v>1182</v>
      </c>
      <c r="Q5" s="58" t="s">
        <v>1183</v>
      </c>
      <c r="R5" s="1576" t="s">
        <v>1184</v>
      </c>
      <c r="S5" s="1577" t="s">
        <v>1185</v>
      </c>
      <c r="T5" s="1578"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79" t="s">
        <v>1200</v>
      </c>
      <c r="AO5" s="1449" t="s">
        <v>1201</v>
      </c>
      <c r="AP5" s="965"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3.8">
      <c r="A6" s="1581" t="str">
        <f>'数据-汇总表'!C19</f>
        <v>住宅</v>
      </c>
      <c r="B6" s="1582" t="str">
        <f>IF(A6=0,"","经营性")</f>
        <v>经营性</v>
      </c>
      <c r="C6" s="1583" t="s">
        <v>3558</v>
      </c>
      <c r="D6" s="804">
        <f>SUMIF(项目基本情况!C$12:I$12,C6,项目基本情况!C$14:I$14)</f>
        <v>70</v>
      </c>
      <c r="E6" s="803">
        <f>IF(B6="","",SUMIF(项目基本情况!C$12:I$12,C6,项目基本情况!C$13:I$13))</f>
        <v>65896</v>
      </c>
      <c r="F6" s="61">
        <f>SUMIF(项目基本情况!C$12:I$12,C6,项目基本情况!C$15:I$15)</f>
        <v>55.72</v>
      </c>
      <c r="G6" s="62">
        <f>IF(ISERROR(ROUND(POWER(1+H6,D6-F6)*(POWER(1+H6,F6)-1)/(POWER(1+H6,D6)-1),3)),0,ROUND(POWER(1+H6,D6-F6)*(POWER(1+H6,F6)-1)/(POWER(1+H6,D6)-1),3))</f>
        <v>0.94799999999999995</v>
      </c>
      <c r="H6" s="690">
        <v>0.04</v>
      </c>
      <c r="I6" s="690">
        <v>4.4999999999999998E-2</v>
      </c>
      <c r="J6" s="63">
        <v>7.0000000000000007E-2</v>
      </c>
      <c r="K6" s="967">
        <f>SUMIF('数据-汇总表'!C$19:C$33,A6,'数据-汇总表'!E$19:E$33)</f>
        <v>121.97</v>
      </c>
      <c r="L6" s="691">
        <v>3500</v>
      </c>
      <c r="M6" s="64">
        <f t="shared" ref="M6:M14" si="0">ROUND(K6*L6/10000,0)</f>
        <v>43</v>
      </c>
      <c r="N6" s="689">
        <f>N19</f>
        <v>0.93</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9">
        <v>3200</v>
      </c>
      <c r="V6" s="67">
        <v>2.5000000000000001E-2</v>
      </c>
      <c r="W6" s="67">
        <v>0.1</v>
      </c>
      <c r="X6" s="976"/>
      <c r="Y6" s="68">
        <f>N6</f>
        <v>0.93</v>
      </c>
      <c r="Z6" s="69"/>
      <c r="AA6" s="63"/>
      <c r="AB6" s="63"/>
      <c r="AC6" s="976"/>
      <c r="AD6" s="70"/>
      <c r="AE6" s="977">
        <f ca="1">IF(AN6="",0,SUMIF(INDIRECT("'"&amp;AN6&amp;"'"&amp;"!E:E"),$AE$5,INDIRECT("'"&amp;AN6&amp;"'"&amp;"!F:F")))</f>
        <v>60</v>
      </c>
      <c r="AF6" s="74"/>
      <c r="AG6" s="130">
        <f>IF(AF6="",0,AE6-AF6)</f>
        <v>0</v>
      </c>
      <c r="AH6" s="71">
        <v>1</v>
      </c>
      <c r="AI6" s="73">
        <v>12</v>
      </c>
      <c r="AJ6" s="74"/>
      <c r="AK6" s="75">
        <v>0.01</v>
      </c>
      <c r="AL6" s="76">
        <v>1E-3</v>
      </c>
      <c r="AM6" s="77">
        <v>0.01</v>
      </c>
      <c r="AN6" s="1584" t="s">
        <v>3641</v>
      </c>
      <c r="AO6" s="50">
        <f ca="1">SUMIF(INDIRECT("'"&amp;AN6&amp;"'"&amp;"!A:A"),"总价",INDIRECT("'"&amp;AN6&amp;"'"&amp;"!B:B"))</f>
        <v>73.445599999999999</v>
      </c>
      <c r="AP6" s="1585">
        <f>IF(C6="住宅",K6*L6,0)</f>
        <v>426895</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3.8">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7">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3.8">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6"/>
      <c r="Y8" s="68"/>
      <c r="Z8" s="69"/>
      <c r="AA8" s="63"/>
      <c r="AB8" s="63"/>
      <c r="AC8" s="976"/>
      <c r="AD8" s="70"/>
      <c r="AE8" s="977">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3.8">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3.8">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3.8">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3.8">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3.8">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4">
      <c r="A14" s="1586" t="s">
        <v>1205</v>
      </c>
      <c r="B14" s="1582" t="s">
        <v>1206</v>
      </c>
      <c r="C14" s="1587" t="s">
        <v>1205</v>
      </c>
      <c r="D14" s="804"/>
      <c r="E14" s="803"/>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1"/>
      <c r="AJ14" s="50"/>
      <c r="AK14" s="978"/>
      <c r="AL14" s="979"/>
      <c r="AM14" s="980"/>
      <c r="AN14" s="2441"/>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8.8">
      <c r="A15" s="1586" t="s">
        <v>1207</v>
      </c>
      <c r="B15" s="1582" t="s">
        <v>1206</v>
      </c>
      <c r="C15" s="1587" t="s">
        <v>1208</v>
      </c>
      <c r="D15" s="804"/>
      <c r="E15" s="803"/>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1"/>
      <c r="AJ15" s="50"/>
      <c r="AK15" s="978"/>
      <c r="AL15" s="979"/>
      <c r="AM15" s="980"/>
      <c r="AN15" s="2441"/>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 thickBot="1">
      <c r="A16" s="1588" t="s">
        <v>1209</v>
      </c>
      <c r="B16" s="82"/>
      <c r="C16" s="782"/>
      <c r="D16" s="1589"/>
      <c r="E16" s="82"/>
      <c r="F16" s="82"/>
      <c r="G16" s="83">
        <f>ROUND(SUMPRODUCT(G6:G13,K6:K13)/SUMPRODUCT((G6:G13&gt;0)*(K6:K13)),3)</f>
        <v>0.94799999999999995</v>
      </c>
      <c r="H16" s="84">
        <f>ROUND(SUMPRODUCT(H6:H13,K6:K13)/SUMPRODUCT((H6:H13&gt;0)*(K6:K13)),3)</f>
        <v>0.04</v>
      </c>
      <c r="I16" s="85"/>
      <c r="J16" s="85"/>
      <c r="K16" s="86">
        <f>SUM(K6:K15)</f>
        <v>121.97</v>
      </c>
      <c r="L16" s="87">
        <f>ROUND(M16*10000/SUM(K6:K14),0)</f>
        <v>3525</v>
      </c>
      <c r="M16" s="87">
        <f>SUM(M6:M14)</f>
        <v>43</v>
      </c>
      <c r="N16" s="88">
        <f>ROUND(SUMPRODUCT(M6:M14,N6:N14)/M16,3)</f>
        <v>0.93</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8"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59" t="s">
        <v>3639</v>
      </c>
      <c r="N18" s="3160">
        <v>2020</v>
      </c>
      <c r="O18" s="3159" t="s">
        <v>3640</v>
      </c>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4">
      <c r="A19" s="1591" t="s">
        <v>1211</v>
      </c>
      <c r="B19" s="97">
        <v>0</v>
      </c>
      <c r="C19" s="2553" t="s">
        <v>2298</v>
      </c>
      <c r="D19" s="2444"/>
      <c r="E19" s="2432"/>
      <c r="F19" s="2432"/>
      <c r="G19" s="2432"/>
      <c r="H19" s="2432"/>
      <c r="I19" s="2432"/>
      <c r="J19" s="2432"/>
      <c r="K19" s="2442"/>
      <c r="L19" s="2442"/>
      <c r="M19" s="2441"/>
      <c r="N19" s="2441">
        <f>ROUND(1-(1-0)*(2024-N18)/60,2)</f>
        <v>0.93</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2" t="s">
        <v>1212</v>
      </c>
      <c r="B20" s="98">
        <v>2</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3" t="s">
        <v>1213</v>
      </c>
      <c r="B21" s="98">
        <v>2</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2" t="s">
        <v>1214</v>
      </c>
      <c r="B22" s="99">
        <f>B19+B20</f>
        <v>2</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3" t="s">
        <v>1215</v>
      </c>
      <c r="B23" s="99">
        <f>B19+B21</f>
        <v>2</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100">
        <f>B20-B21</f>
        <v>0</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4"/>
      <c r="B25" s="1537"/>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6" t="s">
        <v>1220</v>
      </c>
      <c r="B27" s="101">
        <v>290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597" t="s">
        <v>1221</v>
      </c>
      <c r="B28" s="103">
        <v>320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598" t="s">
        <v>1222</v>
      </c>
      <c r="B29" s="105"/>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599" t="s">
        <v>1223</v>
      </c>
      <c r="B30" s="637">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597" t="s">
        <v>1224</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0" t="s">
        <v>1225</v>
      </c>
      <c r="B32" s="638"/>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6" t="s">
        <v>1226</v>
      </c>
      <c r="B33" s="639">
        <v>0.03</v>
      </c>
      <c r="C33" s="2557" t="s">
        <v>3378</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597" t="s">
        <v>1227</v>
      </c>
      <c r="B34" s="3162">
        <v>0.05</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597" t="s">
        <v>1228</v>
      </c>
      <c r="B35" s="103">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7">
        <v>0.02</v>
      </c>
      <c r="C36" s="2557" t="s">
        <v>3379</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599" t="s">
        <v>1230</v>
      </c>
      <c r="B37" s="108">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597" t="s">
        <v>1231</v>
      </c>
      <c r="B38" s="106">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0" t="s">
        <v>1232</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2307</v>
      </c>
      <c r="B40" s="1012">
        <f ca="1">IF(A40="利息：取LPR",存贷款利率!G1,存贷款利率!G1+C40)</f>
        <v>3.3500000000000002E-2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6"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1"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1" t="s">
        <v>1235</v>
      </c>
      <c r="B43" s="111">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2" t="s">
        <v>1236</v>
      </c>
      <c r="B44" s="112">
        <v>7.0000000000000007E-2</v>
      </c>
      <c r="C44" s="2557" t="s">
        <v>2301</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2" t="s">
        <v>1237</v>
      </c>
      <c r="B45" s="3161">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2" t="s">
        <v>1238</v>
      </c>
      <c r="B46" s="110">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3"/>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4" t="s">
        <v>1240</v>
      </c>
      <c r="B48" s="114">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3161">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5"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5" t="s">
        <v>1244</v>
      </c>
      <c r="B52" s="117">
        <f>SUMIF(A54:A63,B53,B54:B63)</f>
        <v>0</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597" t="s">
        <v>1245</v>
      </c>
      <c r="B53" s="1606"/>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7"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7"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7"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7"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7"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7"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7"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7"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7"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7" customWidth="1"/>
    <col min="2" max="3" width="24.44140625" style="508" customWidth="1"/>
    <col min="4" max="4" width="2.6640625" style="508" customWidth="1"/>
    <col min="5" max="5" width="5.88671875" style="508" customWidth="1"/>
    <col min="6" max="7" width="27" style="508"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50" customWidth="1"/>
    <col min="19" max="29" width="9" style="750"/>
    <col min="30" max="16384" width="9" style="1517"/>
  </cols>
  <sheetData>
    <row r="1" spans="1:29" s="2252" customFormat="1" ht="18" thickBot="1">
      <c r="A1" s="3257" t="s">
        <v>2281</v>
      </c>
      <c r="B1" s="3258"/>
      <c r="C1" s="3258"/>
      <c r="D1" s="3258"/>
      <c r="E1" s="3258"/>
      <c r="F1" s="3258"/>
      <c r="G1" s="3258"/>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4.4" thickBot="1">
      <c r="A2" s="2253"/>
      <c r="B2" s="2254"/>
      <c r="C2" s="2255" t="s">
        <v>2276</v>
      </c>
      <c r="D2" s="1590"/>
      <c r="E2" s="2253"/>
      <c r="F2" s="2256"/>
      <c r="G2" s="2255" t="s">
        <v>2277</v>
      </c>
      <c r="H2" s="750"/>
      <c r="I2" s="750"/>
      <c r="J2" s="750"/>
      <c r="K2" s="750"/>
      <c r="L2" s="750"/>
      <c r="M2" s="750"/>
      <c r="N2" s="750"/>
      <c r="O2" s="750"/>
      <c r="P2" s="750"/>
      <c r="Q2" s="750"/>
    </row>
    <row r="3" spans="1:29" ht="48">
      <c r="A3" s="2240" t="s">
        <v>2278</v>
      </c>
      <c r="B3" s="2257" t="s">
        <v>2247</v>
      </c>
      <c r="C3" s="2258" t="s">
        <v>2279</v>
      </c>
      <c r="D3" s="2259"/>
      <c r="E3" s="2241" t="s">
        <v>2278</v>
      </c>
      <c r="F3" s="2260" t="s">
        <v>2248</v>
      </c>
      <c r="G3" s="2261" t="s">
        <v>2280</v>
      </c>
      <c r="H3" s="750"/>
      <c r="I3" s="750"/>
      <c r="J3" s="750"/>
      <c r="K3" s="750"/>
      <c r="L3" s="750"/>
      <c r="M3" s="750"/>
      <c r="N3" s="750"/>
      <c r="O3" s="750"/>
      <c r="P3" s="750"/>
      <c r="Q3" s="750"/>
    </row>
    <row r="4" spans="1:29" ht="37.200000000000003">
      <c r="A4" s="2241"/>
      <c r="B4" s="315" t="s">
        <v>2249</v>
      </c>
      <c r="C4" s="2262" t="s">
        <v>2250</v>
      </c>
      <c r="D4" s="2259"/>
      <c r="E4" s="2263"/>
      <c r="F4" s="1276" t="s">
        <v>2251</v>
      </c>
      <c r="G4" s="2264" t="s">
        <v>2252</v>
      </c>
      <c r="H4" s="750"/>
      <c r="I4" s="750"/>
      <c r="J4" s="750"/>
      <c r="K4" s="750"/>
      <c r="L4" s="750"/>
      <c r="M4" s="750"/>
      <c r="N4" s="750"/>
      <c r="O4" s="750"/>
      <c r="P4" s="750"/>
      <c r="Q4" s="750"/>
    </row>
    <row r="5" spans="1:29" ht="37.200000000000003">
      <c r="A5" s="2241"/>
      <c r="B5" s="315" t="s">
        <v>2253</v>
      </c>
      <c r="C5" s="2262" t="s">
        <v>2254</v>
      </c>
      <c r="D5" s="2259"/>
      <c r="E5" s="2263"/>
      <c r="F5" s="315" t="s">
        <v>2255</v>
      </c>
      <c r="G5" s="2264" t="s">
        <v>2256</v>
      </c>
      <c r="H5" s="750"/>
      <c r="I5" s="750"/>
      <c r="J5" s="750"/>
      <c r="K5" s="750"/>
      <c r="L5" s="750"/>
      <c r="M5" s="750"/>
      <c r="N5" s="750"/>
      <c r="O5" s="750"/>
      <c r="P5" s="750"/>
      <c r="Q5" s="750"/>
    </row>
    <row r="6" spans="1:29" ht="48">
      <c r="A6" s="2241"/>
      <c r="B6" s="315" t="s">
        <v>2257</v>
      </c>
      <c r="C6" s="2264" t="s">
        <v>2252</v>
      </c>
      <c r="D6" s="2259"/>
      <c r="E6" s="2263"/>
      <c r="F6" s="315" t="s">
        <v>2258</v>
      </c>
      <c r="G6" s="2264" t="s">
        <v>2259</v>
      </c>
      <c r="H6" s="750"/>
      <c r="I6" s="750"/>
      <c r="J6" s="750"/>
      <c r="K6" s="750"/>
      <c r="L6" s="750"/>
      <c r="M6" s="750"/>
      <c r="N6" s="750"/>
      <c r="O6" s="750"/>
      <c r="P6" s="750"/>
      <c r="Q6" s="750"/>
    </row>
    <row r="7" spans="1:29" ht="36.6" thickBot="1">
      <c r="A7" s="2241"/>
      <c r="B7" s="315" t="s">
        <v>2255</v>
      </c>
      <c r="C7" s="2264" t="s">
        <v>2256</v>
      </c>
      <c r="D7" s="2238"/>
      <c r="E7" s="2265"/>
      <c r="F7" s="2266" t="s">
        <v>2260</v>
      </c>
      <c r="G7" s="2267" t="s">
        <v>2261</v>
      </c>
      <c r="H7" s="750"/>
      <c r="I7" s="750"/>
      <c r="J7" s="750"/>
      <c r="K7" s="750"/>
      <c r="L7" s="750"/>
      <c r="M7" s="750"/>
      <c r="N7" s="750"/>
      <c r="O7" s="750"/>
      <c r="P7" s="750"/>
      <c r="Q7" s="750"/>
    </row>
    <row r="8" spans="1:29" ht="24">
      <c r="A8" s="2241"/>
      <c r="B8" s="315" t="s">
        <v>2258</v>
      </c>
      <c r="C8" s="2264" t="s">
        <v>2259</v>
      </c>
      <c r="D8" s="2238"/>
      <c r="E8" s="2238"/>
      <c r="F8" s="121"/>
      <c r="G8" s="121"/>
      <c r="H8" s="750"/>
      <c r="I8" s="750"/>
      <c r="J8" s="750"/>
      <c r="K8" s="750"/>
      <c r="L8" s="750"/>
      <c r="M8" s="750"/>
      <c r="N8" s="750"/>
      <c r="O8" s="750"/>
      <c r="P8" s="750"/>
      <c r="Q8" s="750"/>
    </row>
    <row r="9" spans="1:29" ht="24">
      <c r="A9" s="2241"/>
      <c r="B9" s="315" t="s">
        <v>2262</v>
      </c>
      <c r="C9" s="2262" t="s">
        <v>2263</v>
      </c>
      <c r="D9" s="2259"/>
      <c r="E9" s="2238"/>
      <c r="F9" s="121"/>
      <c r="G9" s="121"/>
      <c r="H9" s="750"/>
      <c r="I9" s="750"/>
      <c r="J9" s="750"/>
      <c r="K9" s="750"/>
      <c r="L9" s="750"/>
      <c r="M9" s="750"/>
      <c r="N9" s="750"/>
      <c r="O9" s="750"/>
      <c r="P9" s="750"/>
      <c r="Q9" s="750"/>
    </row>
    <row r="10" spans="1:29" ht="14.4" thickBot="1">
      <c r="A10" s="2242"/>
      <c r="B10" s="2268" t="s">
        <v>2264</v>
      </c>
      <c r="C10" s="2269"/>
      <c r="D10" s="2259"/>
      <c r="E10" s="2259"/>
      <c r="F10" s="121"/>
      <c r="G10" s="121"/>
      <c r="J10" s="2271"/>
      <c r="M10" s="2271"/>
      <c r="P10" s="2271"/>
      <c r="R10" s="2270"/>
    </row>
    <row r="11" spans="1:29">
      <c r="A11" s="2272"/>
      <c r="B11" s="2238"/>
      <c r="C11" s="2259"/>
      <c r="D11" s="2259"/>
      <c r="E11" s="2259"/>
      <c r="F11" s="2238"/>
      <c r="G11" s="2238"/>
      <c r="J11" s="2271"/>
      <c r="M11" s="2271"/>
      <c r="P11" s="2271"/>
      <c r="R11" s="2270"/>
    </row>
    <row r="12" spans="1:29" s="2252" customFormat="1" ht="17.399999999999999">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 thickBot="1">
      <c r="A13" s="2277" t="s">
        <v>2282</v>
      </c>
      <c r="B13" s="2273"/>
      <c r="C13" s="2273"/>
      <c r="D13" s="2272"/>
      <c r="E13" s="2273"/>
      <c r="F13" s="2273"/>
      <c r="G13" s="2273"/>
    </row>
    <row r="14" spans="1:29" ht="14.4" thickBot="1">
      <c r="A14" s="2278"/>
      <c r="B14" s="2278"/>
      <c r="C14" s="2279" t="s">
        <v>2265</v>
      </c>
      <c r="D14" s="2259"/>
      <c r="E14" s="2280"/>
      <c r="F14" s="2280"/>
      <c r="G14" s="2255" t="s">
        <v>2266</v>
      </c>
    </row>
    <row r="15" spans="1:29" ht="52.8">
      <c r="A15" s="2243" t="s">
        <v>2267</v>
      </c>
      <c r="B15" s="2281" t="s">
        <v>2247</v>
      </c>
      <c r="C15" s="2282" t="str">
        <f>C3</f>
        <v>估价对象周边居住用地比例、居住小区规模和社区发展完善程度，综合评价居住社区成熟度一般</v>
      </c>
      <c r="D15" s="2259"/>
      <c r="E15" s="2244" t="s">
        <v>2268</v>
      </c>
      <c r="F15" s="2281" t="s">
        <v>2269</v>
      </c>
      <c r="G15" s="2283" t="str">
        <f>G3</f>
        <v>估价对象位于XX开发区，园区建设成熟度XX，产业集聚程度XX</v>
      </c>
    </row>
    <row r="16" spans="1:29" ht="39.6">
      <c r="A16" s="2245"/>
      <c r="B16" s="2284" t="s">
        <v>2249</v>
      </c>
      <c r="C16" s="2285" t="str">
        <f>C4</f>
        <v>估价对象位于XX商圈，周边商业氛围成熟，人流量大，商业繁华度好</v>
      </c>
      <c r="D16" s="2259"/>
      <c r="E16" s="2246"/>
      <c r="F16" s="2286" t="s">
        <v>2251</v>
      </c>
      <c r="G16" s="2287" t="str">
        <f>G4</f>
        <v>估价对象周边道路状况、公共交通通达情况、停车便捷程度，综合评价交通便捷度较好</v>
      </c>
    </row>
    <row r="17" spans="1:17" ht="39.6">
      <c r="A17" s="2245"/>
      <c r="B17" s="2284" t="s">
        <v>2253</v>
      </c>
      <c r="C17" s="2285" t="str">
        <f>C5</f>
        <v>估价对象位于XX商圈，周边办公楼项目较多，入驻率高，办公集聚程度较好</v>
      </c>
      <c r="D17" s="2238"/>
      <c r="E17" s="2246"/>
      <c r="F17" s="2286" t="s">
        <v>2270</v>
      </c>
      <c r="G17" s="2288"/>
    </row>
    <row r="18" spans="1:17" ht="52.8">
      <c r="A18" s="2245"/>
      <c r="B18" s="2286" t="s">
        <v>2257</v>
      </c>
      <c r="C18" s="2287" t="str">
        <f>C6</f>
        <v>估价对象周边道路状况、公共交通通达情况、停车便捷程度，综合评价交通便捷度较好</v>
      </c>
      <c r="D18" s="2238"/>
      <c r="E18" s="2246"/>
      <c r="F18" s="2286" t="s">
        <v>2260</v>
      </c>
      <c r="G18" s="2287" t="str">
        <f>G7</f>
        <v>该园区内是否有污染型企业，绿化情况，卫生条件，整体环境状况判断</v>
      </c>
    </row>
    <row r="19" spans="1:17" ht="26.4">
      <c r="A19" s="2245"/>
      <c r="B19" s="2286" t="s">
        <v>2271</v>
      </c>
      <c r="C19" s="2288"/>
      <c r="D19" s="2259"/>
      <c r="E19" s="2246"/>
      <c r="F19" s="315" t="s">
        <v>2255</v>
      </c>
      <c r="G19" s="2287" t="str">
        <f>G5</f>
        <v>估价对象所在区域公共配套设施齐备情况</v>
      </c>
    </row>
    <row r="20" spans="1:17" ht="26.4">
      <c r="A20" s="2245"/>
      <c r="B20" s="2286" t="s">
        <v>2272</v>
      </c>
      <c r="C20" s="2285" t="str">
        <f>C9</f>
        <v>区域自然环境：；人文环境；综合评价环境状况一般</v>
      </c>
      <c r="D20" s="2238"/>
      <c r="E20" s="2246"/>
      <c r="F20" s="315" t="s">
        <v>2258</v>
      </c>
      <c r="G20" s="2287" t="str">
        <f>G6</f>
        <v>估价对象所在区域基础设施水平</v>
      </c>
    </row>
    <row r="21" spans="1:17" ht="26.4">
      <c r="A21" s="2245"/>
      <c r="B21" s="315" t="s">
        <v>2255</v>
      </c>
      <c r="C21" s="2287" t="str">
        <f>C7</f>
        <v>估价对象所在区域公共配套设施齐备情况</v>
      </c>
      <c r="D21" s="2259"/>
      <c r="E21" s="2246"/>
      <c r="F21" s="2286" t="s">
        <v>2273</v>
      </c>
      <c r="G21" s="2289"/>
    </row>
    <row r="22" spans="1:17" ht="13.5" customHeight="1">
      <c r="A22" s="2245"/>
      <c r="B22" s="315" t="s">
        <v>2258</v>
      </c>
      <c r="C22" s="2287" t="str">
        <f>C8</f>
        <v>估价对象所在区域基础设施水平</v>
      </c>
      <c r="D22" s="2259"/>
      <c r="E22" s="2246"/>
      <c r="F22" s="2286" t="s">
        <v>2264</v>
      </c>
      <c r="G22" s="2288"/>
    </row>
    <row r="23" spans="1:17" s="750" customFormat="1" ht="14.4" thickBot="1">
      <c r="A23" s="2245"/>
      <c r="B23" s="2286" t="s">
        <v>2273</v>
      </c>
      <c r="C23" s="2289"/>
      <c r="D23" s="1609"/>
      <c r="E23" s="2247"/>
      <c r="F23" s="2290" t="s">
        <v>2274</v>
      </c>
      <c r="G23" s="2291"/>
      <c r="H23" s="2270"/>
      <c r="I23" s="2270"/>
      <c r="J23" s="2270"/>
      <c r="K23" s="2270"/>
      <c r="L23" s="2270"/>
      <c r="M23" s="2270"/>
      <c r="N23" s="2270"/>
      <c r="O23" s="2270"/>
      <c r="P23" s="2270"/>
      <c r="Q23" s="2270"/>
    </row>
    <row r="24" spans="1:17" s="750" customFormat="1" ht="14.4" thickBot="1">
      <c r="A24" s="2248"/>
      <c r="B24" s="2290" t="s">
        <v>2275</v>
      </c>
      <c r="C24" s="2292">
        <f>C10</f>
        <v>0</v>
      </c>
      <c r="D24" s="1609"/>
      <c r="E24" s="2238"/>
      <c r="F24" s="2238"/>
      <c r="G24" s="2238"/>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9DDAC-A418-47F7-955D-1A14B9157A53}">
  <sheetPr>
    <tabColor rgb="FFFFFF00"/>
  </sheetPr>
  <dimension ref="A1:N66"/>
  <sheetViews>
    <sheetView workbookViewId="0">
      <pane ySplit="1" topLeftCell="A2" activePane="bottomLeft" state="frozen"/>
      <selection pane="bottomLeft" activeCell="J65" sqref="J65"/>
    </sheetView>
  </sheetViews>
  <sheetFormatPr defaultRowHeight="14.4"/>
  <cols>
    <col min="1" max="1" width="5.33203125" customWidth="1"/>
    <col min="2" max="2" width="37.5546875" customWidth="1"/>
    <col min="3" max="3" width="35.44140625" customWidth="1"/>
    <col min="10" max="10" width="17" style="3141" customWidth="1"/>
  </cols>
  <sheetData>
    <row r="1" spans="1:14">
      <c r="A1" s="1400" t="s">
        <v>3530</v>
      </c>
      <c r="B1" s="1400" t="s">
        <v>3394</v>
      </c>
      <c r="C1" s="1400" t="s">
        <v>3393</v>
      </c>
      <c r="D1" s="1400" t="s">
        <v>3395</v>
      </c>
      <c r="E1" s="1400" t="s">
        <v>3396</v>
      </c>
      <c r="F1" s="1400" t="s">
        <v>3397</v>
      </c>
      <c r="G1" s="1400" t="s">
        <v>3398</v>
      </c>
      <c r="H1" s="1400" t="s">
        <v>3399</v>
      </c>
      <c r="I1" s="1400" t="s">
        <v>3400</v>
      </c>
      <c r="J1" s="3140" t="s">
        <v>3401</v>
      </c>
      <c r="K1" s="1400" t="s">
        <v>3402</v>
      </c>
    </row>
    <row r="2" spans="1:14">
      <c r="A2">
        <v>1</v>
      </c>
      <c r="B2" s="1400" t="s">
        <v>3403</v>
      </c>
      <c r="C2" s="1400" t="s">
        <v>3404</v>
      </c>
      <c r="D2" s="1400" t="s">
        <v>3405</v>
      </c>
      <c r="E2" s="1400" t="s">
        <v>3406</v>
      </c>
      <c r="F2">
        <v>29</v>
      </c>
      <c r="G2">
        <v>24</v>
      </c>
      <c r="H2" s="1400" t="s">
        <v>3411</v>
      </c>
      <c r="I2">
        <v>117.03</v>
      </c>
      <c r="J2" s="3140" t="s">
        <v>3408</v>
      </c>
      <c r="K2">
        <v>8878</v>
      </c>
    </row>
    <row r="3" spans="1:14">
      <c r="A3">
        <v>2</v>
      </c>
      <c r="B3" s="1400" t="s">
        <v>3409</v>
      </c>
      <c r="D3" s="1400" t="s">
        <v>3410</v>
      </c>
      <c r="F3">
        <v>29</v>
      </c>
      <c r="G3">
        <v>9</v>
      </c>
      <c r="I3">
        <v>121.97</v>
      </c>
      <c r="J3" s="3140" t="s">
        <v>3407</v>
      </c>
      <c r="K3">
        <v>8878</v>
      </c>
    </row>
    <row r="4" spans="1:14">
      <c r="A4">
        <v>3</v>
      </c>
      <c r="B4" s="1400" t="s">
        <v>3413</v>
      </c>
      <c r="D4" s="1400" t="s">
        <v>3412</v>
      </c>
      <c r="F4">
        <v>29</v>
      </c>
      <c r="G4">
        <v>26</v>
      </c>
      <c r="I4">
        <v>121.97</v>
      </c>
      <c r="J4" s="3140" t="s">
        <v>3407</v>
      </c>
      <c r="K4">
        <v>8878</v>
      </c>
    </row>
    <row r="5" spans="1:14">
      <c r="A5">
        <v>4</v>
      </c>
      <c r="B5" s="1400" t="s">
        <v>3414</v>
      </c>
      <c r="D5" s="1400" t="s">
        <v>3415</v>
      </c>
      <c r="F5">
        <v>29</v>
      </c>
      <c r="G5">
        <v>26</v>
      </c>
      <c r="I5">
        <v>121.97</v>
      </c>
      <c r="J5" s="3140" t="s">
        <v>3407</v>
      </c>
      <c r="K5">
        <v>8878</v>
      </c>
    </row>
    <row r="6" spans="1:14">
      <c r="A6">
        <v>5</v>
      </c>
      <c r="B6" s="1400" t="s">
        <v>3443</v>
      </c>
      <c r="D6" s="1400" t="s">
        <v>3416</v>
      </c>
      <c r="F6">
        <v>29</v>
      </c>
      <c r="G6">
        <v>26</v>
      </c>
      <c r="I6">
        <v>117.03</v>
      </c>
      <c r="J6" s="3140" t="s">
        <v>3407</v>
      </c>
      <c r="K6">
        <v>8878</v>
      </c>
    </row>
    <row r="7" spans="1:14">
      <c r="A7">
        <v>6</v>
      </c>
      <c r="B7" s="1400" t="s">
        <v>3444</v>
      </c>
      <c r="D7" s="1400" t="s">
        <v>3417</v>
      </c>
      <c r="F7">
        <v>27</v>
      </c>
      <c r="G7">
        <v>1</v>
      </c>
      <c r="I7">
        <v>93.53</v>
      </c>
      <c r="J7" s="3140" t="s">
        <v>3418</v>
      </c>
      <c r="K7">
        <v>668</v>
      </c>
      <c r="N7" s="1400" t="s">
        <v>3419</v>
      </c>
    </row>
    <row r="8" spans="1:14">
      <c r="A8">
        <v>7</v>
      </c>
      <c r="B8" s="1400" t="s">
        <v>3445</v>
      </c>
      <c r="D8" s="1400" t="s">
        <v>3420</v>
      </c>
      <c r="F8">
        <v>29</v>
      </c>
      <c r="G8">
        <v>27</v>
      </c>
      <c r="I8">
        <v>117.03</v>
      </c>
      <c r="J8" s="3140" t="s">
        <v>3407</v>
      </c>
      <c r="K8">
        <v>8878</v>
      </c>
    </row>
    <row r="9" spans="1:14">
      <c r="A9">
        <v>8</v>
      </c>
      <c r="B9" s="1400" t="s">
        <v>3446</v>
      </c>
      <c r="D9" s="1400" t="s">
        <v>3421</v>
      </c>
      <c r="F9">
        <v>27</v>
      </c>
      <c r="G9">
        <v>1</v>
      </c>
      <c r="I9">
        <v>93.53</v>
      </c>
    </row>
    <row r="10" spans="1:14">
      <c r="A10">
        <v>9</v>
      </c>
      <c r="B10" s="1400" t="s">
        <v>3447</v>
      </c>
      <c r="D10" s="1400" t="s">
        <v>3422</v>
      </c>
      <c r="F10">
        <v>29</v>
      </c>
      <c r="G10">
        <v>3</v>
      </c>
      <c r="I10">
        <v>121.97</v>
      </c>
    </row>
    <row r="11" spans="1:14">
      <c r="A11">
        <v>10</v>
      </c>
      <c r="B11" s="1400" t="s">
        <v>3448</v>
      </c>
      <c r="D11" s="1400" t="s">
        <v>3423</v>
      </c>
      <c r="F11">
        <v>27</v>
      </c>
      <c r="G11">
        <v>14</v>
      </c>
      <c r="I11">
        <v>69.78</v>
      </c>
    </row>
    <row r="12" spans="1:14">
      <c r="A12">
        <v>11</v>
      </c>
      <c r="B12" s="1400" t="s">
        <v>3449</v>
      </c>
      <c r="D12" s="1400" t="s">
        <v>3535</v>
      </c>
      <c r="F12">
        <v>29</v>
      </c>
      <c r="G12">
        <v>5</v>
      </c>
      <c r="I12">
        <v>121.97</v>
      </c>
    </row>
    <row r="13" spans="1:14">
      <c r="A13">
        <v>12</v>
      </c>
      <c r="B13" s="1400" t="s">
        <v>3450</v>
      </c>
      <c r="D13" s="1400" t="s">
        <v>3424</v>
      </c>
      <c r="F13">
        <v>27</v>
      </c>
      <c r="G13">
        <v>1</v>
      </c>
      <c r="I13">
        <v>105.7</v>
      </c>
      <c r="J13" s="3140" t="s">
        <v>3427</v>
      </c>
      <c r="K13">
        <v>1751</v>
      </c>
    </row>
    <row r="14" spans="1:14">
      <c r="A14">
        <v>13</v>
      </c>
      <c r="B14" s="1400" t="s">
        <v>3451</v>
      </c>
      <c r="D14" s="1400" t="s">
        <v>3425</v>
      </c>
      <c r="F14">
        <v>29</v>
      </c>
      <c r="G14">
        <v>1</v>
      </c>
      <c r="I14">
        <v>109.58</v>
      </c>
      <c r="J14" s="3140" t="s">
        <v>3426</v>
      </c>
      <c r="K14">
        <v>6703</v>
      </c>
    </row>
    <row r="15" spans="1:14">
      <c r="A15">
        <v>14</v>
      </c>
      <c r="B15" s="1400" t="s">
        <v>3452</v>
      </c>
      <c r="D15" s="1400" t="s">
        <v>3428</v>
      </c>
      <c r="F15">
        <v>29</v>
      </c>
      <c r="G15">
        <v>25</v>
      </c>
      <c r="I15">
        <v>126.87</v>
      </c>
    </row>
    <row r="16" spans="1:14">
      <c r="A16">
        <v>15</v>
      </c>
      <c r="B16" s="1400" t="s">
        <v>3453</v>
      </c>
      <c r="D16" s="1400" t="s">
        <v>3429</v>
      </c>
      <c r="F16">
        <v>29</v>
      </c>
      <c r="G16">
        <v>26</v>
      </c>
      <c r="I16">
        <v>126.4</v>
      </c>
    </row>
    <row r="17" spans="1:9">
      <c r="A17">
        <v>16</v>
      </c>
      <c r="B17" s="1400" t="s">
        <v>3454</v>
      </c>
      <c r="D17" s="1400" t="s">
        <v>3430</v>
      </c>
      <c r="F17">
        <v>29</v>
      </c>
      <c r="G17">
        <v>26</v>
      </c>
      <c r="I17">
        <v>126.87</v>
      </c>
    </row>
    <row r="18" spans="1:9">
      <c r="A18">
        <v>17</v>
      </c>
      <c r="B18" s="1400" t="s">
        <v>3455</v>
      </c>
      <c r="D18" s="1400" t="s">
        <v>3431</v>
      </c>
      <c r="F18">
        <v>29</v>
      </c>
      <c r="G18">
        <v>27</v>
      </c>
      <c r="I18">
        <v>126.87</v>
      </c>
    </row>
    <row r="19" spans="1:9">
      <c r="A19">
        <v>18</v>
      </c>
      <c r="B19" s="1400" t="s">
        <v>3456</v>
      </c>
      <c r="D19" s="1400" t="s">
        <v>3432</v>
      </c>
      <c r="F19">
        <v>29</v>
      </c>
      <c r="G19">
        <v>27</v>
      </c>
      <c r="I19">
        <v>126.4</v>
      </c>
    </row>
    <row r="20" spans="1:9">
      <c r="A20">
        <v>19</v>
      </c>
      <c r="B20" s="1400" t="s">
        <v>3457</v>
      </c>
      <c r="D20" s="1400" t="s">
        <v>3433</v>
      </c>
      <c r="F20">
        <v>29</v>
      </c>
      <c r="G20">
        <v>27</v>
      </c>
      <c r="I20">
        <v>126.4</v>
      </c>
    </row>
    <row r="21" spans="1:9">
      <c r="A21">
        <v>20</v>
      </c>
      <c r="B21" s="1400" t="s">
        <v>3458</v>
      </c>
      <c r="D21" s="1400" t="s">
        <v>3434</v>
      </c>
      <c r="F21">
        <v>29</v>
      </c>
      <c r="G21">
        <v>19</v>
      </c>
      <c r="I21">
        <v>126.87</v>
      </c>
    </row>
    <row r="22" spans="1:9">
      <c r="A22">
        <v>21</v>
      </c>
      <c r="B22" s="1400" t="s">
        <v>3459</v>
      </c>
      <c r="D22" s="1400" t="s">
        <v>3435</v>
      </c>
      <c r="F22">
        <v>29</v>
      </c>
      <c r="G22">
        <v>22</v>
      </c>
      <c r="I22">
        <v>126.4</v>
      </c>
    </row>
    <row r="23" spans="1:9">
      <c r="A23">
        <v>22</v>
      </c>
      <c r="B23" s="1400" t="s">
        <v>3460</v>
      </c>
      <c r="D23" s="1400" t="s">
        <v>3436</v>
      </c>
      <c r="F23">
        <v>29</v>
      </c>
      <c r="G23">
        <v>11</v>
      </c>
      <c r="I23">
        <v>126.87</v>
      </c>
    </row>
    <row r="24" spans="1:9">
      <c r="A24">
        <v>23</v>
      </c>
      <c r="B24" s="1400" t="s">
        <v>3461</v>
      </c>
      <c r="D24" s="1400" t="s">
        <v>3437</v>
      </c>
      <c r="F24">
        <v>29</v>
      </c>
      <c r="G24">
        <v>7</v>
      </c>
      <c r="I24">
        <v>126.4</v>
      </c>
    </row>
    <row r="25" spans="1:9">
      <c r="A25">
        <v>24</v>
      </c>
      <c r="B25" s="1400" t="s">
        <v>3462</v>
      </c>
      <c r="D25" s="1400" t="s">
        <v>3438</v>
      </c>
      <c r="F25">
        <v>29</v>
      </c>
      <c r="G25">
        <v>8</v>
      </c>
      <c r="I25">
        <v>126.87</v>
      </c>
    </row>
    <row r="26" spans="1:9">
      <c r="A26">
        <v>25</v>
      </c>
      <c r="B26" s="1400" t="s">
        <v>3463</v>
      </c>
      <c r="D26" s="1400" t="s">
        <v>3439</v>
      </c>
      <c r="F26">
        <v>29</v>
      </c>
      <c r="G26">
        <v>15</v>
      </c>
      <c r="I26">
        <v>126.4</v>
      </c>
    </row>
    <row r="27" spans="1:9">
      <c r="A27">
        <v>26</v>
      </c>
      <c r="B27" s="1400" t="s">
        <v>3464</v>
      </c>
      <c r="D27" s="1400" t="s">
        <v>3440</v>
      </c>
      <c r="F27">
        <v>29</v>
      </c>
      <c r="G27">
        <v>16</v>
      </c>
      <c r="I27">
        <v>126.4</v>
      </c>
    </row>
    <row r="28" spans="1:9">
      <c r="A28">
        <v>27</v>
      </c>
      <c r="B28" s="1400" t="s">
        <v>3465</v>
      </c>
      <c r="D28" s="1400" t="s">
        <v>3441</v>
      </c>
      <c r="F28">
        <v>29</v>
      </c>
      <c r="G28">
        <v>16</v>
      </c>
      <c r="I28">
        <v>126.87</v>
      </c>
    </row>
    <row r="29" spans="1:9">
      <c r="A29">
        <v>28</v>
      </c>
      <c r="B29" s="1400" t="s">
        <v>3466</v>
      </c>
      <c r="D29" s="1400" t="s">
        <v>3442</v>
      </c>
      <c r="F29">
        <v>29</v>
      </c>
      <c r="G29">
        <v>17</v>
      </c>
      <c r="I29">
        <v>126.87</v>
      </c>
    </row>
    <row r="30" spans="1:9">
      <c r="A30">
        <v>29</v>
      </c>
      <c r="B30" s="1400" t="s">
        <v>3467</v>
      </c>
      <c r="D30" s="1400" t="s">
        <v>3468</v>
      </c>
      <c r="F30">
        <v>29</v>
      </c>
      <c r="G30">
        <v>24</v>
      </c>
      <c r="I30">
        <v>126.4</v>
      </c>
    </row>
    <row r="31" spans="1:9">
      <c r="A31">
        <v>30</v>
      </c>
      <c r="B31" s="1400" t="s">
        <v>3469</v>
      </c>
      <c r="D31" s="1400" t="s">
        <v>3470</v>
      </c>
      <c r="F31">
        <v>29</v>
      </c>
      <c r="G31">
        <v>5</v>
      </c>
      <c r="I31">
        <v>121.97</v>
      </c>
    </row>
    <row r="32" spans="1:9">
      <c r="A32">
        <v>31</v>
      </c>
      <c r="B32" s="1400" t="s">
        <v>3471</v>
      </c>
      <c r="D32" s="1400" t="s">
        <v>3472</v>
      </c>
      <c r="F32">
        <v>29</v>
      </c>
      <c r="G32">
        <v>4</v>
      </c>
      <c r="I32">
        <v>121.97</v>
      </c>
    </row>
    <row r="33" spans="1:9">
      <c r="A33">
        <v>32</v>
      </c>
      <c r="B33" s="1400" t="s">
        <v>3473</v>
      </c>
      <c r="D33" s="1400" t="s">
        <v>3474</v>
      </c>
      <c r="F33">
        <v>29</v>
      </c>
      <c r="G33">
        <v>4</v>
      </c>
      <c r="I33">
        <v>121.97</v>
      </c>
    </row>
    <row r="34" spans="1:9">
      <c r="A34">
        <v>33</v>
      </c>
      <c r="B34" s="1400" t="s">
        <v>3475</v>
      </c>
      <c r="D34" s="1400" t="s">
        <v>3476</v>
      </c>
      <c r="F34">
        <v>29</v>
      </c>
      <c r="G34">
        <v>25</v>
      </c>
      <c r="I34">
        <v>126.4</v>
      </c>
    </row>
    <row r="35" spans="1:9">
      <c r="A35">
        <v>34</v>
      </c>
      <c r="B35" s="1400" t="s">
        <v>3477</v>
      </c>
      <c r="D35" s="1400" t="s">
        <v>3478</v>
      </c>
      <c r="F35">
        <v>29</v>
      </c>
      <c r="G35">
        <v>24</v>
      </c>
      <c r="I35">
        <v>126.87</v>
      </c>
    </row>
    <row r="36" spans="1:9">
      <c r="A36">
        <v>35</v>
      </c>
      <c r="B36" s="1400" t="s">
        <v>3479</v>
      </c>
      <c r="D36" s="1400" t="s">
        <v>3480</v>
      </c>
      <c r="F36">
        <v>29</v>
      </c>
      <c r="G36">
        <v>22</v>
      </c>
      <c r="I36">
        <v>126.87</v>
      </c>
    </row>
    <row r="37" spans="1:9">
      <c r="A37">
        <v>36</v>
      </c>
      <c r="B37" s="1400" t="s">
        <v>3481</v>
      </c>
      <c r="D37" s="1400" t="s">
        <v>3482</v>
      </c>
      <c r="F37">
        <v>29</v>
      </c>
      <c r="G37">
        <v>24</v>
      </c>
      <c r="I37">
        <v>126.4</v>
      </c>
    </row>
    <row r="38" spans="1:9">
      <c r="A38">
        <v>37</v>
      </c>
      <c r="B38" s="1400" t="s">
        <v>3483</v>
      </c>
      <c r="D38" s="1400" t="s">
        <v>3484</v>
      </c>
      <c r="F38">
        <v>29</v>
      </c>
      <c r="G38">
        <v>16</v>
      </c>
      <c r="I38">
        <v>117.03</v>
      </c>
    </row>
    <row r="39" spans="1:9">
      <c r="A39">
        <v>38</v>
      </c>
      <c r="B39" s="1400" t="s">
        <v>3485</v>
      </c>
      <c r="D39" s="1400" t="s">
        <v>3486</v>
      </c>
      <c r="F39">
        <v>29</v>
      </c>
      <c r="G39">
        <v>17</v>
      </c>
      <c r="I39">
        <v>117.03</v>
      </c>
    </row>
    <row r="40" spans="1:9">
      <c r="A40">
        <v>39</v>
      </c>
      <c r="B40" s="1400" t="s">
        <v>3487</v>
      </c>
      <c r="D40" s="1400" t="s">
        <v>3488</v>
      </c>
      <c r="F40">
        <v>29</v>
      </c>
      <c r="G40">
        <v>17</v>
      </c>
      <c r="I40">
        <v>121.97</v>
      </c>
    </row>
    <row r="41" spans="1:9">
      <c r="A41">
        <v>40</v>
      </c>
      <c r="B41" s="1400" t="s">
        <v>3489</v>
      </c>
      <c r="D41" s="1400" t="s">
        <v>3490</v>
      </c>
      <c r="F41">
        <v>29</v>
      </c>
      <c r="G41">
        <v>17</v>
      </c>
      <c r="I41">
        <v>121.97</v>
      </c>
    </row>
    <row r="42" spans="1:9">
      <c r="A42">
        <v>41</v>
      </c>
      <c r="B42" s="1400" t="s">
        <v>3491</v>
      </c>
      <c r="D42" s="1400" t="s">
        <v>3492</v>
      </c>
      <c r="F42">
        <v>29</v>
      </c>
      <c r="G42">
        <v>18</v>
      </c>
      <c r="I42">
        <v>121.97</v>
      </c>
    </row>
    <row r="43" spans="1:9">
      <c r="A43">
        <v>42</v>
      </c>
      <c r="B43" s="1400" t="s">
        <v>3493</v>
      </c>
      <c r="D43" s="1400" t="s">
        <v>3494</v>
      </c>
      <c r="F43">
        <v>29</v>
      </c>
      <c r="G43">
        <v>12</v>
      </c>
      <c r="I43">
        <v>121.97</v>
      </c>
    </row>
    <row r="44" spans="1:9">
      <c r="A44">
        <v>43</v>
      </c>
      <c r="B44" s="1400" t="s">
        <v>3495</v>
      </c>
      <c r="D44" s="1400" t="s">
        <v>3496</v>
      </c>
      <c r="F44">
        <v>27</v>
      </c>
      <c r="G44">
        <v>25</v>
      </c>
      <c r="I44">
        <v>113.66</v>
      </c>
    </row>
    <row r="45" spans="1:9">
      <c r="A45">
        <v>44</v>
      </c>
      <c r="B45" s="1400" t="s">
        <v>3497</v>
      </c>
      <c r="D45" s="1400" t="s">
        <v>3498</v>
      </c>
      <c r="F45">
        <v>29</v>
      </c>
      <c r="G45">
        <v>14</v>
      </c>
      <c r="I45">
        <v>121.97</v>
      </c>
    </row>
    <row r="46" spans="1:9">
      <c r="A46">
        <v>45</v>
      </c>
      <c r="B46" s="1400" t="s">
        <v>3499</v>
      </c>
      <c r="D46" s="1400" t="s">
        <v>3500</v>
      </c>
      <c r="F46">
        <v>29</v>
      </c>
      <c r="G46">
        <v>14</v>
      </c>
      <c r="I46">
        <v>121.97</v>
      </c>
    </row>
    <row r="47" spans="1:9">
      <c r="A47">
        <v>46</v>
      </c>
      <c r="B47" s="1400" t="s">
        <v>3501</v>
      </c>
      <c r="D47" s="1400" t="s">
        <v>3502</v>
      </c>
      <c r="F47">
        <v>29</v>
      </c>
      <c r="G47">
        <v>1</v>
      </c>
      <c r="I47">
        <v>105.21</v>
      </c>
    </row>
    <row r="48" spans="1:9">
      <c r="A48">
        <v>47</v>
      </c>
      <c r="B48" s="1400" t="s">
        <v>3503</v>
      </c>
      <c r="D48" s="1400" t="s">
        <v>3504</v>
      </c>
      <c r="F48">
        <v>27</v>
      </c>
      <c r="G48">
        <v>1</v>
      </c>
      <c r="I48">
        <v>105.7</v>
      </c>
    </row>
    <row r="49" spans="1:10">
      <c r="A49">
        <v>48</v>
      </c>
      <c r="B49" s="1400" t="s">
        <v>3505</v>
      </c>
      <c r="D49" s="1400" t="s">
        <v>3506</v>
      </c>
      <c r="F49">
        <v>29</v>
      </c>
      <c r="G49">
        <v>12</v>
      </c>
      <c r="I49">
        <v>121.97</v>
      </c>
    </row>
    <row r="50" spans="1:10">
      <c r="A50">
        <v>49</v>
      </c>
      <c r="B50" s="1400" t="s">
        <v>3507</v>
      </c>
      <c r="D50" s="1400" t="s">
        <v>3508</v>
      </c>
      <c r="F50">
        <v>27</v>
      </c>
      <c r="G50" s="1400" t="s">
        <v>3509</v>
      </c>
      <c r="I50">
        <v>92.4</v>
      </c>
    </row>
    <row r="51" spans="1:10">
      <c r="A51">
        <v>50</v>
      </c>
      <c r="B51" s="1400" t="s">
        <v>3510</v>
      </c>
      <c r="D51" s="1400" t="s">
        <v>3511</v>
      </c>
      <c r="F51">
        <v>29</v>
      </c>
      <c r="G51" s="1400">
        <v>1</v>
      </c>
      <c r="I51">
        <v>109.58</v>
      </c>
    </row>
    <row r="52" spans="1:10">
      <c r="A52">
        <v>51</v>
      </c>
      <c r="B52" s="1400" t="s">
        <v>3512</v>
      </c>
      <c r="D52" s="1400" t="s">
        <v>3513</v>
      </c>
      <c r="F52">
        <v>27</v>
      </c>
      <c r="G52" s="1400">
        <v>8</v>
      </c>
      <c r="I52">
        <v>105.7</v>
      </c>
    </row>
    <row r="53" spans="1:10">
      <c r="A53">
        <v>52</v>
      </c>
      <c r="B53" s="1400" t="s">
        <v>3514</v>
      </c>
      <c r="D53" s="1400" t="s">
        <v>3515</v>
      </c>
      <c r="F53">
        <v>29</v>
      </c>
      <c r="G53" s="1400">
        <v>6</v>
      </c>
      <c r="I53">
        <v>121.97</v>
      </c>
    </row>
    <row r="54" spans="1:10">
      <c r="A54">
        <v>53</v>
      </c>
      <c r="B54" s="1400" t="s">
        <v>3516</v>
      </c>
      <c r="D54" s="1400" t="s">
        <v>3517</v>
      </c>
      <c r="F54">
        <v>29</v>
      </c>
      <c r="G54" s="1400">
        <v>19</v>
      </c>
      <c r="I54">
        <v>121.97</v>
      </c>
    </row>
    <row r="55" spans="1:10">
      <c r="A55">
        <v>54</v>
      </c>
      <c r="B55" s="1400" t="s">
        <v>3518</v>
      </c>
      <c r="D55" s="1400" t="s">
        <v>3519</v>
      </c>
      <c r="F55">
        <v>29</v>
      </c>
      <c r="G55" s="1400">
        <v>7</v>
      </c>
      <c r="I55">
        <v>121.97</v>
      </c>
    </row>
    <row r="56" spans="1:10">
      <c r="A56">
        <v>55</v>
      </c>
      <c r="B56" s="1400" t="s">
        <v>3520</v>
      </c>
      <c r="D56" s="1400" t="s">
        <v>3521</v>
      </c>
      <c r="F56">
        <v>29</v>
      </c>
      <c r="G56" s="1400">
        <v>19</v>
      </c>
      <c r="I56">
        <v>121.97</v>
      </c>
    </row>
    <row r="57" spans="1:10">
      <c r="A57">
        <v>56</v>
      </c>
      <c r="B57" s="1400" t="s">
        <v>3522</v>
      </c>
      <c r="D57" s="1400" t="s">
        <v>3523</v>
      </c>
      <c r="F57">
        <v>29</v>
      </c>
      <c r="G57" s="1400">
        <v>8</v>
      </c>
      <c r="I57">
        <v>121.97</v>
      </c>
    </row>
    <row r="58" spans="1:10" s="3146" customFormat="1">
      <c r="A58" s="3145">
        <v>57</v>
      </c>
      <c r="B58" s="3146" t="s">
        <v>3522</v>
      </c>
      <c r="D58" s="3146" t="s">
        <v>3523</v>
      </c>
      <c r="F58" s="3146">
        <v>29</v>
      </c>
      <c r="G58" s="3146">
        <v>8</v>
      </c>
      <c r="I58" s="3146">
        <v>121.97</v>
      </c>
      <c r="J58" s="3147" t="s">
        <v>3531</v>
      </c>
    </row>
    <row r="59" spans="1:10">
      <c r="A59">
        <v>58</v>
      </c>
      <c r="B59" s="1400" t="s">
        <v>3524</v>
      </c>
      <c r="D59" s="1400" t="s">
        <v>3525</v>
      </c>
      <c r="F59">
        <v>29</v>
      </c>
      <c r="G59" s="1400">
        <v>23</v>
      </c>
      <c r="I59">
        <v>121.97</v>
      </c>
    </row>
    <row r="60" spans="1:10">
      <c r="A60">
        <v>59</v>
      </c>
      <c r="B60" s="1400" t="s">
        <v>3526</v>
      </c>
      <c r="D60" s="1400" t="s">
        <v>3527</v>
      </c>
      <c r="F60">
        <v>29</v>
      </c>
      <c r="G60" s="1400">
        <v>23</v>
      </c>
      <c r="I60">
        <v>121.97</v>
      </c>
    </row>
    <row r="61" spans="1:10">
      <c r="A61">
        <v>60</v>
      </c>
      <c r="B61" s="1400" t="s">
        <v>3528</v>
      </c>
      <c r="D61" s="1400" t="s">
        <v>3529</v>
      </c>
      <c r="F61">
        <v>29</v>
      </c>
      <c r="G61" s="1400">
        <v>8</v>
      </c>
      <c r="I61">
        <v>121.97</v>
      </c>
    </row>
    <row r="62" spans="1:10">
      <c r="B62" s="1400"/>
    </row>
    <row r="63" spans="1:10">
      <c r="B63" s="1400"/>
    </row>
    <row r="64" spans="1:10">
      <c r="B64" s="1400"/>
      <c r="H64" s="1400" t="s">
        <v>2589</v>
      </c>
      <c r="I64" s="1400">
        <f>SUM(I2:I63)</f>
        <v>7149.5000000000018</v>
      </c>
      <c r="J64" s="3140" t="s">
        <v>3660</v>
      </c>
    </row>
    <row r="66" spans="9:10">
      <c r="I66">
        <f>I64-I58</f>
        <v>7027.5300000000016</v>
      </c>
      <c r="J66" s="3140" t="s">
        <v>3659</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8B298-68B3-4F01-9B0B-1BA540E70E09}">
  <sheetPr>
    <tabColor rgb="FFFFFF00"/>
  </sheetPr>
  <dimension ref="A1:R61"/>
  <sheetViews>
    <sheetView workbookViewId="0">
      <selection activeCell="J65" sqref="J65"/>
    </sheetView>
  </sheetViews>
  <sheetFormatPr defaultRowHeight="14.4"/>
  <cols>
    <col min="1" max="1" width="5.33203125" customWidth="1"/>
    <col min="2" max="2" width="37.5546875" customWidth="1"/>
    <col min="3" max="3" width="36.109375" customWidth="1"/>
    <col min="4" max="4" width="8.109375" customWidth="1"/>
    <col min="5" max="5" width="5.77734375" customWidth="1"/>
    <col min="14" max="14" width="17" style="3141" customWidth="1"/>
  </cols>
  <sheetData>
    <row r="1" spans="1:18">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3652</v>
      </c>
      <c r="N1" s="3140" t="s">
        <v>3401</v>
      </c>
      <c r="O1" s="1400" t="s">
        <v>3402</v>
      </c>
    </row>
    <row r="2" spans="1:18">
      <c r="A2">
        <v>50</v>
      </c>
      <c r="B2" s="1400" t="s">
        <v>3510</v>
      </c>
      <c r="D2">
        <v>1</v>
      </c>
      <c r="E2">
        <v>102</v>
      </c>
      <c r="F2" s="1400" t="s">
        <v>3511</v>
      </c>
      <c r="G2" s="1400" t="s">
        <v>3406</v>
      </c>
      <c r="H2">
        <v>29</v>
      </c>
      <c r="I2" s="1400">
        <v>1</v>
      </c>
      <c r="J2" s="1400" t="s">
        <v>3411</v>
      </c>
      <c r="K2">
        <v>109.58</v>
      </c>
      <c r="L2" s="1400" t="s">
        <v>3539</v>
      </c>
      <c r="M2" s="1400" t="s">
        <v>3653</v>
      </c>
    </row>
    <row r="3" spans="1:18">
      <c r="A3">
        <v>13</v>
      </c>
      <c r="B3" s="1400" t="s">
        <v>3451</v>
      </c>
      <c r="D3">
        <v>1</v>
      </c>
      <c r="E3">
        <v>103</v>
      </c>
      <c r="F3" s="1400" t="s">
        <v>3425</v>
      </c>
      <c r="G3" s="1400" t="s">
        <v>3406</v>
      </c>
      <c r="H3">
        <v>29</v>
      </c>
      <c r="I3">
        <v>1</v>
      </c>
      <c r="J3" s="1400" t="s">
        <v>3411</v>
      </c>
      <c r="K3">
        <v>109.58</v>
      </c>
      <c r="L3" s="1400" t="s">
        <v>3539</v>
      </c>
      <c r="M3" s="1400" t="s">
        <v>3653</v>
      </c>
      <c r="N3" s="3140" t="s">
        <v>3426</v>
      </c>
      <c r="O3">
        <v>6703</v>
      </c>
    </row>
    <row r="4" spans="1:18">
      <c r="A4">
        <v>23</v>
      </c>
      <c r="B4" s="1400" t="s">
        <v>3461</v>
      </c>
      <c r="D4">
        <v>1</v>
      </c>
      <c r="E4">
        <v>703</v>
      </c>
      <c r="F4" s="1400" t="s">
        <v>3437</v>
      </c>
      <c r="G4" s="1400" t="s">
        <v>3406</v>
      </c>
      <c r="H4">
        <v>29</v>
      </c>
      <c r="I4">
        <v>7</v>
      </c>
      <c r="J4" s="1400" t="s">
        <v>3411</v>
      </c>
      <c r="K4">
        <v>126.4</v>
      </c>
      <c r="L4" s="1400" t="s">
        <v>3539</v>
      </c>
      <c r="M4" s="1400" t="s">
        <v>3653</v>
      </c>
    </row>
    <row r="5" spans="1:18">
      <c r="A5">
        <v>24</v>
      </c>
      <c r="B5" s="1400" t="s">
        <v>3462</v>
      </c>
      <c r="D5">
        <v>1</v>
      </c>
      <c r="E5">
        <v>804</v>
      </c>
      <c r="F5" s="1400" t="s">
        <v>3438</v>
      </c>
      <c r="G5" s="1400" t="s">
        <v>3406</v>
      </c>
      <c r="H5">
        <v>29</v>
      </c>
      <c r="I5">
        <v>8</v>
      </c>
      <c r="J5" s="1400" t="s">
        <v>3411</v>
      </c>
      <c r="K5">
        <v>126.87</v>
      </c>
      <c r="L5" s="1400" t="s">
        <v>3539</v>
      </c>
      <c r="M5" s="1400" t="s">
        <v>3653</v>
      </c>
    </row>
    <row r="6" spans="1:18">
      <c r="A6">
        <v>22</v>
      </c>
      <c r="B6" s="1400" t="s">
        <v>3460</v>
      </c>
      <c r="D6">
        <v>1</v>
      </c>
      <c r="E6">
        <v>1104</v>
      </c>
      <c r="F6" s="1400" t="s">
        <v>3436</v>
      </c>
      <c r="G6" s="1400" t="s">
        <v>3406</v>
      </c>
      <c r="H6">
        <v>29</v>
      </c>
      <c r="I6">
        <v>11</v>
      </c>
      <c r="J6" s="1400" t="s">
        <v>3411</v>
      </c>
      <c r="K6">
        <v>126.87</v>
      </c>
      <c r="L6" s="1400" t="s">
        <v>3540</v>
      </c>
      <c r="M6" s="1400" t="s">
        <v>3653</v>
      </c>
    </row>
    <row r="7" spans="1:18">
      <c r="A7">
        <v>25</v>
      </c>
      <c r="B7" s="1400" t="s">
        <v>3463</v>
      </c>
      <c r="D7">
        <v>1</v>
      </c>
      <c r="E7">
        <v>1503</v>
      </c>
      <c r="F7" s="1400" t="s">
        <v>3439</v>
      </c>
      <c r="G7" s="1400" t="s">
        <v>3406</v>
      </c>
      <c r="H7">
        <v>29</v>
      </c>
      <c r="I7">
        <v>15</v>
      </c>
      <c r="J7" s="1400" t="s">
        <v>3411</v>
      </c>
      <c r="K7">
        <v>126.4</v>
      </c>
      <c r="L7" s="1400" t="s">
        <v>3540</v>
      </c>
      <c r="M7" s="1400" t="s">
        <v>3653</v>
      </c>
      <c r="R7" s="1400" t="s">
        <v>3419</v>
      </c>
    </row>
    <row r="8" spans="1:18">
      <c r="A8">
        <v>26</v>
      </c>
      <c r="B8" s="1400" t="s">
        <v>3464</v>
      </c>
      <c r="D8">
        <v>1</v>
      </c>
      <c r="E8">
        <v>1603</v>
      </c>
      <c r="F8" s="1400" t="s">
        <v>3440</v>
      </c>
      <c r="G8" s="1400" t="s">
        <v>3406</v>
      </c>
      <c r="H8">
        <v>29</v>
      </c>
      <c r="I8">
        <v>16</v>
      </c>
      <c r="J8" s="1400" t="s">
        <v>3411</v>
      </c>
      <c r="K8">
        <v>126.4</v>
      </c>
      <c r="L8" s="1400" t="s">
        <v>3540</v>
      </c>
      <c r="M8" s="1400" t="s">
        <v>3653</v>
      </c>
    </row>
    <row r="9" spans="1:18">
      <c r="A9">
        <v>27</v>
      </c>
      <c r="B9" s="1400" t="s">
        <v>3465</v>
      </c>
      <c r="D9">
        <v>1</v>
      </c>
      <c r="E9">
        <v>1604</v>
      </c>
      <c r="F9" s="1400" t="s">
        <v>3441</v>
      </c>
      <c r="G9" s="1400" t="s">
        <v>3406</v>
      </c>
      <c r="H9">
        <v>29</v>
      </c>
      <c r="I9">
        <v>16</v>
      </c>
      <c r="J9" s="1400" t="s">
        <v>3411</v>
      </c>
      <c r="K9">
        <v>126.87</v>
      </c>
      <c r="L9" s="1400" t="s">
        <v>3540</v>
      </c>
      <c r="M9" s="1400" t="s">
        <v>3653</v>
      </c>
    </row>
    <row r="10" spans="1:18">
      <c r="A10">
        <v>28</v>
      </c>
      <c r="B10" s="1400" t="s">
        <v>3466</v>
      </c>
      <c r="D10">
        <v>1</v>
      </c>
      <c r="E10">
        <v>1704</v>
      </c>
      <c r="F10" s="1400" t="s">
        <v>3442</v>
      </c>
      <c r="G10" s="1400" t="s">
        <v>3406</v>
      </c>
      <c r="H10">
        <v>29</v>
      </c>
      <c r="I10">
        <v>17</v>
      </c>
      <c r="J10" s="1400" t="s">
        <v>3411</v>
      </c>
      <c r="K10">
        <v>126.87</v>
      </c>
      <c r="L10" s="1400" t="s">
        <v>3540</v>
      </c>
      <c r="M10" s="1400" t="s">
        <v>3653</v>
      </c>
    </row>
    <row r="11" spans="1:18">
      <c r="A11">
        <v>20</v>
      </c>
      <c r="B11" s="1400" t="s">
        <v>3458</v>
      </c>
      <c r="D11">
        <v>1</v>
      </c>
      <c r="E11">
        <v>1904</v>
      </c>
      <c r="F11" s="1400" t="s">
        <v>3434</v>
      </c>
      <c r="G11" s="1400" t="s">
        <v>3406</v>
      </c>
      <c r="H11">
        <v>29</v>
      </c>
      <c r="I11">
        <v>19</v>
      </c>
      <c r="J11" s="1400" t="s">
        <v>3411</v>
      </c>
      <c r="K11">
        <v>126.87</v>
      </c>
      <c r="L11" s="1400" t="s">
        <v>3540</v>
      </c>
      <c r="M11" s="1400" t="s">
        <v>3653</v>
      </c>
    </row>
    <row r="12" spans="1:18">
      <c r="A12">
        <v>21</v>
      </c>
      <c r="B12" s="1400" t="s">
        <v>3459</v>
      </c>
      <c r="D12">
        <v>1</v>
      </c>
      <c r="E12">
        <v>2202</v>
      </c>
      <c r="F12" s="1400" t="s">
        <v>3435</v>
      </c>
      <c r="G12" s="1400" t="s">
        <v>3406</v>
      </c>
      <c r="H12">
        <v>29</v>
      </c>
      <c r="I12">
        <v>22</v>
      </c>
      <c r="J12" s="1400" t="s">
        <v>3411</v>
      </c>
      <c r="K12">
        <v>126.4</v>
      </c>
      <c r="L12" s="1400" t="s">
        <v>3541</v>
      </c>
      <c r="M12" s="1400" t="s">
        <v>3653</v>
      </c>
    </row>
    <row r="13" spans="1:18">
      <c r="A13">
        <v>35</v>
      </c>
      <c r="B13" s="1400" t="s">
        <v>3479</v>
      </c>
      <c r="D13">
        <v>1</v>
      </c>
      <c r="E13">
        <v>2204</v>
      </c>
      <c r="F13" s="1400" t="s">
        <v>3480</v>
      </c>
      <c r="G13" s="1400" t="s">
        <v>3406</v>
      </c>
      <c r="H13">
        <v>29</v>
      </c>
      <c r="I13">
        <v>22</v>
      </c>
      <c r="J13" s="1400" t="s">
        <v>3411</v>
      </c>
      <c r="K13">
        <v>126.87</v>
      </c>
      <c r="L13" s="1400" t="s">
        <v>3541</v>
      </c>
      <c r="M13" s="1400" t="s">
        <v>3653</v>
      </c>
    </row>
    <row r="14" spans="1:18">
      <c r="A14">
        <v>36</v>
      </c>
      <c r="B14" s="1400" t="s">
        <v>3481</v>
      </c>
      <c r="D14">
        <v>1</v>
      </c>
      <c r="E14">
        <v>2402</v>
      </c>
      <c r="F14" s="1400" t="s">
        <v>3482</v>
      </c>
      <c r="G14" s="1400" t="s">
        <v>3406</v>
      </c>
      <c r="H14">
        <v>29</v>
      </c>
      <c r="I14">
        <v>24</v>
      </c>
      <c r="J14" s="1400" t="s">
        <v>3411</v>
      </c>
      <c r="K14">
        <v>126.4</v>
      </c>
      <c r="L14" s="1400" t="s">
        <v>3541</v>
      </c>
      <c r="M14" s="1400" t="s">
        <v>3653</v>
      </c>
    </row>
    <row r="15" spans="1:18">
      <c r="A15">
        <v>29</v>
      </c>
      <c r="B15" s="1400" t="s">
        <v>3467</v>
      </c>
      <c r="D15">
        <v>1</v>
      </c>
      <c r="E15">
        <v>2403</v>
      </c>
      <c r="F15" s="1400" t="s">
        <v>3468</v>
      </c>
      <c r="G15" s="1400" t="s">
        <v>3406</v>
      </c>
      <c r="H15">
        <v>29</v>
      </c>
      <c r="I15">
        <v>24</v>
      </c>
      <c r="J15" s="1400" t="s">
        <v>3411</v>
      </c>
      <c r="K15">
        <v>126.4</v>
      </c>
      <c r="L15" s="1400" t="s">
        <v>3541</v>
      </c>
      <c r="M15" s="1400" t="s">
        <v>3653</v>
      </c>
    </row>
    <row r="16" spans="1:18">
      <c r="A16">
        <v>34</v>
      </c>
      <c r="B16" s="1400" t="s">
        <v>3477</v>
      </c>
      <c r="D16">
        <v>1</v>
      </c>
      <c r="E16">
        <v>2404</v>
      </c>
      <c r="F16" s="1400" t="s">
        <v>3478</v>
      </c>
      <c r="G16" s="1400" t="s">
        <v>3406</v>
      </c>
      <c r="H16">
        <v>29</v>
      </c>
      <c r="I16">
        <v>24</v>
      </c>
      <c r="J16" s="1400" t="s">
        <v>3411</v>
      </c>
      <c r="K16">
        <v>126.87</v>
      </c>
      <c r="L16" s="1400" t="s">
        <v>3541</v>
      </c>
      <c r="M16" s="1400" t="s">
        <v>3653</v>
      </c>
    </row>
    <row r="17" spans="1:13">
      <c r="A17">
        <v>33</v>
      </c>
      <c r="B17" s="1400" t="s">
        <v>3475</v>
      </c>
      <c r="D17">
        <v>1</v>
      </c>
      <c r="E17">
        <v>2503</v>
      </c>
      <c r="F17" s="1400" t="s">
        <v>3476</v>
      </c>
      <c r="G17" s="1400" t="s">
        <v>3406</v>
      </c>
      <c r="H17">
        <v>29</v>
      </c>
      <c r="I17">
        <v>25</v>
      </c>
      <c r="J17" s="1400" t="s">
        <v>3411</v>
      </c>
      <c r="K17">
        <v>126.4</v>
      </c>
      <c r="L17" s="1400" t="s">
        <v>3541</v>
      </c>
      <c r="M17" s="1400" t="s">
        <v>3653</v>
      </c>
    </row>
    <row r="18" spans="1:13">
      <c r="A18">
        <v>14</v>
      </c>
      <c r="B18" s="1400" t="s">
        <v>3452</v>
      </c>
      <c r="D18">
        <v>1</v>
      </c>
      <c r="E18">
        <v>2504</v>
      </c>
      <c r="F18" s="1400" t="s">
        <v>3428</v>
      </c>
      <c r="G18" s="1400" t="s">
        <v>3406</v>
      </c>
      <c r="H18">
        <v>29</v>
      </c>
      <c r="I18">
        <v>25</v>
      </c>
      <c r="J18" s="1400" t="s">
        <v>3411</v>
      </c>
      <c r="K18">
        <v>126.87</v>
      </c>
      <c r="L18" s="1400" t="s">
        <v>3541</v>
      </c>
      <c r="M18" s="1400" t="s">
        <v>3653</v>
      </c>
    </row>
    <row r="19" spans="1:13">
      <c r="A19">
        <v>15</v>
      </c>
      <c r="B19" s="1400" t="s">
        <v>3453</v>
      </c>
      <c r="D19">
        <v>1</v>
      </c>
      <c r="E19">
        <v>2603</v>
      </c>
      <c r="F19" s="1400" t="s">
        <v>3429</v>
      </c>
      <c r="G19" s="1400" t="s">
        <v>3406</v>
      </c>
      <c r="H19">
        <v>29</v>
      </c>
      <c r="I19">
        <v>26</v>
      </c>
      <c r="J19" s="1400" t="s">
        <v>3411</v>
      </c>
      <c r="K19">
        <v>126.4</v>
      </c>
      <c r="L19" s="1400" t="s">
        <v>3541</v>
      </c>
      <c r="M19" s="1400" t="s">
        <v>3653</v>
      </c>
    </row>
    <row r="20" spans="1:13">
      <c r="A20">
        <v>16</v>
      </c>
      <c r="B20" s="1400" t="s">
        <v>3454</v>
      </c>
      <c r="D20">
        <v>1</v>
      </c>
      <c r="E20">
        <v>2604</v>
      </c>
      <c r="F20" s="1400" t="s">
        <v>3430</v>
      </c>
      <c r="G20" s="1400" t="s">
        <v>3406</v>
      </c>
      <c r="H20">
        <v>29</v>
      </c>
      <c r="I20">
        <v>26</v>
      </c>
      <c r="J20" s="1400" t="s">
        <v>3411</v>
      </c>
      <c r="K20">
        <v>126.87</v>
      </c>
      <c r="L20" s="1400" t="s">
        <v>3541</v>
      </c>
      <c r="M20" s="1400" t="s">
        <v>3653</v>
      </c>
    </row>
    <row r="21" spans="1:13">
      <c r="A21">
        <v>17</v>
      </c>
      <c r="B21" s="1400" t="s">
        <v>3455</v>
      </c>
      <c r="D21">
        <v>1</v>
      </c>
      <c r="E21">
        <v>2701</v>
      </c>
      <c r="F21" s="1400" t="s">
        <v>3431</v>
      </c>
      <c r="G21" s="1400" t="s">
        <v>3406</v>
      </c>
      <c r="H21">
        <v>29</v>
      </c>
      <c r="I21">
        <v>27</v>
      </c>
      <c r="J21" s="1400" t="s">
        <v>3411</v>
      </c>
      <c r="K21">
        <v>126.87</v>
      </c>
      <c r="L21" s="1400" t="s">
        <v>3541</v>
      </c>
      <c r="M21" s="1400" t="s">
        <v>3653</v>
      </c>
    </row>
    <row r="22" spans="1:13">
      <c r="A22">
        <v>18</v>
      </c>
      <c r="B22" s="1400" t="s">
        <v>3456</v>
      </c>
      <c r="D22">
        <v>1</v>
      </c>
      <c r="E22">
        <v>2702</v>
      </c>
      <c r="F22" s="1400" t="s">
        <v>3432</v>
      </c>
      <c r="G22" s="1400" t="s">
        <v>3406</v>
      </c>
      <c r="H22">
        <v>29</v>
      </c>
      <c r="I22">
        <v>27</v>
      </c>
      <c r="J22" s="1400" t="s">
        <v>3411</v>
      </c>
      <c r="K22">
        <v>126.4</v>
      </c>
      <c r="L22" s="1400" t="s">
        <v>3541</v>
      </c>
      <c r="M22" s="1400" t="s">
        <v>3653</v>
      </c>
    </row>
    <row r="23" spans="1:13">
      <c r="A23">
        <v>19</v>
      </c>
      <c r="B23" s="1400" t="s">
        <v>3457</v>
      </c>
      <c r="D23">
        <v>1</v>
      </c>
      <c r="E23">
        <v>2703</v>
      </c>
      <c r="F23" s="1400" t="s">
        <v>3433</v>
      </c>
      <c r="G23" s="1400" t="s">
        <v>3406</v>
      </c>
      <c r="H23">
        <v>29</v>
      </c>
      <c r="I23">
        <v>27</v>
      </c>
      <c r="J23" s="1400" t="s">
        <v>3411</v>
      </c>
      <c r="K23">
        <v>126.4</v>
      </c>
      <c r="L23" s="1400" t="s">
        <v>3541</v>
      </c>
      <c r="M23" s="1400" t="s">
        <v>3653</v>
      </c>
    </row>
    <row r="24" spans="1:13">
      <c r="K24">
        <f>SUM(K2:K23)</f>
        <v>2751.86</v>
      </c>
    </row>
    <row r="28" spans="1:13">
      <c r="B28" s="1400" t="s">
        <v>3542</v>
      </c>
      <c r="C28" s="1400" t="s">
        <v>3539</v>
      </c>
      <c r="D28" s="3148" t="s">
        <v>3543</v>
      </c>
      <c r="E28" s="1400" t="s">
        <v>3547</v>
      </c>
    </row>
    <row r="29" spans="1:13">
      <c r="B29">
        <f>ROUND(29/3,0)</f>
        <v>10</v>
      </c>
      <c r="C29" s="1400" t="s">
        <v>3540</v>
      </c>
      <c r="D29" s="3148" t="s">
        <v>3544</v>
      </c>
      <c r="E29" s="1400" t="s">
        <v>3548</v>
      </c>
    </row>
    <row r="30" spans="1:13">
      <c r="C30" s="1400" t="s">
        <v>3541</v>
      </c>
      <c r="D30" s="1400" t="s">
        <v>3545</v>
      </c>
      <c r="E30" s="1400" t="s">
        <v>3546</v>
      </c>
    </row>
    <row r="61" spans="2:14">
      <c r="B61" s="1400"/>
      <c r="J61" s="1400" t="s">
        <v>2589</v>
      </c>
      <c r="K61" s="1400">
        <f>SUM(K2:K52)</f>
        <v>5503.72</v>
      </c>
      <c r="L61" s="1400"/>
      <c r="M61" s="1400"/>
      <c r="N61" s="3140"/>
    </row>
  </sheetData>
  <sortState xmlns:xlrd2="http://schemas.microsoft.com/office/spreadsheetml/2017/richdata2" ref="A2:O23">
    <sortCondition ref="E2:E23"/>
  </sortState>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1" t="str">
        <f>项目基本情况!B1</f>
        <v>天津市南开区卫津南路西侧柏悦花园房地产抵押价值预评估</v>
      </c>
      <c r="C37" s="3171"/>
      <c r="D37" s="3171"/>
      <c r="E37" s="3171"/>
      <c r="F37" s="3171"/>
      <c r="G37" s="3171"/>
      <c r="H37" s="3171"/>
      <c r="I37" s="3171"/>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c r="B46" s="1373"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6D56F-2097-469A-B6A0-F13E277E814C}">
  <sheetPr>
    <tabColor rgb="FFFFFF00"/>
  </sheetPr>
  <dimension ref="A1:O46"/>
  <sheetViews>
    <sheetView workbookViewId="0">
      <selection activeCell="J65" sqref="J65"/>
    </sheetView>
  </sheetViews>
  <sheetFormatPr defaultRowHeight="14.4"/>
  <cols>
    <col min="1" max="1" width="5" customWidth="1"/>
    <col min="2" max="2" width="36.21875" customWidth="1"/>
    <col min="3" max="3" width="34.44140625" customWidth="1"/>
    <col min="5" max="5" width="7.44140625" customWidth="1"/>
  </cols>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3652</v>
      </c>
      <c r="N1" s="3140" t="s">
        <v>3401</v>
      </c>
      <c r="O1" s="1400" t="s">
        <v>3402</v>
      </c>
    </row>
    <row r="2" spans="1:15">
      <c r="A2">
        <v>46</v>
      </c>
      <c r="B2" s="1400" t="s">
        <v>3501</v>
      </c>
      <c r="D2">
        <v>2</v>
      </c>
      <c r="E2">
        <v>102</v>
      </c>
      <c r="F2" s="1400" t="s">
        <v>3502</v>
      </c>
      <c r="G2" s="1400" t="s">
        <v>3406</v>
      </c>
      <c r="H2">
        <v>29</v>
      </c>
      <c r="I2">
        <v>1</v>
      </c>
      <c r="J2" s="1400" t="s">
        <v>3411</v>
      </c>
      <c r="K2">
        <v>105.21</v>
      </c>
      <c r="L2" s="1400" t="s">
        <v>3539</v>
      </c>
      <c r="M2" s="1400" t="s">
        <v>3653</v>
      </c>
      <c r="N2" s="3141"/>
    </row>
    <row r="3" spans="1:15">
      <c r="A3">
        <v>9</v>
      </c>
      <c r="B3" s="1400" t="s">
        <v>3447</v>
      </c>
      <c r="D3">
        <v>2</v>
      </c>
      <c r="E3">
        <v>302</v>
      </c>
      <c r="F3" s="1400" t="s">
        <v>3422</v>
      </c>
      <c r="G3" s="1400" t="s">
        <v>3406</v>
      </c>
      <c r="H3">
        <v>29</v>
      </c>
      <c r="I3">
        <v>3</v>
      </c>
      <c r="J3" s="1400" t="s">
        <v>3411</v>
      </c>
      <c r="K3">
        <v>121.97</v>
      </c>
      <c r="L3" s="1400" t="s">
        <v>3539</v>
      </c>
      <c r="M3" s="1400" t="s">
        <v>3653</v>
      </c>
      <c r="N3" s="3141"/>
    </row>
    <row r="4" spans="1:15">
      <c r="A4">
        <v>32</v>
      </c>
      <c r="B4" s="1400" t="s">
        <v>3473</v>
      </c>
      <c r="D4">
        <v>2</v>
      </c>
      <c r="E4">
        <v>402</v>
      </c>
      <c r="F4" s="1400" t="s">
        <v>3474</v>
      </c>
      <c r="G4" s="1400" t="s">
        <v>3406</v>
      </c>
      <c r="H4">
        <v>29</v>
      </c>
      <c r="I4">
        <v>4</v>
      </c>
      <c r="J4" s="1400" t="s">
        <v>3411</v>
      </c>
      <c r="K4">
        <v>121.97</v>
      </c>
      <c r="L4" s="1400" t="s">
        <v>3539</v>
      </c>
      <c r="M4" s="1400" t="s">
        <v>3653</v>
      </c>
      <c r="N4" s="3141"/>
    </row>
    <row r="5" spans="1:15">
      <c r="A5">
        <v>31</v>
      </c>
      <c r="B5" s="1400" t="s">
        <v>3471</v>
      </c>
      <c r="D5">
        <v>2</v>
      </c>
      <c r="E5">
        <v>403</v>
      </c>
      <c r="F5" s="1400" t="s">
        <v>3472</v>
      </c>
      <c r="G5" s="1400" t="s">
        <v>3406</v>
      </c>
      <c r="H5">
        <v>29</v>
      </c>
      <c r="I5">
        <v>4</v>
      </c>
      <c r="J5" s="1400" t="s">
        <v>3411</v>
      </c>
      <c r="K5">
        <v>121.97</v>
      </c>
      <c r="L5" s="1400" t="s">
        <v>3539</v>
      </c>
      <c r="M5" s="1400" t="s">
        <v>3653</v>
      </c>
      <c r="N5" s="3141"/>
    </row>
    <row r="6" spans="1:15">
      <c r="A6">
        <v>30</v>
      </c>
      <c r="B6" s="1400" t="s">
        <v>3469</v>
      </c>
      <c r="D6">
        <v>2</v>
      </c>
      <c r="E6">
        <v>502</v>
      </c>
      <c r="F6" s="1400" t="s">
        <v>3470</v>
      </c>
      <c r="G6" s="1400" t="s">
        <v>3406</v>
      </c>
      <c r="H6">
        <v>29</v>
      </c>
      <c r="I6">
        <v>5</v>
      </c>
      <c r="J6" s="1400" t="s">
        <v>3411</v>
      </c>
      <c r="K6">
        <v>121.97</v>
      </c>
      <c r="L6" s="1400" t="s">
        <v>3539</v>
      </c>
      <c r="M6" s="1400" t="s">
        <v>3653</v>
      </c>
      <c r="N6" s="3141"/>
    </row>
    <row r="7" spans="1:15">
      <c r="A7">
        <v>11</v>
      </c>
      <c r="B7" s="1400" t="s">
        <v>3449</v>
      </c>
      <c r="D7">
        <v>2</v>
      </c>
      <c r="E7">
        <v>503</v>
      </c>
      <c r="F7" s="1400" t="s">
        <v>3535</v>
      </c>
      <c r="G7" s="1400" t="s">
        <v>3406</v>
      </c>
      <c r="H7">
        <v>29</v>
      </c>
      <c r="I7">
        <v>5</v>
      </c>
      <c r="J7" s="1400" t="s">
        <v>3411</v>
      </c>
      <c r="K7">
        <v>121.97</v>
      </c>
      <c r="L7" s="1400" t="s">
        <v>3539</v>
      </c>
      <c r="M7" s="1400" t="s">
        <v>3653</v>
      </c>
      <c r="N7" s="3141"/>
    </row>
    <row r="8" spans="1:15">
      <c r="A8">
        <v>52</v>
      </c>
      <c r="B8" s="1400" t="s">
        <v>3514</v>
      </c>
      <c r="D8">
        <v>2</v>
      </c>
      <c r="E8">
        <v>602</v>
      </c>
      <c r="F8" s="1400" t="s">
        <v>3515</v>
      </c>
      <c r="G8" s="1400" t="s">
        <v>3406</v>
      </c>
      <c r="H8">
        <v>29</v>
      </c>
      <c r="I8" s="1400">
        <v>6</v>
      </c>
      <c r="J8" s="1400" t="s">
        <v>3411</v>
      </c>
      <c r="K8">
        <v>121.97</v>
      </c>
      <c r="L8" s="1400" t="s">
        <v>3539</v>
      </c>
      <c r="M8" s="1400" t="s">
        <v>3653</v>
      </c>
      <c r="N8" s="3141"/>
    </row>
    <row r="9" spans="1:15">
      <c r="A9">
        <v>54</v>
      </c>
      <c r="B9" s="1400" t="s">
        <v>3518</v>
      </c>
      <c r="D9">
        <v>2</v>
      </c>
      <c r="E9">
        <v>702</v>
      </c>
      <c r="F9" s="1400" t="s">
        <v>3519</v>
      </c>
      <c r="G9" s="1400" t="s">
        <v>3406</v>
      </c>
      <c r="H9">
        <v>29</v>
      </c>
      <c r="I9" s="1400">
        <v>7</v>
      </c>
      <c r="J9" s="1400" t="s">
        <v>3411</v>
      </c>
      <c r="K9">
        <v>121.97</v>
      </c>
      <c r="L9" s="1400" t="s">
        <v>3539</v>
      </c>
      <c r="M9" s="1400" t="s">
        <v>3653</v>
      </c>
      <c r="N9" s="3141"/>
    </row>
    <row r="10" spans="1:15">
      <c r="A10">
        <v>56</v>
      </c>
      <c r="B10" s="1400" t="s">
        <v>3522</v>
      </c>
      <c r="D10">
        <v>2</v>
      </c>
      <c r="E10">
        <v>802</v>
      </c>
      <c r="F10" s="1400" t="s">
        <v>3523</v>
      </c>
      <c r="G10" s="1400" t="s">
        <v>3406</v>
      </c>
      <c r="H10">
        <v>29</v>
      </c>
      <c r="I10" s="1400">
        <v>8</v>
      </c>
      <c r="J10" s="1400" t="s">
        <v>3411</v>
      </c>
      <c r="K10">
        <v>121.97</v>
      </c>
      <c r="L10" s="1400" t="s">
        <v>3539</v>
      </c>
      <c r="M10" s="1400" t="s">
        <v>3653</v>
      </c>
      <c r="N10" s="3141"/>
    </row>
    <row r="11" spans="1:15">
      <c r="A11">
        <v>59</v>
      </c>
      <c r="B11" s="1400" t="s">
        <v>3528</v>
      </c>
      <c r="D11">
        <v>2</v>
      </c>
      <c r="E11">
        <v>803</v>
      </c>
      <c r="F11" s="1400" t="s">
        <v>3529</v>
      </c>
      <c r="G11" s="1400" t="s">
        <v>3406</v>
      </c>
      <c r="H11">
        <v>29</v>
      </c>
      <c r="I11" s="1400">
        <v>8</v>
      </c>
      <c r="J11" s="1400" t="s">
        <v>3411</v>
      </c>
      <c r="K11">
        <v>121.97</v>
      </c>
      <c r="L11" s="1400" t="s">
        <v>3539</v>
      </c>
      <c r="M11" s="1400" t="s">
        <v>3653</v>
      </c>
      <c r="N11" s="3141"/>
    </row>
    <row r="12" spans="1:15">
      <c r="A12">
        <v>2</v>
      </c>
      <c r="B12" s="1400" t="s">
        <v>3409</v>
      </c>
      <c r="D12">
        <v>2</v>
      </c>
      <c r="E12">
        <v>902</v>
      </c>
      <c r="F12" s="1400" t="s">
        <v>3410</v>
      </c>
      <c r="G12" s="1400" t="s">
        <v>3406</v>
      </c>
      <c r="H12">
        <v>29</v>
      </c>
      <c r="I12">
        <v>9</v>
      </c>
      <c r="J12" s="1400" t="s">
        <v>3411</v>
      </c>
      <c r="K12">
        <v>121.97</v>
      </c>
      <c r="L12" s="1400" t="s">
        <v>3539</v>
      </c>
      <c r="M12" s="1400" t="s">
        <v>3653</v>
      </c>
      <c r="N12" s="3140" t="s">
        <v>3407</v>
      </c>
      <c r="O12">
        <v>8878</v>
      </c>
    </row>
    <row r="13" spans="1:15" s="3143" customFormat="1">
      <c r="A13" s="3143">
        <v>48</v>
      </c>
      <c r="B13" s="3142" t="s">
        <v>3505</v>
      </c>
      <c r="D13" s="3143">
        <v>2</v>
      </c>
      <c r="E13" s="3143">
        <v>1202</v>
      </c>
      <c r="F13" s="3142" t="s">
        <v>3506</v>
      </c>
      <c r="G13" s="3142" t="s">
        <v>3406</v>
      </c>
      <c r="H13" s="3143">
        <v>29</v>
      </c>
      <c r="I13" s="3143">
        <v>12</v>
      </c>
      <c r="J13" s="3142" t="s">
        <v>3411</v>
      </c>
      <c r="K13" s="3143">
        <v>121.97</v>
      </c>
      <c r="L13" s="3142" t="s">
        <v>3540</v>
      </c>
      <c r="M13" s="1400" t="s">
        <v>3653</v>
      </c>
      <c r="N13" s="3144"/>
    </row>
    <row r="14" spans="1:15">
      <c r="A14">
        <v>42</v>
      </c>
      <c r="B14" s="1400" t="s">
        <v>3493</v>
      </c>
      <c r="D14">
        <v>2</v>
      </c>
      <c r="E14">
        <v>1203</v>
      </c>
      <c r="F14" s="1400" t="s">
        <v>3494</v>
      </c>
      <c r="G14" s="1400" t="s">
        <v>3406</v>
      </c>
      <c r="H14">
        <v>29</v>
      </c>
      <c r="I14">
        <v>12</v>
      </c>
      <c r="J14" s="1400" t="s">
        <v>3411</v>
      </c>
      <c r="K14">
        <v>121.97</v>
      </c>
      <c r="L14" s="1400" t="s">
        <v>3540</v>
      </c>
      <c r="M14" s="1400" t="s">
        <v>3653</v>
      </c>
      <c r="N14" s="3141"/>
    </row>
    <row r="15" spans="1:15">
      <c r="A15">
        <v>44</v>
      </c>
      <c r="B15" s="1400" t="s">
        <v>3497</v>
      </c>
      <c r="D15">
        <v>2</v>
      </c>
      <c r="E15">
        <v>1402</v>
      </c>
      <c r="F15" s="1400" t="s">
        <v>3498</v>
      </c>
      <c r="G15" s="1400" t="s">
        <v>3406</v>
      </c>
      <c r="H15">
        <v>29</v>
      </c>
      <c r="I15">
        <v>14</v>
      </c>
      <c r="J15" s="1400" t="s">
        <v>3411</v>
      </c>
      <c r="K15">
        <v>121.97</v>
      </c>
      <c r="L15" s="1400" t="s">
        <v>3540</v>
      </c>
      <c r="M15" s="1400" t="s">
        <v>3653</v>
      </c>
      <c r="N15" s="3141"/>
    </row>
    <row r="16" spans="1:15">
      <c r="A16">
        <v>45</v>
      </c>
      <c r="B16" s="1400" t="s">
        <v>3499</v>
      </c>
      <c r="D16">
        <v>2</v>
      </c>
      <c r="E16">
        <v>1403</v>
      </c>
      <c r="F16" s="1400" t="s">
        <v>3500</v>
      </c>
      <c r="G16" s="1400" t="s">
        <v>3406</v>
      </c>
      <c r="H16">
        <v>29</v>
      </c>
      <c r="I16">
        <v>14</v>
      </c>
      <c r="J16" s="1400" t="s">
        <v>3411</v>
      </c>
      <c r="K16">
        <v>121.97</v>
      </c>
      <c r="L16" s="1400" t="s">
        <v>3540</v>
      </c>
      <c r="M16" s="1400" t="s">
        <v>3653</v>
      </c>
      <c r="N16" s="3141"/>
    </row>
    <row r="17" spans="1:15">
      <c r="A17">
        <v>37</v>
      </c>
      <c r="B17" s="1400" t="s">
        <v>3483</v>
      </c>
      <c r="D17">
        <v>2</v>
      </c>
      <c r="E17">
        <v>1601</v>
      </c>
      <c r="F17" s="1400" t="s">
        <v>3484</v>
      </c>
      <c r="G17" s="1400" t="s">
        <v>3406</v>
      </c>
      <c r="H17">
        <v>29</v>
      </c>
      <c r="I17">
        <v>16</v>
      </c>
      <c r="J17" s="1400" t="s">
        <v>3411</v>
      </c>
      <c r="K17">
        <v>117.03</v>
      </c>
      <c r="L17" s="1400" t="s">
        <v>3540</v>
      </c>
      <c r="M17" s="1400" t="s">
        <v>3653</v>
      </c>
      <c r="N17" s="3141"/>
    </row>
    <row r="18" spans="1:15">
      <c r="A18">
        <v>38</v>
      </c>
      <c r="B18" s="1400" t="s">
        <v>3485</v>
      </c>
      <c r="D18">
        <v>2</v>
      </c>
      <c r="E18">
        <v>1701</v>
      </c>
      <c r="F18" s="1400" t="s">
        <v>3486</v>
      </c>
      <c r="G18" s="1400" t="s">
        <v>3406</v>
      </c>
      <c r="H18">
        <v>29</v>
      </c>
      <c r="I18">
        <v>17</v>
      </c>
      <c r="J18" s="1400" t="s">
        <v>3411</v>
      </c>
      <c r="K18">
        <v>117.03</v>
      </c>
      <c r="L18" s="1400" t="s">
        <v>3540</v>
      </c>
      <c r="M18" s="1400" t="s">
        <v>3653</v>
      </c>
      <c r="N18" s="3141"/>
    </row>
    <row r="19" spans="1:15">
      <c r="A19">
        <v>40</v>
      </c>
      <c r="B19" s="1400" t="s">
        <v>3489</v>
      </c>
      <c r="D19">
        <v>2</v>
      </c>
      <c r="E19">
        <v>1702</v>
      </c>
      <c r="F19" s="1400" t="s">
        <v>3490</v>
      </c>
      <c r="G19" s="1400" t="s">
        <v>3406</v>
      </c>
      <c r="H19">
        <v>29</v>
      </c>
      <c r="I19">
        <v>17</v>
      </c>
      <c r="J19" s="1400" t="s">
        <v>3411</v>
      </c>
      <c r="K19">
        <v>121.97</v>
      </c>
      <c r="L19" s="1400" t="s">
        <v>3540</v>
      </c>
      <c r="M19" s="1400" t="s">
        <v>3653</v>
      </c>
      <c r="N19" s="3141"/>
    </row>
    <row r="20" spans="1:15">
      <c r="A20">
        <v>39</v>
      </c>
      <c r="B20" s="1400" t="s">
        <v>3487</v>
      </c>
      <c r="D20">
        <v>2</v>
      </c>
      <c r="E20">
        <v>1703</v>
      </c>
      <c r="F20" s="1400" t="s">
        <v>3488</v>
      </c>
      <c r="G20" s="1400" t="s">
        <v>3406</v>
      </c>
      <c r="H20">
        <v>29</v>
      </c>
      <c r="I20">
        <v>17</v>
      </c>
      <c r="J20" s="1400" t="s">
        <v>3411</v>
      </c>
      <c r="K20">
        <v>121.97</v>
      </c>
      <c r="L20" s="1400" t="s">
        <v>3540</v>
      </c>
      <c r="M20" s="1400" t="s">
        <v>3653</v>
      </c>
      <c r="N20" s="3141"/>
    </row>
    <row r="21" spans="1:15">
      <c r="A21">
        <v>41</v>
      </c>
      <c r="B21" s="1400" t="s">
        <v>3491</v>
      </c>
      <c r="D21">
        <v>2</v>
      </c>
      <c r="E21">
        <v>1803</v>
      </c>
      <c r="F21" s="1400" t="s">
        <v>3492</v>
      </c>
      <c r="G21" s="1400" t="s">
        <v>3406</v>
      </c>
      <c r="H21">
        <v>29</v>
      </c>
      <c r="I21">
        <v>18</v>
      </c>
      <c r="J21" s="1400" t="s">
        <v>3411</v>
      </c>
      <c r="K21">
        <v>121.97</v>
      </c>
      <c r="L21" s="1400" t="s">
        <v>3540</v>
      </c>
      <c r="M21" s="1400" t="s">
        <v>3653</v>
      </c>
      <c r="N21" s="3141"/>
    </row>
    <row r="22" spans="1:15">
      <c r="A22">
        <v>53</v>
      </c>
      <c r="B22" s="1400" t="s">
        <v>3516</v>
      </c>
      <c r="D22">
        <v>2</v>
      </c>
      <c r="E22">
        <v>1902</v>
      </c>
      <c r="F22" s="1400" t="s">
        <v>3517</v>
      </c>
      <c r="G22" s="1400" t="s">
        <v>3406</v>
      </c>
      <c r="H22">
        <v>29</v>
      </c>
      <c r="I22" s="1400">
        <v>19</v>
      </c>
      <c r="J22" s="1400" t="s">
        <v>3411</v>
      </c>
      <c r="K22">
        <v>121.97</v>
      </c>
      <c r="L22" s="1400" t="s">
        <v>3540</v>
      </c>
      <c r="M22" s="1400" t="s">
        <v>3653</v>
      </c>
      <c r="N22" s="3141"/>
    </row>
    <row r="23" spans="1:15">
      <c r="A23">
        <v>55</v>
      </c>
      <c r="B23" s="1400" t="s">
        <v>3520</v>
      </c>
      <c r="D23">
        <v>2</v>
      </c>
      <c r="E23">
        <v>1903</v>
      </c>
      <c r="F23" s="1400" t="s">
        <v>3521</v>
      </c>
      <c r="G23" s="1400" t="s">
        <v>3406</v>
      </c>
      <c r="H23">
        <v>29</v>
      </c>
      <c r="I23" s="1400">
        <v>19</v>
      </c>
      <c r="J23" s="1400" t="s">
        <v>3411</v>
      </c>
      <c r="K23">
        <v>121.97</v>
      </c>
      <c r="L23" s="1400" t="s">
        <v>3540</v>
      </c>
      <c r="M23" s="1400" t="s">
        <v>3653</v>
      </c>
      <c r="N23" s="3141"/>
    </row>
    <row r="24" spans="1:15">
      <c r="A24">
        <v>57</v>
      </c>
      <c r="B24" s="1400" t="s">
        <v>3524</v>
      </c>
      <c r="D24">
        <v>2</v>
      </c>
      <c r="E24">
        <v>2302</v>
      </c>
      <c r="F24" s="1400" t="s">
        <v>3525</v>
      </c>
      <c r="G24" s="1400" t="s">
        <v>3406</v>
      </c>
      <c r="H24">
        <v>29</v>
      </c>
      <c r="I24" s="1400">
        <v>23</v>
      </c>
      <c r="J24" s="1400" t="s">
        <v>3411</v>
      </c>
      <c r="K24">
        <v>121.97</v>
      </c>
      <c r="L24" s="1400" t="s">
        <v>3541</v>
      </c>
      <c r="M24" s="1400" t="s">
        <v>3653</v>
      </c>
      <c r="N24" s="3141"/>
    </row>
    <row r="25" spans="1:15">
      <c r="A25">
        <v>58</v>
      </c>
      <c r="B25" s="1400" t="s">
        <v>3526</v>
      </c>
      <c r="D25">
        <v>2</v>
      </c>
      <c r="E25">
        <v>2303</v>
      </c>
      <c r="F25" s="1400" t="s">
        <v>3527</v>
      </c>
      <c r="G25" s="1400" t="s">
        <v>3406</v>
      </c>
      <c r="H25">
        <v>29</v>
      </c>
      <c r="I25" s="1400">
        <v>23</v>
      </c>
      <c r="J25" s="1400" t="s">
        <v>3411</v>
      </c>
      <c r="K25">
        <v>121.97</v>
      </c>
      <c r="L25" s="1400" t="s">
        <v>3541</v>
      </c>
      <c r="M25" s="1400" t="s">
        <v>3653</v>
      </c>
      <c r="N25" s="3141"/>
    </row>
    <row r="26" spans="1:15">
      <c r="A26">
        <v>1</v>
      </c>
      <c r="B26" s="1400" t="s">
        <v>3403</v>
      </c>
      <c r="C26" s="1400" t="s">
        <v>3404</v>
      </c>
      <c r="D26" s="1400">
        <v>2</v>
      </c>
      <c r="E26" s="1400">
        <v>2401</v>
      </c>
      <c r="F26" s="1400" t="s">
        <v>3405</v>
      </c>
      <c r="G26" s="1400" t="s">
        <v>3406</v>
      </c>
      <c r="H26">
        <v>29</v>
      </c>
      <c r="I26">
        <v>24</v>
      </c>
      <c r="J26" s="1400" t="s">
        <v>3411</v>
      </c>
      <c r="K26">
        <v>117.03</v>
      </c>
      <c r="L26" s="1400" t="s">
        <v>3541</v>
      </c>
      <c r="M26" s="1400" t="s">
        <v>3653</v>
      </c>
      <c r="N26" s="3140" t="s">
        <v>3408</v>
      </c>
      <c r="O26">
        <v>8878</v>
      </c>
    </row>
    <row r="27" spans="1:15">
      <c r="A27">
        <v>3</v>
      </c>
      <c r="B27" s="1400" t="s">
        <v>3413</v>
      </c>
      <c r="D27">
        <v>2</v>
      </c>
      <c r="E27">
        <v>2602</v>
      </c>
      <c r="F27" s="1400" t="s">
        <v>3412</v>
      </c>
      <c r="G27" s="1400" t="s">
        <v>3406</v>
      </c>
      <c r="H27">
        <v>29</v>
      </c>
      <c r="I27">
        <v>26</v>
      </c>
      <c r="J27" s="1400" t="s">
        <v>3411</v>
      </c>
      <c r="K27">
        <v>121.97</v>
      </c>
      <c r="L27" s="1400" t="s">
        <v>3541</v>
      </c>
      <c r="M27" s="1400" t="s">
        <v>3653</v>
      </c>
      <c r="N27" s="3140" t="s">
        <v>3407</v>
      </c>
      <c r="O27">
        <v>8878</v>
      </c>
    </row>
    <row r="28" spans="1:15">
      <c r="A28">
        <v>4</v>
      </c>
      <c r="B28" s="1400" t="s">
        <v>3414</v>
      </c>
      <c r="D28">
        <v>2</v>
      </c>
      <c r="E28">
        <v>2603</v>
      </c>
      <c r="F28" s="1400" t="s">
        <v>3415</v>
      </c>
      <c r="G28" s="1400" t="s">
        <v>3406</v>
      </c>
      <c r="H28">
        <v>29</v>
      </c>
      <c r="I28">
        <v>26</v>
      </c>
      <c r="J28" s="1400" t="s">
        <v>3411</v>
      </c>
      <c r="K28">
        <v>121.97</v>
      </c>
      <c r="L28" s="1400" t="s">
        <v>3541</v>
      </c>
      <c r="M28" s="1400" t="s">
        <v>3653</v>
      </c>
      <c r="N28" s="3140" t="s">
        <v>3407</v>
      </c>
      <c r="O28">
        <v>8878</v>
      </c>
    </row>
    <row r="29" spans="1:15">
      <c r="A29">
        <v>5</v>
      </c>
      <c r="B29" s="1400" t="s">
        <v>3443</v>
      </c>
      <c r="D29">
        <v>2</v>
      </c>
      <c r="E29">
        <v>2604</v>
      </c>
      <c r="F29" s="1400" t="s">
        <v>3416</v>
      </c>
      <c r="G29" s="1400" t="s">
        <v>3406</v>
      </c>
      <c r="H29">
        <v>29</v>
      </c>
      <c r="I29">
        <v>26</v>
      </c>
      <c r="J29" s="1400" t="s">
        <v>3411</v>
      </c>
      <c r="K29">
        <v>117.03</v>
      </c>
      <c r="L29" s="1400" t="s">
        <v>3541</v>
      </c>
      <c r="M29" s="1400" t="s">
        <v>3653</v>
      </c>
      <c r="N29" s="3140" t="s">
        <v>3407</v>
      </c>
      <c r="O29">
        <v>8878</v>
      </c>
    </row>
    <row r="30" spans="1:15">
      <c r="A30">
        <v>7</v>
      </c>
      <c r="B30" s="1400" t="s">
        <v>3445</v>
      </c>
      <c r="D30">
        <v>2</v>
      </c>
      <c r="E30">
        <v>2701</v>
      </c>
      <c r="F30" s="1400" t="s">
        <v>3420</v>
      </c>
      <c r="G30" s="1400" t="s">
        <v>3406</v>
      </c>
      <c r="H30">
        <v>29</v>
      </c>
      <c r="I30">
        <v>27</v>
      </c>
      <c r="J30" s="1400" t="s">
        <v>3411</v>
      </c>
      <c r="K30">
        <v>117.03</v>
      </c>
      <c r="L30" s="1400" t="s">
        <v>3541</v>
      </c>
      <c r="M30" s="1400" t="s">
        <v>3653</v>
      </c>
      <c r="N30" s="3140" t="s">
        <v>3407</v>
      </c>
      <c r="O30">
        <v>8878</v>
      </c>
    </row>
    <row r="31" spans="1:15">
      <c r="K31">
        <f>SUM(K2:K30)</f>
        <v>3495.6699999999992</v>
      </c>
    </row>
    <row r="39" spans="2:5">
      <c r="B39" s="1400" t="s">
        <v>3542</v>
      </c>
      <c r="C39" s="1400" t="s">
        <v>3539</v>
      </c>
      <c r="D39" s="3148" t="s">
        <v>3543</v>
      </c>
      <c r="E39" s="1400" t="s">
        <v>3547</v>
      </c>
    </row>
    <row r="40" spans="2:5">
      <c r="B40">
        <f>ROUND(29/3,0)</f>
        <v>10</v>
      </c>
      <c r="C40" s="1400" t="s">
        <v>3540</v>
      </c>
      <c r="D40" s="3148" t="s">
        <v>3544</v>
      </c>
      <c r="E40" s="1400" t="s">
        <v>3548</v>
      </c>
    </row>
    <row r="41" spans="2:5">
      <c r="C41" s="1400" t="s">
        <v>3541</v>
      </c>
      <c r="D41" s="1400" t="s">
        <v>3545</v>
      </c>
      <c r="E41" s="1400" t="s">
        <v>3546</v>
      </c>
    </row>
    <row r="46" spans="2:5">
      <c r="B46" s="3142" t="s">
        <v>3556</v>
      </c>
    </row>
  </sheetData>
  <sortState xmlns:xlrd2="http://schemas.microsoft.com/office/spreadsheetml/2017/richdata2" ref="A2:O30">
    <sortCondition ref="E2:E30"/>
  </sortState>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AD184-C141-422B-960F-3B6C10F9AECF}">
  <sheetPr>
    <tabColor rgb="FFFFFF00"/>
  </sheetPr>
  <dimension ref="A1:Q17"/>
  <sheetViews>
    <sheetView workbookViewId="0">
      <selection activeCell="J65" sqref="J65"/>
    </sheetView>
  </sheetViews>
  <sheetFormatPr defaultRowHeight="14.4"/>
  <cols>
    <col min="3" max="3" width="17" customWidth="1"/>
  </cols>
  <sheetData>
    <row r="1" spans="1:17">
      <c r="A1" s="1400" t="s">
        <v>3530</v>
      </c>
      <c r="B1" s="1400" t="s">
        <v>3394</v>
      </c>
      <c r="C1" s="1400" t="s">
        <v>3393</v>
      </c>
      <c r="D1" s="1400" t="s">
        <v>3532</v>
      </c>
      <c r="E1" s="1400" t="s">
        <v>3533</v>
      </c>
      <c r="F1" s="1400" t="s">
        <v>3395</v>
      </c>
      <c r="G1" s="1400" t="s">
        <v>3396</v>
      </c>
      <c r="H1" s="1400" t="s">
        <v>3397</v>
      </c>
      <c r="I1" s="1400" t="s">
        <v>3398</v>
      </c>
      <c r="J1" s="1400" t="s">
        <v>3399</v>
      </c>
      <c r="K1" s="1400" t="s">
        <v>3400</v>
      </c>
      <c r="L1" s="3140" t="s">
        <v>3401</v>
      </c>
      <c r="M1" s="1400" t="s">
        <v>3402</v>
      </c>
      <c r="P1" s="1400" t="s">
        <v>3536</v>
      </c>
    </row>
    <row r="2" spans="1:17">
      <c r="A2">
        <v>6</v>
      </c>
      <c r="B2" s="1400" t="s">
        <v>3444</v>
      </c>
      <c r="D2">
        <v>3</v>
      </c>
      <c r="E2">
        <v>103</v>
      </c>
      <c r="F2" s="1400" t="s">
        <v>3417</v>
      </c>
      <c r="G2" s="1400" t="s">
        <v>3406</v>
      </c>
      <c r="H2">
        <v>27</v>
      </c>
      <c r="I2">
        <v>1</v>
      </c>
      <c r="J2" s="1400" t="s">
        <v>3411</v>
      </c>
      <c r="K2">
        <v>93.53</v>
      </c>
      <c r="L2" s="3140" t="s">
        <v>3418</v>
      </c>
      <c r="M2">
        <v>668</v>
      </c>
      <c r="Q2" s="1400" t="s">
        <v>3539</v>
      </c>
    </row>
    <row r="3" spans="1:17">
      <c r="A3">
        <v>8</v>
      </c>
      <c r="B3" s="1400" t="s">
        <v>3446</v>
      </c>
      <c r="D3">
        <v>3</v>
      </c>
      <c r="E3">
        <v>104</v>
      </c>
      <c r="F3" s="1400" t="s">
        <v>3421</v>
      </c>
      <c r="G3" s="1400" t="s">
        <v>3406</v>
      </c>
      <c r="H3">
        <v>27</v>
      </c>
      <c r="I3">
        <v>1</v>
      </c>
      <c r="J3" s="1400" t="s">
        <v>3411</v>
      </c>
      <c r="K3">
        <v>93.53</v>
      </c>
      <c r="L3" s="3141"/>
      <c r="Q3" s="1400" t="s">
        <v>3539</v>
      </c>
    </row>
    <row r="4" spans="1:17">
      <c r="A4">
        <v>10</v>
      </c>
      <c r="B4" s="1400" t="s">
        <v>3448</v>
      </c>
      <c r="D4">
        <v>3</v>
      </c>
      <c r="E4">
        <v>1405</v>
      </c>
      <c r="F4" s="1400" t="s">
        <v>3423</v>
      </c>
      <c r="G4" s="1400" t="s">
        <v>3406</v>
      </c>
      <c r="H4">
        <v>27</v>
      </c>
      <c r="I4">
        <v>14</v>
      </c>
      <c r="J4" s="1400" t="s">
        <v>3411</v>
      </c>
      <c r="K4">
        <v>69.78</v>
      </c>
      <c r="L4" s="3141"/>
      <c r="Q4" s="1400" t="s">
        <v>3539</v>
      </c>
    </row>
    <row r="5" spans="1:17">
      <c r="A5">
        <v>12</v>
      </c>
      <c r="B5" s="1400" t="s">
        <v>3450</v>
      </c>
      <c r="D5">
        <v>5</v>
      </c>
      <c r="E5">
        <v>102</v>
      </c>
      <c r="F5" s="1400" t="s">
        <v>3424</v>
      </c>
      <c r="G5" s="1400" t="s">
        <v>3406</v>
      </c>
      <c r="H5">
        <v>27</v>
      </c>
      <c r="I5">
        <v>1</v>
      </c>
      <c r="J5" s="1400" t="s">
        <v>3411</v>
      </c>
      <c r="K5">
        <v>105.7</v>
      </c>
      <c r="L5" s="3140" t="s">
        <v>3427</v>
      </c>
      <c r="M5">
        <v>1751</v>
      </c>
      <c r="Q5" s="1400" t="s">
        <v>3539</v>
      </c>
    </row>
    <row r="6" spans="1:17">
      <c r="A6">
        <v>47</v>
      </c>
      <c r="B6" s="1400" t="s">
        <v>3503</v>
      </c>
      <c r="D6">
        <v>5</v>
      </c>
      <c r="E6">
        <v>103</v>
      </c>
      <c r="F6" s="1400" t="s">
        <v>3504</v>
      </c>
      <c r="G6" s="1400" t="s">
        <v>3406</v>
      </c>
      <c r="H6">
        <v>27</v>
      </c>
      <c r="I6">
        <v>1</v>
      </c>
      <c r="J6" s="1400" t="s">
        <v>3411</v>
      </c>
      <c r="K6">
        <v>105.7</v>
      </c>
      <c r="L6" s="3141"/>
      <c r="Q6" s="1400" t="s">
        <v>3539</v>
      </c>
    </row>
    <row r="7" spans="1:17">
      <c r="A7">
        <v>51</v>
      </c>
      <c r="B7" s="1400" t="s">
        <v>3512</v>
      </c>
      <c r="D7">
        <v>5</v>
      </c>
      <c r="E7">
        <v>803</v>
      </c>
      <c r="F7" s="1400" t="s">
        <v>3513</v>
      </c>
      <c r="G7" s="1400" t="s">
        <v>3406</v>
      </c>
      <c r="H7">
        <v>27</v>
      </c>
      <c r="I7" s="1400">
        <v>8</v>
      </c>
      <c r="J7" s="1400" t="s">
        <v>3411</v>
      </c>
      <c r="K7">
        <v>105.7</v>
      </c>
      <c r="L7" s="3141"/>
      <c r="Q7" s="1400" t="s">
        <v>3540</v>
      </c>
    </row>
    <row r="8" spans="1:17">
      <c r="A8">
        <v>49</v>
      </c>
      <c r="B8" s="1400" t="s">
        <v>3507</v>
      </c>
      <c r="D8">
        <v>5</v>
      </c>
      <c r="E8">
        <v>2402</v>
      </c>
      <c r="F8" s="1400" t="s">
        <v>3508</v>
      </c>
      <c r="G8" s="1400" t="s">
        <v>3406</v>
      </c>
      <c r="H8">
        <v>27</v>
      </c>
      <c r="I8" s="1400" t="s">
        <v>3509</v>
      </c>
      <c r="J8" s="1400" t="s">
        <v>3411</v>
      </c>
      <c r="K8">
        <v>92.4</v>
      </c>
      <c r="L8" s="3141"/>
      <c r="P8" s="1400" t="s">
        <v>3537</v>
      </c>
      <c r="Q8" s="1400" t="s">
        <v>3541</v>
      </c>
    </row>
    <row r="9" spans="1:17">
      <c r="A9">
        <v>43</v>
      </c>
      <c r="B9" s="1400" t="s">
        <v>3495</v>
      </c>
      <c r="D9">
        <v>5</v>
      </c>
      <c r="E9">
        <v>2501</v>
      </c>
      <c r="F9" s="1400" t="s">
        <v>3496</v>
      </c>
      <c r="G9" s="1400" t="s">
        <v>3406</v>
      </c>
      <c r="H9">
        <v>27</v>
      </c>
      <c r="I9">
        <v>25</v>
      </c>
      <c r="J9" s="1400" t="s">
        <v>3411</v>
      </c>
      <c r="K9">
        <v>113.66</v>
      </c>
      <c r="L9" s="3141"/>
      <c r="Q9" s="1400" t="s">
        <v>3541</v>
      </c>
    </row>
    <row r="10" spans="1:17">
      <c r="K10">
        <f>SUM(K2:K9)</f>
        <v>780</v>
      </c>
    </row>
    <row r="15" spans="1:17">
      <c r="C15" s="1400" t="s">
        <v>3549</v>
      </c>
      <c r="D15" s="1400" t="s">
        <v>3539</v>
      </c>
      <c r="E15" s="3148" t="s">
        <v>3550</v>
      </c>
      <c r="F15" s="1400" t="s">
        <v>3551</v>
      </c>
    </row>
    <row r="16" spans="1:17">
      <c r="C16">
        <f>ROUND(27/3,0)</f>
        <v>9</v>
      </c>
      <c r="D16" s="1400" t="s">
        <v>3540</v>
      </c>
      <c r="E16" s="3148" t="s">
        <v>3552</v>
      </c>
      <c r="F16" s="1400" t="s">
        <v>3553</v>
      </c>
    </row>
    <row r="17" spans="4:6">
      <c r="D17" s="1400" t="s">
        <v>3541</v>
      </c>
      <c r="E17" s="1400" t="s">
        <v>3554</v>
      </c>
      <c r="F17" s="1400" t="s">
        <v>3555</v>
      </c>
    </row>
  </sheetData>
  <sortState xmlns:xlrd2="http://schemas.microsoft.com/office/spreadsheetml/2017/richdata2" ref="A2:M9">
    <sortCondition ref="D2:D9"/>
    <sortCondition ref="E2:E9"/>
  </sortState>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648C9-2F97-417B-852B-86DEFB5C19CF}">
  <sheetPr>
    <tabColor rgb="FFFFFF00"/>
  </sheetPr>
  <dimension ref="A1:O5"/>
  <sheetViews>
    <sheetView workbookViewId="0">
      <selection activeCell="J65" sqref="J65"/>
    </sheetView>
  </sheetViews>
  <sheetFormatPr defaultRowHeight="14.4"/>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3652</v>
      </c>
      <c r="N1" s="3140" t="s">
        <v>3401</v>
      </c>
      <c r="O1" s="1400" t="s">
        <v>3402</v>
      </c>
    </row>
    <row r="2" spans="1:15">
      <c r="D2">
        <v>1</v>
      </c>
      <c r="E2">
        <v>1504</v>
      </c>
      <c r="F2" s="1400" t="s">
        <v>3661</v>
      </c>
      <c r="I2">
        <v>15</v>
      </c>
      <c r="K2">
        <v>126.87</v>
      </c>
      <c r="L2" s="1400" t="s">
        <v>3540</v>
      </c>
    </row>
    <row r="3" spans="1:15">
      <c r="D3">
        <v>2</v>
      </c>
      <c r="E3">
        <v>1303</v>
      </c>
      <c r="F3" s="1400" t="s">
        <v>3662</v>
      </c>
      <c r="I3">
        <v>13</v>
      </c>
      <c r="K3">
        <v>121.97</v>
      </c>
      <c r="L3" s="1400" t="s">
        <v>3540</v>
      </c>
    </row>
    <row r="4" spans="1:15">
      <c r="D4">
        <v>2</v>
      </c>
      <c r="E4">
        <v>504</v>
      </c>
      <c r="F4" s="1400" t="s">
        <v>3663</v>
      </c>
      <c r="I4">
        <v>5</v>
      </c>
      <c r="K4">
        <v>117.03</v>
      </c>
      <c r="L4" s="1400" t="s">
        <v>3539</v>
      </c>
    </row>
    <row r="5" spans="1:15">
      <c r="D5">
        <v>5</v>
      </c>
      <c r="E5">
        <v>405</v>
      </c>
      <c r="F5" s="1400" t="s">
        <v>3664</v>
      </c>
      <c r="I5" s="3140" t="s">
        <v>3665</v>
      </c>
      <c r="K5">
        <v>92.4</v>
      </c>
      <c r="L5" s="1400" t="s">
        <v>3539</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121.97</v>
      </c>
      <c r="C1" s="2454"/>
      <c r="D1" s="2454"/>
      <c r="E1" s="2454"/>
      <c r="F1" s="2454"/>
      <c r="G1" s="2455"/>
      <c r="H1" s="2455"/>
      <c r="I1" s="2455"/>
      <c r="J1" s="2455"/>
      <c r="K1" s="2455"/>
    </row>
    <row r="2" spans="1:11" ht="16.2">
      <c r="A2" s="2293" t="s">
        <v>653</v>
      </c>
      <c r="B2" s="2293">
        <f>SUM(C14:C23)</f>
        <v>0</v>
      </c>
      <c r="C2" s="2454"/>
      <c r="D2" s="2454"/>
      <c r="E2" s="2454"/>
      <c r="F2" s="2454"/>
      <c r="G2" s="2455"/>
      <c r="H2" s="2455"/>
      <c r="I2" s="2455"/>
      <c r="J2" s="2455"/>
      <c r="K2" s="2455"/>
    </row>
    <row r="3" spans="1:11" ht="15.6">
      <c r="A3" s="2293" t="s">
        <v>662</v>
      </c>
      <c r="B3" s="2295">
        <f>项目基本情况!D3</f>
        <v>45555</v>
      </c>
      <c r="C3" s="2454"/>
      <c r="D3" s="2454"/>
      <c r="E3" s="2454"/>
      <c r="F3" s="2454"/>
      <c r="G3" s="2455"/>
      <c r="H3" s="2455"/>
      <c r="I3" s="2455"/>
      <c r="J3" s="2455"/>
      <c r="K3" s="2455"/>
    </row>
    <row r="4" spans="1:11" ht="31.2">
      <c r="A4" s="2293" t="s">
        <v>661</v>
      </c>
      <c r="B4" s="2293" t="s">
        <v>660</v>
      </c>
      <c r="C4" s="2293" t="s">
        <v>659</v>
      </c>
      <c r="D4" s="2293" t="s">
        <v>658</v>
      </c>
      <c r="E4" s="2454"/>
      <c r="F4" s="2455"/>
      <c r="G4" s="2455"/>
      <c r="H4" s="2455"/>
      <c r="I4" s="2455"/>
      <c r="J4" s="2455"/>
      <c r="K4" s="2455"/>
    </row>
    <row r="5" spans="1:11" ht="15.6">
      <c r="A5" s="2293" t="s">
        <v>657</v>
      </c>
      <c r="B5" s="2293">
        <f ca="1">SUM(D14:D23)</f>
        <v>227</v>
      </c>
      <c r="C5" s="2293">
        <f ca="1">IF(B5=D14,结果表!H102,ROUND(B5*10000/$B$1,0))</f>
        <v>18633</v>
      </c>
      <c r="D5" s="2293" t="e">
        <f ca="1">ROUND(B5*10000/$B$2,0)</f>
        <v>#DIV/0!</v>
      </c>
      <c r="E5" s="2454"/>
      <c r="F5" s="2455"/>
      <c r="G5" s="2455"/>
      <c r="H5" s="2455"/>
      <c r="I5" s="2455"/>
      <c r="J5" s="2455"/>
      <c r="K5" s="2455"/>
    </row>
    <row r="6" spans="1:11" ht="15.6">
      <c r="A6" s="2293" t="s">
        <v>656</v>
      </c>
      <c r="B6" s="2293">
        <f>SUM(G14:G23)</f>
        <v>0</v>
      </c>
      <c r="C6" s="2293">
        <f ca="1">IF(B6=G14,结果表!H108,ROUND(B6*10000/$B$1,0))</f>
        <v>18633</v>
      </c>
      <c r="D6" s="2293" t="e">
        <f>ROUND(B6*10000/$B$2,0)</f>
        <v>#DIV/0!</v>
      </c>
      <c r="E6" s="2454"/>
      <c r="F6" s="2455"/>
      <c r="G6" s="2455"/>
      <c r="H6" s="2455"/>
      <c r="I6" s="2455"/>
      <c r="J6" s="2455"/>
      <c r="K6" s="2455"/>
    </row>
    <row r="7" spans="1:11" ht="15.6">
      <c r="A7" s="2293" t="s">
        <v>664</v>
      </c>
      <c r="B7" s="2293">
        <f>SUM(H14:H23)</f>
        <v>0</v>
      </c>
      <c r="C7" s="2293" t="str">
        <f>IF(B7=H14,结果表!H110,ROUND(B7*10000/$B$1,0))</f>
        <v>——</v>
      </c>
      <c r="D7" s="2293" t="e">
        <f>ROUND(B7*10000/$B$2,0)</f>
        <v>#DIV/0!</v>
      </c>
      <c r="E7" s="2454"/>
      <c r="F7" s="2455"/>
      <c r="G7" s="2455"/>
      <c r="H7" s="2455"/>
      <c r="I7" s="2455"/>
      <c r="J7" s="2455"/>
      <c r="K7" s="2455"/>
    </row>
    <row r="8" spans="1:11" ht="15.6">
      <c r="A8" s="2293" t="s">
        <v>587</v>
      </c>
      <c r="B8" s="2293">
        <f>SUM(I14:I23)</f>
        <v>0</v>
      </c>
      <c r="C8" s="2293" t="str">
        <f>IF(B8=I14,结果表!H112,ROUND(B8*10000/$B$1,0))</f>
        <v>——</v>
      </c>
      <c r="D8" s="2293" t="e">
        <f>ROUND(B8*10000/$B$2,0)</f>
        <v>#DIV/0!</v>
      </c>
      <c r="E8" s="2454"/>
      <c r="F8" s="2455"/>
      <c r="G8" s="2455"/>
      <c r="H8" s="2455"/>
      <c r="I8" s="2455"/>
      <c r="J8" s="2455"/>
      <c r="K8" s="2455"/>
    </row>
    <row r="9" spans="1:11" ht="15.6">
      <c r="A9" s="2293" t="s">
        <v>655</v>
      </c>
      <c r="B9" s="1240"/>
      <c r="C9" s="2454"/>
      <c r="D9" s="2454"/>
      <c r="E9" s="2454"/>
      <c r="F9" s="2455"/>
      <c r="G9" s="2455"/>
      <c r="H9" s="2455"/>
      <c r="I9" s="2455"/>
      <c r="J9" s="2455"/>
      <c r="K9" s="2455"/>
    </row>
    <row r="10" spans="1:11" ht="15.6">
      <c r="A10" s="2293" t="s">
        <v>654</v>
      </c>
      <c r="B10" s="2293">
        <f>IF(E10="",0,ROUND(B1*(E10*365/G10)/10000,0))</f>
        <v>0</v>
      </c>
      <c r="C10" s="2293" t="s">
        <v>3353</v>
      </c>
      <c r="D10" s="2293" t="s">
        <v>3354</v>
      </c>
      <c r="E10" s="3129"/>
      <c r="F10" s="3133" t="s">
        <v>3355</v>
      </c>
      <c r="G10" s="3130"/>
      <c r="H10" s="2455"/>
      <c r="I10" s="2455"/>
      <c r="J10" s="2455"/>
      <c r="K10" s="2455"/>
    </row>
    <row r="11" spans="1:11" ht="15.6">
      <c r="A11" s="2293" t="s">
        <v>670</v>
      </c>
      <c r="B11" s="1240"/>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6" t="s">
        <v>669</v>
      </c>
      <c r="B13" s="2297" t="s">
        <v>666</v>
      </c>
      <c r="C13" s="2297" t="s">
        <v>668</v>
      </c>
      <c r="D13" s="2297" t="s">
        <v>667</v>
      </c>
      <c r="E13" s="2293" t="s">
        <v>659</v>
      </c>
      <c r="F13" s="2293" t="s">
        <v>658</v>
      </c>
      <c r="G13" s="2297" t="s">
        <v>652</v>
      </c>
      <c r="H13" s="2297" t="s">
        <v>663</v>
      </c>
      <c r="I13" s="2297" t="s">
        <v>651</v>
      </c>
      <c r="J13" s="2455"/>
      <c r="K13" s="2455"/>
    </row>
    <row r="14" spans="1:11" ht="15.6">
      <c r="A14" s="2298" t="s">
        <v>650</v>
      </c>
      <c r="B14" s="2299">
        <f>'数据-汇总表'!E19</f>
        <v>121.97</v>
      </c>
      <c r="C14" s="2299"/>
      <c r="D14" s="2299">
        <f ca="1">结果表!H101</f>
        <v>227</v>
      </c>
      <c r="E14" s="2299">
        <f ca="1">ROUND(D14*10000/B14,0)</f>
        <v>18611</v>
      </c>
      <c r="F14" s="2299" t="e">
        <f ca="1">ROUND(D14*10000/C14,0)</f>
        <v>#DIV/0!</v>
      </c>
      <c r="G14" s="2299"/>
      <c r="H14" s="2299"/>
      <c r="I14" s="2299"/>
      <c r="J14" s="2455"/>
      <c r="K14" s="2455"/>
    </row>
    <row r="15" spans="1:11" ht="15.6">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5.6">
      <c r="A16" s="2298" t="s">
        <v>648</v>
      </c>
      <c r="B16" s="2300"/>
      <c r="C16" s="2300"/>
      <c r="D16" s="2300"/>
      <c r="E16" s="2299" t="e">
        <f t="shared" si="0"/>
        <v>#DIV/0!</v>
      </c>
      <c r="F16" s="2299" t="e">
        <f t="shared" si="1"/>
        <v>#DIV/0!</v>
      </c>
      <c r="G16" s="1240"/>
      <c r="H16" s="1240"/>
      <c r="I16" s="2300"/>
      <c r="J16" s="2455"/>
      <c r="K16" s="2455"/>
    </row>
    <row r="17" spans="1:11" ht="15.6">
      <c r="A17" s="2298" t="s">
        <v>647</v>
      </c>
      <c r="B17" s="2300"/>
      <c r="C17" s="2300"/>
      <c r="D17" s="2300"/>
      <c r="E17" s="2299" t="e">
        <f t="shared" si="0"/>
        <v>#DIV/0!</v>
      </c>
      <c r="F17" s="2299" t="e">
        <f t="shared" si="1"/>
        <v>#DIV/0!</v>
      </c>
      <c r="G17" s="1240"/>
      <c r="H17" s="1240"/>
      <c r="I17" s="2300"/>
      <c r="J17" s="2455"/>
      <c r="K17" s="2455"/>
    </row>
    <row r="18" spans="1:11" ht="15.6">
      <c r="A18" s="2298" t="s">
        <v>646</v>
      </c>
      <c r="B18" s="2300"/>
      <c r="C18" s="2300"/>
      <c r="D18" s="2300"/>
      <c r="E18" s="2299" t="e">
        <f t="shared" si="0"/>
        <v>#DIV/0!</v>
      </c>
      <c r="F18" s="2299" t="e">
        <f t="shared" si="1"/>
        <v>#DIV/0!</v>
      </c>
      <c r="G18" s="2300"/>
      <c r="H18" s="2300"/>
      <c r="I18" s="2300"/>
      <c r="J18" s="2455"/>
      <c r="K18" s="2455"/>
    </row>
    <row r="19" spans="1:11" ht="15.6">
      <c r="A19" s="2298" t="s">
        <v>645</v>
      </c>
      <c r="B19" s="2300"/>
      <c r="C19" s="2300"/>
      <c r="D19" s="2300"/>
      <c r="E19" s="2299" t="e">
        <f t="shared" si="0"/>
        <v>#DIV/0!</v>
      </c>
      <c r="F19" s="2299" t="e">
        <f t="shared" si="1"/>
        <v>#DIV/0!</v>
      </c>
      <c r="G19" s="2300"/>
      <c r="H19" s="2300"/>
      <c r="I19" s="2300"/>
      <c r="J19" s="2455"/>
      <c r="K19" s="2455"/>
    </row>
    <row r="20" spans="1:11" ht="15.6">
      <c r="A20" s="2298" t="s">
        <v>644</v>
      </c>
      <c r="B20" s="2300"/>
      <c r="C20" s="2300"/>
      <c r="D20" s="2300"/>
      <c r="E20" s="2299" t="e">
        <f t="shared" si="0"/>
        <v>#DIV/0!</v>
      </c>
      <c r="F20" s="2299" t="e">
        <f t="shared" si="1"/>
        <v>#DIV/0!</v>
      </c>
      <c r="G20" s="2300"/>
      <c r="H20" s="2300"/>
      <c r="I20" s="2300"/>
      <c r="J20" s="2455"/>
      <c r="K20" s="2455"/>
    </row>
    <row r="21" spans="1:11" ht="15.6">
      <c r="A21" s="2298" t="s">
        <v>643</v>
      </c>
      <c r="B21" s="2300"/>
      <c r="C21" s="2300"/>
      <c r="D21" s="2300"/>
      <c r="E21" s="2299" t="e">
        <f t="shared" si="0"/>
        <v>#DIV/0!</v>
      </c>
      <c r="F21" s="2299" t="e">
        <f t="shared" si="1"/>
        <v>#DIV/0!</v>
      </c>
      <c r="G21" s="2300"/>
      <c r="H21" s="2300"/>
      <c r="I21" s="2300"/>
      <c r="J21" s="2455"/>
      <c r="K21" s="2455"/>
    </row>
    <row r="22" spans="1:11" ht="15.6">
      <c r="A22" s="2298" t="s">
        <v>642</v>
      </c>
      <c r="B22" s="2300"/>
      <c r="C22" s="2300"/>
      <c r="D22" s="2300"/>
      <c r="E22" s="2299" t="e">
        <f t="shared" si="0"/>
        <v>#DIV/0!</v>
      </c>
      <c r="F22" s="2299" t="e">
        <f t="shared" si="1"/>
        <v>#DIV/0!</v>
      </c>
      <c r="G22" s="2300"/>
      <c r="H22" s="2300"/>
      <c r="I22" s="2300"/>
      <c r="J22" s="2455"/>
      <c r="K22" s="2455"/>
    </row>
    <row r="23" spans="1:11" ht="15.6">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3" zoomScale="70" zoomScaleNormal="100" zoomScaleSheetLayoutView="70" zoomScalePageLayoutView="80" workbookViewId="0">
      <selection activeCell="I38" sqref="I38"/>
    </sheetView>
  </sheetViews>
  <sheetFormatPr defaultColWidth="12.6640625" defaultRowHeight="21.75" customHeight="1"/>
  <cols>
    <col min="1" max="2" width="12.6640625" style="1556"/>
    <col min="3" max="4" width="12.6640625" style="1556" customWidth="1"/>
    <col min="5" max="9" width="12.6640625" style="1556"/>
    <col min="10" max="11" width="12.6640625" style="683" customWidth="1"/>
    <col min="12" max="12" width="12.6640625" style="683"/>
    <col min="13" max="13" width="14.109375" style="683" bestFit="1" customWidth="1"/>
    <col min="14" max="26" width="12.6640625" style="683"/>
    <col min="27" max="35" width="12.6640625" style="1618"/>
    <col min="36" max="16384" width="12.6640625" style="1556"/>
  </cols>
  <sheetData>
    <row r="1" spans="1:12" ht="21.75" customHeight="1" thickBot="1">
      <c r="A1" s="1516" t="s">
        <v>1262</v>
      </c>
      <c r="B1" s="645"/>
      <c r="C1" s="1615" t="s">
        <v>3558</v>
      </c>
      <c r="D1" s="645"/>
      <c r="E1" s="645"/>
      <c r="F1" s="1616" t="s">
        <v>1263</v>
      </c>
      <c r="G1" s="1448"/>
      <c r="H1" s="1616" t="str">
        <f>IF(G1="现房","——","估价对象范围")</f>
        <v>估价对象范围</v>
      </c>
      <c r="I1" s="1617"/>
    </row>
    <row r="2" spans="1:12" ht="21.75" customHeight="1" thickBot="1">
      <c r="A2" s="3326" t="str">
        <f>项目基本情况!S2</f>
        <v>天津市南开区卫津南路西侧柏悦花园房地产</v>
      </c>
      <c r="B2" s="3327"/>
      <c r="C2" s="3327"/>
      <c r="D2" s="3327"/>
      <c r="E2" s="3327"/>
      <c r="F2" s="3327"/>
      <c r="G2" s="3327"/>
      <c r="H2" s="3327"/>
      <c r="I2" s="3328"/>
    </row>
    <row r="3" spans="1:12" ht="13.2">
      <c r="A3" s="3330" t="s">
        <v>1264</v>
      </c>
      <c r="B3" s="3331"/>
      <c r="C3" s="3331"/>
      <c r="D3" s="3331"/>
      <c r="E3" s="3331"/>
      <c r="F3" s="3331"/>
      <c r="G3" s="3331"/>
      <c r="H3" s="3331"/>
      <c r="I3" s="3331"/>
    </row>
    <row r="4" spans="1:12" ht="14.4">
      <c r="A4" s="1619" t="s">
        <v>1265</v>
      </c>
      <c r="B4" s="1620" t="s">
        <v>1266</v>
      </c>
      <c r="C4" s="1621" t="s">
        <v>3642</v>
      </c>
      <c r="D4" s="1621" t="s">
        <v>3641</v>
      </c>
      <c r="E4" s="3335" t="s">
        <v>1267</v>
      </c>
      <c r="F4" s="3336"/>
      <c r="G4" s="3336"/>
      <c r="H4" s="3336"/>
      <c r="I4" s="333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329">
        <v>25</v>
      </c>
      <c r="C5" s="3332"/>
      <c r="D5" s="3320"/>
      <c r="E5" s="123" t="s">
        <v>1269</v>
      </c>
      <c r="F5" s="1622"/>
      <c r="G5" s="1622"/>
      <c r="H5" s="1622"/>
      <c r="I5" s="1276"/>
    </row>
    <row r="6" spans="1:12" ht="13.2">
      <c r="A6" s="3274"/>
      <c r="B6" s="3329"/>
      <c r="C6" s="3334"/>
      <c r="D6" s="3320"/>
      <c r="E6" s="123" t="s">
        <v>1270</v>
      </c>
      <c r="F6" s="1622"/>
      <c r="G6" s="1622"/>
      <c r="H6" s="1622"/>
      <c r="I6" s="1276"/>
    </row>
    <row r="7" spans="1:12" ht="13.2">
      <c r="A7" s="3274"/>
      <c r="B7" s="3329"/>
      <c r="C7" s="3333"/>
      <c r="D7" s="3320"/>
      <c r="E7" s="123" t="s">
        <v>1271</v>
      </c>
      <c r="F7" s="1622"/>
      <c r="G7" s="1622"/>
      <c r="H7" s="1622"/>
      <c r="I7" s="1276"/>
    </row>
    <row r="8" spans="1:12" ht="13.2">
      <c r="A8" s="3274" t="s">
        <v>1272</v>
      </c>
      <c r="B8" s="3329">
        <v>15</v>
      </c>
      <c r="C8" s="3332"/>
      <c r="D8" s="3320"/>
      <c r="E8" s="123" t="s">
        <v>1273</v>
      </c>
      <c r="F8" s="1622"/>
      <c r="G8" s="1622"/>
      <c r="H8" s="1622"/>
      <c r="I8" s="1276"/>
    </row>
    <row r="9" spans="1:12" ht="13.2">
      <c r="A9" s="3274"/>
      <c r="B9" s="3329"/>
      <c r="C9" s="3333"/>
      <c r="D9" s="3320"/>
      <c r="E9" s="123" t="s">
        <v>1274</v>
      </c>
      <c r="F9" s="1622"/>
      <c r="G9" s="1622"/>
      <c r="H9" s="1622"/>
      <c r="I9" s="1276"/>
    </row>
    <row r="10" spans="1:12" ht="13.2">
      <c r="A10" s="3274" t="s">
        <v>1275</v>
      </c>
      <c r="B10" s="3329">
        <v>15</v>
      </c>
      <c r="C10" s="3332"/>
      <c r="D10" s="3320"/>
      <c r="E10" s="123" t="s">
        <v>1276</v>
      </c>
      <c r="F10" s="1622"/>
      <c r="G10" s="1622"/>
      <c r="H10" s="1622"/>
      <c r="I10" s="1276"/>
    </row>
    <row r="11" spans="1:12" ht="13.2">
      <c r="A11" s="3274"/>
      <c r="B11" s="3329"/>
      <c r="C11" s="3333"/>
      <c r="D11" s="3320"/>
      <c r="E11" s="123" t="s">
        <v>1277</v>
      </c>
      <c r="F11" s="1622"/>
      <c r="G11" s="1622"/>
      <c r="H11" s="1622"/>
      <c r="I11" s="1276"/>
    </row>
    <row r="12" spans="1:12" ht="13.2">
      <c r="A12" s="3274" t="s">
        <v>1278</v>
      </c>
      <c r="B12" s="3329">
        <v>15</v>
      </c>
      <c r="C12" s="3332"/>
      <c r="D12" s="3320"/>
      <c r="E12" s="123" t="s">
        <v>1279</v>
      </c>
      <c r="F12" s="1622"/>
      <c r="G12" s="1622"/>
      <c r="H12" s="1622"/>
      <c r="I12" s="1276"/>
    </row>
    <row r="13" spans="1:12" ht="13.2">
      <c r="A13" s="3274"/>
      <c r="B13" s="3329"/>
      <c r="C13" s="3333"/>
      <c r="D13" s="3320"/>
      <c r="E13" s="123" t="s">
        <v>1280</v>
      </c>
      <c r="F13" s="1622"/>
      <c r="G13" s="1622"/>
      <c r="H13" s="1622"/>
      <c r="I13" s="1276"/>
    </row>
    <row r="14" spans="1:12" ht="13.2">
      <c r="A14" s="3274" t="s">
        <v>1281</v>
      </c>
      <c r="B14" s="3329">
        <v>30</v>
      </c>
      <c r="C14" s="3332">
        <v>8</v>
      </c>
      <c r="D14" s="3320">
        <v>2</v>
      </c>
      <c r="E14" s="123" t="s">
        <v>1282</v>
      </c>
      <c r="F14" s="1622"/>
      <c r="G14" s="1622"/>
      <c r="H14" s="1622"/>
      <c r="I14" s="1276"/>
    </row>
    <row r="15" spans="1:12" ht="13.2">
      <c r="A15" s="3274"/>
      <c r="B15" s="3329"/>
      <c r="C15" s="3334"/>
      <c r="D15" s="3320"/>
      <c r="E15" s="123" t="s">
        <v>1283</v>
      </c>
      <c r="F15" s="1622"/>
      <c r="G15" s="1622"/>
      <c r="H15" s="1622"/>
      <c r="I15" s="1276"/>
    </row>
    <row r="16" spans="1:12" ht="13.2">
      <c r="A16" s="3274"/>
      <c r="B16" s="3329"/>
      <c r="C16" s="3333"/>
      <c r="D16" s="3320"/>
      <c r="E16" s="123" t="s">
        <v>1284</v>
      </c>
      <c r="F16" s="1622"/>
      <c r="G16" s="1622"/>
      <c r="H16" s="1622"/>
      <c r="I16" s="1276"/>
    </row>
    <row r="17" spans="1:36" ht="14.4">
      <c r="A17" s="1623" t="s">
        <v>1285</v>
      </c>
      <c r="B17" s="54"/>
      <c r="C17" s="124">
        <f>SUM(C5:C16)</f>
        <v>8</v>
      </c>
      <c r="D17" s="124">
        <f>SUM(D5:D16)</f>
        <v>2</v>
      </c>
      <c r="E17" s="121"/>
      <c r="F17" s="121"/>
      <c r="G17" s="121"/>
      <c r="H17" s="121"/>
      <c r="I17" s="121"/>
      <c r="K17" s="294"/>
      <c r="L17" s="294" t="s">
        <v>1286</v>
      </c>
      <c r="M17" s="294" t="s">
        <v>1287</v>
      </c>
    </row>
    <row r="18" spans="1:36" ht="31.95" customHeight="1" thickBot="1">
      <c r="A18" s="1624" t="s">
        <v>1288</v>
      </c>
      <c r="B18" s="1537"/>
      <c r="C18" s="125">
        <f>ROUND(C17/SUM(C17:D17),2)</f>
        <v>0.8</v>
      </c>
      <c r="D18" s="125">
        <f>1-C18</f>
        <v>0.19999999999999996</v>
      </c>
      <c r="E18" s="3351" t="s">
        <v>2126</v>
      </c>
      <c r="F18" s="3352"/>
      <c r="G18" s="3352"/>
      <c r="H18" s="3352"/>
      <c r="I18" s="3352"/>
      <c r="K18" s="294" t="s">
        <v>1289</v>
      </c>
      <c r="L18" s="294">
        <f>IF(C1="",'数据-汇总表'!E3,SUMIF(项目类型,C1,'数据-汇总表'!E17:E26)+SUMIF(项目类型,C1,'数据-汇总表'!I17:I26))</f>
        <v>121.97</v>
      </c>
      <c r="M18" s="294">
        <f>IF(C1="",'数据-汇总表'!E3,SUMIF(项目类型,C1,'数据-汇总表'!E17:E26))</f>
        <v>121.97</v>
      </c>
    </row>
    <row r="19" spans="1:36" ht="14.4">
      <c r="A19" s="1625" t="s">
        <v>1290</v>
      </c>
      <c r="B19" s="1626" t="s">
        <v>1291</v>
      </c>
      <c r="C19" s="126">
        <f ca="1">SUMIF(INDIRECT("'"&amp;C4&amp;"'"&amp;"!A:A"),结果表!B19,INDIRECT("'"&amp;C4&amp;"'"&amp;"!B:B"))</f>
        <v>265.72379999999998</v>
      </c>
      <c r="D19" s="127">
        <f ca="1">SUMIF(INDIRECT("'"&amp;D4&amp;"'"&amp;"!A:A"),结果表!B19,INDIRECT("'"&amp;D4&amp;"'"&amp;"!B:B"))</f>
        <v>73.445599999999999</v>
      </c>
      <c r="E19" s="1625" t="s">
        <v>1292</v>
      </c>
      <c r="F19" s="1626" t="s">
        <v>1291</v>
      </c>
      <c r="G19" s="128">
        <f ca="1">ROUND(C19*$C$18+D19*$D$18,0)</f>
        <v>227</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28"/>
      <c r="B20" s="43" t="s">
        <v>1295</v>
      </c>
      <c r="C20" s="129">
        <f ca="1">SUMIF(INDIRECT("'"&amp;C4&amp;"'"&amp;"!A:A"),结果表!B20,INDIRECT("'"&amp;C4&amp;"'"&amp;"!B:B"))</f>
        <v>21786</v>
      </c>
      <c r="D20" s="130">
        <f ca="1">SUMIF(INDIRECT("'"&amp;D4&amp;"'"&amp;"!A:A"),结果表!B20,INDIRECT("'"&amp;D4&amp;"'"&amp;"!B:B"))</f>
        <v>6022</v>
      </c>
      <c r="E20" s="1628"/>
      <c r="F20" s="43" t="s">
        <v>1295</v>
      </c>
      <c r="G20" s="131">
        <f ca="1">ROUND(C20*$C$18+D20*$D$18,0)</f>
        <v>18633</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2.6179675841711414</v>
      </c>
      <c r="E22" s="121"/>
      <c r="F22" s="121"/>
      <c r="G22" s="121"/>
      <c r="H22" s="121"/>
      <c r="I22" s="121"/>
    </row>
    <row r="23" spans="1:36" ht="13.8" thickBot="1">
      <c r="A23" s="645"/>
      <c r="B23" s="645"/>
      <c r="C23" s="645"/>
      <c r="D23" s="645"/>
      <c r="E23" s="121"/>
      <c r="F23" s="121"/>
      <c r="G23" s="121"/>
      <c r="H23" s="121"/>
      <c r="I23" s="121"/>
    </row>
    <row r="24" spans="1:36" ht="14.4">
      <c r="A24" s="3344" t="s">
        <v>1299</v>
      </c>
      <c r="B24" s="1626" t="s">
        <v>1291</v>
      </c>
      <c r="C24" s="128">
        <f>IF(B30=0,0,D30)</f>
        <v>0</v>
      </c>
      <c r="D24" s="1632"/>
      <c r="E24" s="121"/>
      <c r="F24" s="121"/>
      <c r="G24" s="121"/>
      <c r="H24" s="121"/>
      <c r="I24" s="121"/>
    </row>
    <row r="25" spans="1:36" ht="14.4">
      <c r="A25" s="3345"/>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3.8">
      <c r="A27" s="1634"/>
      <c r="B27" s="134">
        <v>0</v>
      </c>
      <c r="C27" s="134">
        <v>0</v>
      </c>
      <c r="D27" s="135">
        <f>ROUND(C27*B27/10000,0)</f>
        <v>0</v>
      </c>
      <c r="E27" s="121"/>
      <c r="F27" s="121"/>
      <c r="G27" s="121"/>
      <c r="H27" s="121"/>
      <c r="I27" s="121"/>
    </row>
    <row r="28" spans="1:36" ht="13.8">
      <c r="A28" s="1634"/>
      <c r="B28" s="134"/>
      <c r="C28" s="134"/>
      <c r="D28" s="135"/>
      <c r="E28" s="121"/>
      <c r="F28" s="121"/>
      <c r="G28" s="121"/>
      <c r="H28" s="121"/>
      <c r="I28" s="121"/>
    </row>
    <row r="29" spans="1:36" ht="13.8">
      <c r="A29" s="1634"/>
      <c r="B29" s="134"/>
      <c r="C29" s="134"/>
      <c r="D29" s="135"/>
      <c r="E29" s="121"/>
      <c r="F29" s="121"/>
      <c r="G29" s="121"/>
      <c r="H29" s="121"/>
      <c r="I29" s="121"/>
    </row>
    <row r="30" spans="1:36" ht="15" thickBot="1">
      <c r="A30" s="134" t="s">
        <v>1304</v>
      </c>
      <c r="B30" s="134"/>
      <c r="C30" s="134"/>
      <c r="D30" s="134"/>
      <c r="E30" s="2122" t="s">
        <v>2127</v>
      </c>
      <c r="F30" s="121"/>
      <c r="G30" s="121"/>
      <c r="H30" s="121"/>
      <c r="I30" s="121"/>
    </row>
    <row r="31" spans="1:36" s="2128" customFormat="1" ht="26.4" customHeight="1" thickTop="1" thickBot="1">
      <c r="A31" s="2123"/>
      <c r="B31" s="2124"/>
      <c r="C31" s="2124"/>
      <c r="D31" s="2124"/>
      <c r="E31" s="2124"/>
      <c r="F31" s="2124"/>
      <c r="G31" s="2124"/>
      <c r="H31" s="2124"/>
      <c r="I31" s="2125" t="s">
        <v>2128</v>
      </c>
      <c r="J31" s="245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5.6" thickTop="1" thickBot="1">
      <c r="A32" s="1635" t="s">
        <v>1305</v>
      </c>
      <c r="B32" s="1530"/>
      <c r="C32" s="136">
        <f ca="1">IF(D32="总价",G19-C24,G20-C25)</f>
        <v>18633</v>
      </c>
      <c r="D32" s="1636" t="s">
        <v>3648</v>
      </c>
      <c r="E32" s="121"/>
      <c r="F32" s="121"/>
      <c r="G32" s="121"/>
      <c r="H32" s="121"/>
      <c r="I32" s="121"/>
    </row>
    <row r="33" spans="1:15" ht="14.4">
      <c r="A33" s="739" t="s">
        <v>1306</v>
      </c>
      <c r="B33" s="123"/>
      <c r="C33" s="1637" t="s">
        <v>3649</v>
      </c>
      <c r="D33" s="1638"/>
      <c r="E33" s="1639" t="s">
        <v>1307</v>
      </c>
      <c r="F33" s="1640" t="str">
        <f>IF(D32="楼面单价","取值（单价）","取值（总价）")</f>
        <v>取值（单价）</v>
      </c>
      <c r="G33" s="121"/>
      <c r="H33" s="121"/>
      <c r="I33" s="121"/>
    </row>
    <row r="34" spans="1:15" ht="14.4">
      <c r="A34" s="1641"/>
      <c r="B34" s="1642" t="s">
        <v>1308</v>
      </c>
      <c r="C34" s="140">
        <f>IF(C33="自定义",F34,C32-C35)</f>
        <v>0</v>
      </c>
      <c r="D34" s="807">
        <f ca="1">IF(C33="自定义",ROUND(C34/C32,3),IF(C33="收益比率",SUMIF(INDIRECT("'"&amp;D33&amp;"'"&amp;"!b:b"),"土地收益比率",INDIRECT("'"&amp;D33&amp;"'"&amp;"!c:c")),SUMIF(INDIRECT("'"&amp;D33&amp;"'"&amp;"!b:b"),"土地成本比率",INDIRECT("'"&amp;D33&amp;"'"&amp;"!c:c"))))</f>
        <v>0</v>
      </c>
      <c r="E34" s="1643" t="s">
        <v>1309</v>
      </c>
      <c r="F34" s="1239"/>
      <c r="G34" s="121"/>
      <c r="H34" s="121"/>
      <c r="I34" s="121"/>
    </row>
    <row r="35" spans="1:15" ht="15" thickBot="1">
      <c r="A35" s="1644"/>
      <c r="B35" s="1645"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6" t="s">
        <v>1311</v>
      </c>
      <c r="F35" s="146"/>
      <c r="G35" s="121"/>
      <c r="H35" s="121"/>
      <c r="I35" s="121"/>
    </row>
    <row r="36" spans="1:15" ht="15" thickBot="1">
      <c r="A36" s="3321" t="s">
        <v>1312</v>
      </c>
      <c r="B36" s="1647" t="s">
        <v>1313</v>
      </c>
      <c r="C36" s="137"/>
      <c r="D36" s="1648"/>
      <c r="E36" s="1562"/>
      <c r="F36" s="1649"/>
      <c r="G36" s="121"/>
      <c r="H36" s="121"/>
      <c r="I36" s="121"/>
    </row>
    <row r="37" spans="1:15" ht="15" thickBot="1">
      <c r="A37" s="3322"/>
      <c r="B37" s="1550" t="s">
        <v>1314</v>
      </c>
      <c r="C37" s="139"/>
      <c r="D37" s="1068"/>
      <c r="E37" s="1068"/>
      <c r="F37" s="1649"/>
      <c r="G37" s="121"/>
      <c r="H37" s="121"/>
      <c r="I37" s="121"/>
    </row>
    <row r="38" spans="1:15" ht="15" thickBot="1">
      <c r="A38" s="3323"/>
      <c r="B38" s="1650" t="s">
        <v>1315</v>
      </c>
      <c r="C38" s="640"/>
      <c r="D38" s="1651" t="s">
        <v>1316</v>
      </c>
      <c r="E38" s="1068"/>
      <c r="F38" s="1649"/>
      <c r="G38" s="121"/>
      <c r="H38" s="121"/>
      <c r="I38" s="121"/>
    </row>
    <row r="39" spans="1:15" ht="14.4">
      <c r="A39" s="1628" t="s">
        <v>1317</v>
      </c>
      <c r="B39" s="1652" t="s">
        <v>1318</v>
      </c>
      <c r="C39" s="1653" t="s">
        <v>1319</v>
      </c>
      <c r="D39" s="1653" t="s">
        <v>1320</v>
      </c>
      <c r="E39" s="1654" t="s">
        <v>1321</v>
      </c>
      <c r="F39" s="1649"/>
      <c r="G39" s="121"/>
      <c r="H39" s="121"/>
      <c r="I39" s="121"/>
    </row>
    <row r="40" spans="1:15" ht="13.8">
      <c r="A40" s="1655" t="s">
        <v>1322</v>
      </c>
      <c r="B40" s="141"/>
      <c r="C40" s="142"/>
      <c r="D40" s="142"/>
      <c r="E40" s="143"/>
      <c r="F40" s="1649"/>
      <c r="G40" s="121"/>
      <c r="H40" s="121"/>
      <c r="I40" s="121"/>
    </row>
    <row r="41" spans="1:15" ht="13.8">
      <c r="A41" s="1655" t="s">
        <v>1323</v>
      </c>
      <c r="B41" s="141"/>
      <c r="C41" s="142"/>
      <c r="D41" s="142"/>
      <c r="E41" s="143"/>
      <c r="F41" s="1649"/>
      <c r="G41" s="121"/>
      <c r="H41" s="121"/>
      <c r="I41" s="121"/>
    </row>
    <row r="42" spans="1:15" ht="14.4" thickBot="1">
      <c r="A42" s="1656"/>
      <c r="B42" s="144"/>
      <c r="C42" s="145"/>
      <c r="D42" s="145"/>
      <c r="E42" s="146"/>
      <c r="F42" s="1649"/>
      <c r="G42" s="121"/>
      <c r="H42" s="121"/>
      <c r="I42" s="121"/>
    </row>
    <row r="43" spans="1:15" ht="13.2">
      <c r="A43" s="1462"/>
      <c r="B43" s="1462"/>
      <c r="C43" s="1462"/>
      <c r="D43" s="1462"/>
      <c r="E43" s="1462"/>
      <c r="F43" s="1657"/>
      <c r="G43" s="1657"/>
      <c r="H43" s="1657"/>
      <c r="I43" s="1658"/>
    </row>
    <row r="44" spans="1:15" ht="17.399999999999999">
      <c r="A44" s="1459" t="s">
        <v>1324</v>
      </c>
      <c r="B44" s="1659"/>
      <c r="C44" s="1659"/>
      <c r="D44" s="1660"/>
      <c r="E44" s="1660"/>
      <c r="F44" s="1661"/>
      <c r="G44" s="1661"/>
      <c r="H44" s="1661"/>
      <c r="I44" s="1661"/>
      <c r="J44" s="1662" t="s">
        <v>1325</v>
      </c>
      <c r="K44" s="4"/>
      <c r="L44" s="4"/>
      <c r="M44" s="4"/>
      <c r="N44" s="4"/>
      <c r="O44" s="4"/>
    </row>
    <row r="45" spans="1:15" ht="14.25" customHeight="1" thickBot="1">
      <c r="A45" s="3341" t="s">
        <v>1326</v>
      </c>
      <c r="B45" s="3342"/>
      <c r="C45" s="3343"/>
      <c r="D45" s="147">
        <f ca="1">ROUND(H101*F45,0)</f>
        <v>227</v>
      </c>
      <c r="E45" s="148" t="s">
        <v>1327</v>
      </c>
      <c r="F45" s="149">
        <v>1</v>
      </c>
      <c r="G45" s="150" t="s">
        <v>1328</v>
      </c>
      <c r="H45" s="121"/>
      <c r="I45" s="121"/>
      <c r="J45" s="3261" t="s">
        <v>1329</v>
      </c>
      <c r="K45" s="3261"/>
      <c r="L45" s="3261"/>
      <c r="M45" s="3261"/>
      <c r="N45" s="3261"/>
      <c r="O45" s="3261"/>
    </row>
    <row r="46" spans="1:15" ht="14.25" customHeight="1">
      <c r="A46" s="3338" t="s">
        <v>1330</v>
      </c>
      <c r="B46" s="3339"/>
      <c r="C46" s="3339"/>
      <c r="D46" s="3339"/>
      <c r="E46" s="3339"/>
      <c r="F46" s="3339"/>
      <c r="G46" s="3340"/>
      <c r="H46" s="1663"/>
      <c r="I46" s="151"/>
      <c r="J46" s="2303">
        <v>1</v>
      </c>
      <c r="K46" s="3262" t="s">
        <v>1331</v>
      </c>
      <c r="L46" s="3262"/>
      <c r="M46" s="3263"/>
      <c r="N46" s="3263"/>
      <c r="O46" s="3263"/>
    </row>
    <row r="47" spans="1:15" ht="12" customHeight="1">
      <c r="A47" s="152" t="s">
        <v>1332</v>
      </c>
      <c r="B47" s="153"/>
      <c r="C47" s="154"/>
      <c r="D47" s="1021" t="s">
        <v>1333</v>
      </c>
      <c r="E47" s="294" t="s">
        <v>1334</v>
      </c>
      <c r="F47" s="155" t="s">
        <v>1335</v>
      </c>
      <c r="G47" s="2326" t="s">
        <v>1336</v>
      </c>
      <c r="H47" s="2327"/>
      <c r="I47" s="151"/>
      <c r="J47" s="2303">
        <v>2</v>
      </c>
      <c r="K47" s="3262" t="s">
        <v>1337</v>
      </c>
      <c r="L47" s="3262"/>
      <c r="M47" s="3264">
        <f>'数据-取费表'!B2</f>
        <v>45555</v>
      </c>
      <c r="N47" s="3264"/>
      <c r="O47" s="3264"/>
    </row>
    <row r="48" spans="1:15" ht="26.4">
      <c r="A48" s="3324" t="s">
        <v>1338</v>
      </c>
      <c r="B48" s="3325"/>
      <c r="C48" s="3325"/>
      <c r="D48" s="12" t="b">
        <f>IF(H48="情况1",0,IF(H48="情况2",D52,IF(H48="情况3",D53,IF(H48="情况4",D54))))</f>
        <v>0</v>
      </c>
      <c r="E48" s="1251" t="str">
        <f>IF(H48="情况4","(销售额-原购置价)×税（费）率","销售额×税（费）率")</f>
        <v>销售额×税（费）率</v>
      </c>
      <c r="F48" s="2328">
        <f>IF(H48="情况1","免征",'数据-取费表'!B41)</f>
        <v>5.6000000000000001E-2</v>
      </c>
      <c r="G48" s="2329" t="s">
        <v>1339</v>
      </c>
      <c r="H48" s="2330"/>
      <c r="I48" s="1663"/>
      <c r="J48" s="2303">
        <v>3</v>
      </c>
      <c r="K48" s="3262" t="s">
        <v>1340</v>
      </c>
      <c r="L48" s="3262"/>
      <c r="M48" s="3265">
        <f ca="1">H101</f>
        <v>227</v>
      </c>
      <c r="N48" s="3265"/>
      <c r="O48" s="3265"/>
    </row>
    <row r="49" spans="1:35" ht="25.5" customHeight="1">
      <c r="A49" s="2147" t="s">
        <v>1341</v>
      </c>
      <c r="B49" s="3310" t="s">
        <v>1342</v>
      </c>
      <c r="C49" s="3310"/>
      <c r="D49" s="1473">
        <v>0</v>
      </c>
      <c r="E49" s="316" t="s">
        <v>1343</v>
      </c>
      <c r="F49" s="2226" t="s">
        <v>28</v>
      </c>
      <c r="G49" s="3293"/>
      <c r="H49" s="2129" t="s">
        <v>2129</v>
      </c>
      <c r="I49" s="2130"/>
      <c r="J49" s="2303">
        <v>4</v>
      </c>
      <c r="K49" s="3262" t="str">
        <f>IF(项目基本情况!E8="房地产抵押价值","房地产抵押价值","抵押担保权已注销时的房地产抵押价值")</f>
        <v>房地产抵押价值</v>
      </c>
      <c r="L49" s="3262"/>
      <c r="M49" s="3265">
        <f ca="1">IF(项目基本情况!E8="房地产抵押价值",H107,H109)</f>
        <v>227</v>
      </c>
      <c r="N49" s="3265"/>
      <c r="O49" s="3265"/>
    </row>
    <row r="50" spans="1:35" ht="25.5" customHeight="1">
      <c r="A50" s="2331"/>
      <c r="B50" s="3310" t="s">
        <v>1344</v>
      </c>
      <c r="C50" s="3310"/>
      <c r="D50" s="2184"/>
      <c r="E50" s="323"/>
      <c r="F50" s="2226"/>
      <c r="G50" s="3294"/>
      <c r="H50" s="2131" t="s">
        <v>2130</v>
      </c>
      <c r="I50" s="2130"/>
      <c r="J50" s="3261" t="s">
        <v>1345</v>
      </c>
      <c r="K50" s="3261"/>
      <c r="L50" s="3261"/>
      <c r="M50" s="3261"/>
      <c r="N50" s="3261"/>
      <c r="O50" s="3261"/>
    </row>
    <row r="51" spans="1:35" ht="20.399999999999999" customHeight="1">
      <c r="A51" s="2332"/>
      <c r="B51" s="3310" t="s">
        <v>1346</v>
      </c>
      <c r="C51" s="3310"/>
      <c r="D51" s="1021"/>
      <c r="E51" s="319"/>
      <c r="F51" s="2226"/>
      <c r="G51" s="3295"/>
      <c r="H51" s="2131" t="s">
        <v>2131</v>
      </c>
      <c r="I51" s="2130"/>
      <c r="J51" s="2304" t="s">
        <v>1347</v>
      </c>
      <c r="K51" s="3262" t="s">
        <v>1348</v>
      </c>
      <c r="L51" s="3262"/>
      <c r="M51" s="2304" t="s">
        <v>1349</v>
      </c>
      <c r="N51" s="2304" t="s">
        <v>1350</v>
      </c>
      <c r="O51" s="2304" t="s">
        <v>1351</v>
      </c>
    </row>
    <row r="52" spans="1:35" ht="24" customHeight="1">
      <c r="A52" s="2148" t="s">
        <v>1352</v>
      </c>
      <c r="B52" s="3310" t="s">
        <v>1353</v>
      </c>
      <c r="C52" s="3310"/>
      <c r="D52" s="1021">
        <f ca="1">ROUND(D45*'数据-取费表'!B41/(1+'数据-取费表'!C42),0)</f>
        <v>12</v>
      </c>
      <c r="E52" s="1251" t="s">
        <v>1354</v>
      </c>
      <c r="F52" s="2333">
        <f>'数据-取费表'!B41</f>
        <v>5.6000000000000001E-2</v>
      </c>
      <c r="G52" s="2334"/>
      <c r="H52" s="2324"/>
      <c r="I52" s="1664"/>
      <c r="J52" s="2303">
        <v>1</v>
      </c>
      <c r="K52" s="3287" t="s">
        <v>1355</v>
      </c>
      <c r="L52" s="3287"/>
      <c r="M52" s="2305" t="b">
        <f>D48</f>
        <v>0</v>
      </c>
      <c r="N52" s="2303" t="str">
        <f>E48</f>
        <v>销售额×税（费）率</v>
      </c>
      <c r="O52" s="2306">
        <f>F48</f>
        <v>5.6000000000000001E-2</v>
      </c>
    </row>
    <row r="53" spans="1:35" ht="12" customHeight="1">
      <c r="A53" s="2148" t="s">
        <v>1356</v>
      </c>
      <c r="B53" s="3311" t="s">
        <v>2286</v>
      </c>
      <c r="C53" s="3312"/>
      <c r="D53" s="1021">
        <f ca="1">ROUND(D45*'数据-取费表'!B41/(1+'数据-取费表'!C42),0)</f>
        <v>12</v>
      </c>
      <c r="E53" s="1251" t="s">
        <v>1354</v>
      </c>
      <c r="F53" s="2333">
        <f>'数据-取费表'!B41</f>
        <v>5.6000000000000001E-2</v>
      </c>
      <c r="G53" s="2334"/>
      <c r="H53" s="2324"/>
      <c r="I53" s="1664"/>
      <c r="J53" s="2303">
        <v>2</v>
      </c>
      <c r="K53" s="3287" t="s">
        <v>1357</v>
      </c>
      <c r="L53" s="3287"/>
      <c r="M53" s="2305">
        <f t="shared" ref="M53:O54" ca="1" si="0">D55</f>
        <v>0</v>
      </c>
      <c r="N53" s="2303" t="str">
        <f t="shared" si="0"/>
        <v>销售额×税（费）率</v>
      </c>
      <c r="O53" s="2306" t="str">
        <f t="shared" si="0"/>
        <v>免征</v>
      </c>
    </row>
    <row r="54" spans="1:35" ht="12" customHeight="1">
      <c r="A54" s="2148" t="s">
        <v>1358</v>
      </c>
      <c r="B54" s="3311" t="s">
        <v>2287</v>
      </c>
      <c r="C54" s="3312"/>
      <c r="D54" s="1021">
        <f ca="1">C68</f>
        <v>12</v>
      </c>
      <c r="E54" s="319" t="s">
        <v>1359</v>
      </c>
      <c r="F54" s="2333">
        <f>'数据-取费表'!B41</f>
        <v>5.6000000000000001E-2</v>
      </c>
      <c r="G54" s="2334"/>
      <c r="H54" s="2335"/>
      <c r="I54" s="1664"/>
      <c r="J54" s="2303">
        <v>3</v>
      </c>
      <c r="K54" s="3287" t="s">
        <v>1360</v>
      </c>
      <c r="L54" s="3287"/>
      <c r="M54" s="2305">
        <f t="shared" ca="1" si="0"/>
        <v>129</v>
      </c>
      <c r="N54" s="2303" t="str">
        <f t="shared" si="0"/>
        <v>增值额×税（费）率</v>
      </c>
      <c r="O54" s="2307" t="str">
        <f t="shared" si="0"/>
        <v>免征</v>
      </c>
    </row>
    <row r="55" spans="1:35" ht="24" customHeight="1">
      <c r="A55" s="3347" t="s">
        <v>1361</v>
      </c>
      <c r="B55" s="3325"/>
      <c r="C55" s="3325"/>
      <c r="D55" s="12">
        <f ca="1">IF(H55="个人住宅",0,ROUND(D45*I55,0))</f>
        <v>0</v>
      </c>
      <c r="E55" s="1251" t="s">
        <v>1362</v>
      </c>
      <c r="F55" s="2333" t="str">
        <f>IF(H55="正常",I55,"免征")</f>
        <v>免征</v>
      </c>
      <c r="G55" s="2334"/>
      <c r="H55" s="2330"/>
      <c r="I55" s="157">
        <f>'数据-取费表'!B49</f>
        <v>5.0000000000000001E-4</v>
      </c>
      <c r="J55" s="2303">
        <f>IF(H59="非个人房产","",4)</f>
        <v>4</v>
      </c>
      <c r="K55" s="3287" t="str">
        <f>IF(H59="非个人房产","——","个人所得税")</f>
        <v>个人所得税</v>
      </c>
      <c r="L55" s="3287"/>
      <c r="M55" s="2308">
        <f ca="1">D59</f>
        <v>2</v>
      </c>
      <c r="N55" s="1878" t="str">
        <f>E59</f>
        <v>差额计税</v>
      </c>
      <c r="O55" s="2309">
        <f>F59</f>
        <v>0.01</v>
      </c>
    </row>
    <row r="56" spans="1:35" ht="25.2">
      <c r="A56" s="3347" t="s">
        <v>1363</v>
      </c>
      <c r="B56" s="3325"/>
      <c r="C56" s="3325"/>
      <c r="D56" s="12">
        <f ca="1">IF(H56="个人住宅",D57,D58)</f>
        <v>129</v>
      </c>
      <c r="E56" s="1251" t="s">
        <v>1364</v>
      </c>
      <c r="F56" s="2333" t="str">
        <f>IF(H56="正常",F58,"免征")</f>
        <v>免征</v>
      </c>
      <c r="G56" s="2336" t="s">
        <v>1365</v>
      </c>
      <c r="H56" s="2337"/>
      <c r="I56" s="1665"/>
      <c r="J56" s="2303" t="str">
        <f>IF(项目基本情况!K6="上海银行",IF(J55="",4,J55+1),"")</f>
        <v/>
      </c>
      <c r="K56" s="3268" t="str">
        <f>IF(项目基本情况!K6="上海银行","其他处置费用","")</f>
        <v/>
      </c>
      <c r="L56" s="3269"/>
      <c r="M56" s="2305" t="str">
        <f>IF(项目基本情况!K6="上海银行",M69,"")</f>
        <v/>
      </c>
      <c r="N56" s="3268" t="str">
        <f>IF(项目基本情况!K6="上海银行","包含处置中涉及的律师、诉讼、拍卖、评估等费用","")</f>
        <v/>
      </c>
      <c r="O56" s="3271"/>
    </row>
    <row r="57" spans="1:35" ht="13.2">
      <c r="A57" s="2148" t="s">
        <v>1341</v>
      </c>
      <c r="B57" s="3311" t="s">
        <v>1366</v>
      </c>
      <c r="C57" s="3312"/>
      <c r="D57" s="1473">
        <v>0</v>
      </c>
      <c r="E57" s="316" t="s">
        <v>1343</v>
      </c>
      <c r="F57" s="294"/>
      <c r="G57" s="2334"/>
      <c r="H57" s="2338"/>
      <c r="I57" s="1665"/>
      <c r="J57" s="3287">
        <f>IF(AND(J55="",J56=""),4,IF(项目基本情况!K6="上海银行",结果表!J56+1,结果表!J55+1))</f>
        <v>5</v>
      </c>
      <c r="K57" s="3287" t="s">
        <v>1367</v>
      </c>
      <c r="L57" s="2310" t="s">
        <v>1368</v>
      </c>
      <c r="M57" s="2311"/>
      <c r="N57" s="2312">
        <f ca="1">SUMIF(M52:M56,"&lt;9e307")</f>
        <v>131</v>
      </c>
      <c r="O57" s="2313"/>
      <c r="P57" s="2457">
        <f ca="1">N57/M49</f>
        <v>0.5770925110132159</v>
      </c>
    </row>
    <row r="58" spans="1:35" ht="25.2">
      <c r="A58" s="2148" t="s">
        <v>1352</v>
      </c>
      <c r="B58" s="3311" t="s">
        <v>1369</v>
      </c>
      <c r="C58" s="3310"/>
      <c r="D58" s="12">
        <f ca="1">IF(H58="转让取得",C81,C97)</f>
        <v>129</v>
      </c>
      <c r="E58" s="1251" t="s">
        <v>1364</v>
      </c>
      <c r="F58" s="294" t="s">
        <v>28</v>
      </c>
      <c r="G58" s="2334"/>
      <c r="H58" s="2337"/>
      <c r="I58" s="1665"/>
      <c r="J58" s="3287"/>
      <c r="K58" s="3287"/>
      <c r="L58" s="2310" t="s">
        <v>1370</v>
      </c>
      <c r="M58" s="2314"/>
      <c r="N58" s="2315" t="str">
        <f ca="1">NUMBERSTRING(INT(N57*10000),2)&amp;"元整"</f>
        <v>壹佰叁拾壹万元整</v>
      </c>
      <c r="O58" s="2316"/>
    </row>
    <row r="59" spans="1:35" ht="24.6" thickBot="1">
      <c r="A59" s="3291" t="s">
        <v>1371</v>
      </c>
      <c r="B59" s="3292"/>
      <c r="C59" s="3292"/>
      <c r="D59" s="2339">
        <f ca="1">IF(H59="非个人房产","——",IF(H59="个人住宅（满五唯一有凭证）",0,IF(H59="个人其他（无凭证）",ROUND(D45*F59,0),ROUND(C67*F59,0))))</f>
        <v>2</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3"/>
      <c r="I59" s="2132" t="s">
        <v>2132</v>
      </c>
      <c r="J59" s="3289">
        <f>J57+1</f>
        <v>6</v>
      </c>
      <c r="K59" s="3287" t="s">
        <v>1372</v>
      </c>
      <c r="L59" s="2303" t="s">
        <v>1368</v>
      </c>
      <c r="M59" s="2317"/>
      <c r="N59" s="2318">
        <f ca="1">M49-N57</f>
        <v>96</v>
      </c>
      <c r="O59" s="2319"/>
    </row>
    <row r="60" spans="1:35" ht="12" customHeight="1">
      <c r="A60" s="1666"/>
      <c r="B60" s="645"/>
      <c r="C60" s="645"/>
      <c r="D60" s="645"/>
      <c r="E60" s="1461"/>
      <c r="F60" s="1665"/>
      <c r="G60" s="1665"/>
      <c r="H60" s="151"/>
      <c r="I60" s="121"/>
      <c r="J60" s="3290"/>
      <c r="K60" s="3287"/>
      <c r="L60" s="2310" t="s">
        <v>1370</v>
      </c>
      <c r="M60" s="2314"/>
      <c r="N60" s="2315" t="str">
        <f ca="1">NUMBERSTRING(INT(N59*10000),2)&amp;"元整"</f>
        <v>玖拾陆万元整</v>
      </c>
      <c r="O60" s="2316"/>
    </row>
    <row r="61" spans="1:35" ht="13.8" thickBot="1">
      <c r="A61" s="3346" t="s">
        <v>1373</v>
      </c>
      <c r="B61" s="3346"/>
      <c r="C61" s="3346"/>
      <c r="D61" s="3346"/>
      <c r="E61" s="3346"/>
      <c r="F61" s="1665"/>
      <c r="G61" s="1665"/>
      <c r="H61" s="151"/>
      <c r="I61" s="121"/>
      <c r="J61" s="2303">
        <f>J59+1</f>
        <v>7</v>
      </c>
      <c r="K61" s="3287" t="s">
        <v>1374</v>
      </c>
      <c r="L61" s="3287"/>
      <c r="M61" s="2320"/>
      <c r="N61" s="2321">
        <f ca="1">ROUND(N59*10000/'数据-汇总表'!E3,0)</f>
        <v>7871</v>
      </c>
      <c r="O61" s="2322"/>
    </row>
    <row r="62" spans="1:35" ht="13.2">
      <c r="A62" s="3306" t="s">
        <v>1375</v>
      </c>
      <c r="B62" s="3307"/>
      <c r="C62" s="1860"/>
      <c r="D62" s="1860" t="s">
        <v>1376</v>
      </c>
      <c r="E62" s="158" t="s">
        <v>1377</v>
      </c>
      <c r="F62" s="1665"/>
      <c r="G62" s="1665"/>
      <c r="H62" s="151"/>
      <c r="I62" s="121"/>
    </row>
    <row r="63" spans="1:35" ht="13.2">
      <c r="A63" s="165" t="s">
        <v>330</v>
      </c>
      <c r="B63" s="159" t="s">
        <v>1378</v>
      </c>
      <c r="C63" s="2343">
        <f ca="1">ROUND((C64+C65)/(1+'数据-取费表'!C42),0)</f>
        <v>216</v>
      </c>
      <c r="D63" s="159"/>
      <c r="E63" s="160"/>
      <c r="F63" s="1665"/>
      <c r="G63" s="1665"/>
      <c r="H63" s="151"/>
      <c r="I63" s="121"/>
      <c r="J63" s="3270" t="s">
        <v>1379</v>
      </c>
      <c r="K63" s="1241" t="s">
        <v>1380</v>
      </c>
      <c r="L63" s="1241">
        <f ca="1">IF(M49&gt;10000,M49*0.5%,IF(AND(M49&gt;1000,M49&lt;=10000),M49*1%,IF(AND(M49&gt;100,M49&lt;=1000),M49*3%,IF(AND(M49&gt;10,M49&lt;=100),M49*5%,M49*8%))))</f>
        <v>6.81</v>
      </c>
      <c r="M63" s="294">
        <f ca="1">ROUND(L63,1)</f>
        <v>6.8</v>
      </c>
      <c r="N63" s="2323"/>
      <c r="Z63" s="1618"/>
      <c r="AI63" s="1556"/>
    </row>
    <row r="64" spans="1:35" ht="14.25" customHeight="1">
      <c r="A64" s="161" t="s">
        <v>325</v>
      </c>
      <c r="B64" s="162" t="s">
        <v>1381</v>
      </c>
      <c r="C64" s="2344">
        <f ca="1">D45</f>
        <v>227</v>
      </c>
      <c r="D64" s="162" t="s">
        <v>26</v>
      </c>
      <c r="E64" s="164"/>
      <c r="F64" s="1665"/>
      <c r="G64" s="1665"/>
      <c r="H64" s="151"/>
      <c r="I64" s="121"/>
      <c r="J64" s="3270"/>
      <c r="K64" s="1241" t="s">
        <v>1382</v>
      </c>
      <c r="L64" s="1241">
        <f ca="1">IF(M49&gt;2000,M49*0.5%,IF(AND(M49&gt;1000,M49&lt;=2000),M49*0.6%,IF(AND(M49&gt;500,M49&lt;=1000),M49*0.7%,IF(AND(M49&gt;200,M49&lt;=500),M49*0.8%,IF(AND(M49&gt;100,M49&lt;=200),M49*0.9%,IF(AND(M49&gt;50,M49&lt;=100),M49*1%,IF(AND(M49&gt;20,M49&lt;=50),M49*1.5%,IF(AND(M49&gt;10,M49&lt;=20),M49*2%,IF(AND(M49&gt;1,M49&lt;=10),M49*2.5%)))))))))</f>
        <v>1.8160000000000001</v>
      </c>
      <c r="M64" s="294">
        <f t="shared" ref="M64:M65" ca="1" si="1">ROUND(L64,1)</f>
        <v>1.8</v>
      </c>
      <c r="N64" s="2324" t="s">
        <v>1383</v>
      </c>
      <c r="Z64" s="1618"/>
      <c r="AI64" s="1556"/>
    </row>
    <row r="65" spans="1:35" ht="14.25" customHeight="1">
      <c r="A65" s="161" t="s">
        <v>326</v>
      </c>
      <c r="B65" s="162" t="s">
        <v>1384</v>
      </c>
      <c r="C65" s="2345"/>
      <c r="D65" s="162"/>
      <c r="E65" s="164"/>
      <c r="F65" s="1665"/>
      <c r="G65" s="1665"/>
      <c r="H65" s="151"/>
      <c r="I65" s="121"/>
      <c r="J65" s="3270"/>
      <c r="K65" s="1241" t="s">
        <v>1385</v>
      </c>
      <c r="L65" s="1241">
        <f ca="1">IF(M49&gt;1000,M49*0.1%,IF(AND(M49&gt;500,M49&lt;=1000),M49*0.5%,IF(AND(M49&gt;50,M49&lt;=500),M49*1%,IF(AND(M49&gt;1,M49&lt;=50),M49*1.5%))))</f>
        <v>2.27</v>
      </c>
      <c r="M65" s="294">
        <f t="shared" ca="1" si="1"/>
        <v>2.2999999999999998</v>
      </c>
      <c r="N65" s="2324" t="s">
        <v>1383</v>
      </c>
      <c r="Z65" s="1618"/>
      <c r="AI65" s="1556"/>
    </row>
    <row r="66" spans="1:35" ht="14.25" customHeight="1">
      <c r="A66" s="165" t="s">
        <v>327</v>
      </c>
      <c r="B66" s="166" t="s">
        <v>1386</v>
      </c>
      <c r="C66" s="2346"/>
      <c r="D66" s="166" t="s">
        <v>26</v>
      </c>
      <c r="E66" s="1246" t="s">
        <v>671</v>
      </c>
      <c r="F66" s="1665"/>
      <c r="G66" s="1665"/>
      <c r="H66" s="151"/>
      <c r="I66" s="121"/>
      <c r="J66" s="3270"/>
      <c r="K66" s="1241" t="s">
        <v>1387</v>
      </c>
      <c r="L66" s="1241">
        <f ca="1">M49*0.5%</f>
        <v>1.135</v>
      </c>
      <c r="M66" s="294">
        <f ca="1">IF(L66&gt;0.5,0.5,ROUND(L66,0))</f>
        <v>0.5</v>
      </c>
      <c r="N66" s="2324" t="s">
        <v>1388</v>
      </c>
      <c r="Z66" s="1618"/>
      <c r="AI66" s="1556"/>
    </row>
    <row r="67" spans="1:35" ht="14.25" customHeight="1">
      <c r="A67" s="165" t="s">
        <v>328</v>
      </c>
      <c r="B67" s="166" t="s">
        <v>1389</v>
      </c>
      <c r="C67" s="2347">
        <f ca="1">C63-C66</f>
        <v>216</v>
      </c>
      <c r="D67" s="162" t="s">
        <v>26</v>
      </c>
      <c r="E67" s="164"/>
      <c r="F67" s="1665"/>
      <c r="G67" s="1665"/>
      <c r="H67" s="151"/>
      <c r="I67" s="121"/>
      <c r="J67" s="3270"/>
      <c r="K67" s="1241" t="s">
        <v>1390</v>
      </c>
      <c r="L67" s="1241">
        <f ca="1">IF(M49&gt;=10000,(8.25+(M49-10000)*0.01%),IF(AND(M49&gt;=8000,M49&lt;10000),(7.85+(M49-8000)*0.02%),IF(AND(M49&gt;=5000,M49&lt;8000),(6.65+(M49-5000)*0.04%),IF(AND(M49&gt;=2000,M49&lt;5000),(4.25+(PM49-2000)*0.08%),IF(AND(M49&gt;=1000,M49&lt;2000),(2.75+(M49-1000)*0.15%),IF(AND(M49&gt;=100,M49&lt;1000),(0.5+(M49-100)*0.25%),IF(AND(M49&gt;0,M49&lt;100),M49*0.5%)))))))</f>
        <v>0.8175</v>
      </c>
      <c r="M67" s="294">
        <f ca="1">ROUND(L67*0.9,1)</f>
        <v>0.7</v>
      </c>
      <c r="N67" s="2323"/>
      <c r="Z67" s="1618"/>
      <c r="AI67" s="1556"/>
    </row>
    <row r="68" spans="1:35" ht="14.25" customHeight="1" thickBot="1">
      <c r="A68" s="168" t="s">
        <v>329</v>
      </c>
      <c r="B68" s="169" t="s">
        <v>1391</v>
      </c>
      <c r="C68" s="2348">
        <f ca="1">IF(C67&lt;=0,0,ROUND(C67*D68,0))</f>
        <v>12</v>
      </c>
      <c r="D68" s="2349">
        <f>'数据-取费表'!B41</f>
        <v>5.6000000000000001E-2</v>
      </c>
      <c r="E68" s="170"/>
      <c r="F68" s="1665"/>
      <c r="G68" s="1665"/>
      <c r="H68" s="151"/>
      <c r="I68" s="121"/>
      <c r="J68" s="3270"/>
      <c r="K68" s="1241" t="s">
        <v>1392</v>
      </c>
      <c r="L68" s="1241">
        <f ca="1">IF(M49&gt;10000,M49*0.5%,IF(AND(M49&gt;5000,M49&lt;=10000),M49*1%,IF(AND(M49&gt;1000,M49&lt;=5000),M49*2%,IF(AND(M49&gt;200,M49&lt;=1000),M49*3%,M49*5%))))</f>
        <v>6.81</v>
      </c>
      <c r="M68" s="294">
        <f ca="1">ROUND(L68,1)</f>
        <v>6.8</v>
      </c>
      <c r="N68" s="2323"/>
      <c r="Z68" s="1618"/>
      <c r="AI68" s="1556"/>
    </row>
    <row r="69" spans="1:35" ht="16.5" customHeight="1">
      <c r="A69" s="1667"/>
      <c r="B69" s="1668"/>
      <c r="C69" s="1669"/>
      <c r="D69" s="1670"/>
      <c r="E69" s="1671"/>
      <c r="F69" s="1461"/>
      <c r="G69" s="1461"/>
      <c r="H69" s="1462"/>
      <c r="I69" s="645"/>
      <c r="J69" s="3270"/>
      <c r="K69" s="1241" t="s">
        <v>1393</v>
      </c>
      <c r="L69" s="1241"/>
      <c r="M69" s="294">
        <f ca="1">ROUND(SUM(M63:M68),0)</f>
        <v>19</v>
      </c>
      <c r="N69" s="2325">
        <f ca="1">M69/M49</f>
        <v>8.3700440528634359E-2</v>
      </c>
      <c r="Z69" s="1618"/>
      <c r="AI69" s="1556"/>
    </row>
    <row r="70" spans="1:35" s="641" customFormat="1" ht="14.4" thickBot="1">
      <c r="A70" s="3314" t="s">
        <v>1394</v>
      </c>
      <c r="B70" s="3315"/>
      <c r="C70" s="3315"/>
      <c r="D70" s="3315"/>
      <c r="E70" s="3315"/>
      <c r="F70" s="3315"/>
      <c r="G70" s="3315"/>
      <c r="H70" s="3315"/>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3.8">
      <c r="A71" s="3306" t="s">
        <v>1375</v>
      </c>
      <c r="B71" s="3307"/>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3.8">
      <c r="A72" s="165" t="s">
        <v>330</v>
      </c>
      <c r="B72" s="166" t="s">
        <v>1395</v>
      </c>
      <c r="C72" s="2347">
        <f ca="1">ROUND(D45/(1+'数据-取费表'!C42),0)</f>
        <v>216</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3.8">
      <c r="A73" s="165" t="s">
        <v>327</v>
      </c>
      <c r="B73" s="155" t="s">
        <v>1396</v>
      </c>
      <c r="C73" s="2347">
        <f ca="1">C74+C78</f>
        <v>1</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28.8">
      <c r="A75" s="161" t="s">
        <v>331</v>
      </c>
      <c r="B75" s="162" t="s">
        <v>1398</v>
      </c>
      <c r="C75" s="2350"/>
      <c r="D75" s="162" t="s">
        <v>26</v>
      </c>
      <c r="E75" s="176" t="s">
        <v>1399</v>
      </c>
      <c r="F75" s="2351"/>
      <c r="G75" s="176" t="s">
        <v>1400</v>
      </c>
      <c r="H75" s="2352"/>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0</v>
      </c>
      <c r="D76" s="2353">
        <v>0.05</v>
      </c>
      <c r="E76" s="3311" t="s">
        <v>1402</v>
      </c>
      <c r="F76" s="3310"/>
      <c r="G76" s="3310"/>
      <c r="H76" s="3313"/>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55">
        <f ca="1">ROUND(D45*D78/(1+'数据-取费表'!C42),0)</f>
        <v>1</v>
      </c>
      <c r="D78" s="2356">
        <f>'数据-取费表'!B43</f>
        <v>6.000000000000001E-3</v>
      </c>
      <c r="E78" s="3303" t="s">
        <v>1406</v>
      </c>
      <c r="F78" s="3304"/>
      <c r="G78" s="3304"/>
      <c r="H78" s="3305"/>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3.8">
      <c r="A79" s="165" t="s">
        <v>334</v>
      </c>
      <c r="B79" s="166" t="s">
        <v>1407</v>
      </c>
      <c r="C79" s="2347">
        <f ca="1">C72-C73</f>
        <v>215</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7">
        <f ca="1">IF(C79&lt;=0,0,C79/C73)</f>
        <v>215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6" thickBot="1">
      <c r="A81" s="168" t="s">
        <v>336</v>
      </c>
      <c r="B81" s="169" t="s">
        <v>1409</v>
      </c>
      <c r="C81" s="2358">
        <f ca="1">ROUND(IF(C79&lt;=0,0,IF(C80&gt;=200%,C79*60%-C73*35%,IF(C80&gt;=100%,C79*50%-C73*15%,IF(C80&gt;=50%,C79*40%-C73*5%,IF(C80&lt;50%,C79*30%,0))))),0)</f>
        <v>129</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4.4" thickBot="1">
      <c r="A83" s="3314" t="s">
        <v>1410</v>
      </c>
      <c r="B83" s="3315"/>
      <c r="C83" s="3315"/>
      <c r="D83" s="3315"/>
      <c r="E83" s="3315"/>
      <c r="F83" s="3315"/>
      <c r="G83" s="3315"/>
      <c r="H83" s="3315"/>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3.8">
      <c r="A84" s="3306" t="s">
        <v>1375</v>
      </c>
      <c r="B84" s="3307"/>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3.8">
      <c r="A85" s="165" t="s">
        <v>330</v>
      </c>
      <c r="B85" s="166" t="s">
        <v>1395</v>
      </c>
      <c r="C85" s="2347">
        <f ca="1">ROUND(D45/(1+'数据-取费表'!C42),0)</f>
        <v>216</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3.8">
      <c r="A86" s="165" t="s">
        <v>327</v>
      </c>
      <c r="B86" s="155" t="s">
        <v>1396</v>
      </c>
      <c r="C86" s="2347">
        <f ca="1">IF(H88="仅含出让金",C87+C90+C91+C92+C93+C94,C87+C91+C92+C93+C94)</f>
        <v>1</v>
      </c>
      <c r="D86" s="2360"/>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3.8">
      <c r="A87" s="161" t="s">
        <v>325</v>
      </c>
      <c r="B87" s="162" t="s">
        <v>1411</v>
      </c>
      <c r="C87" s="2355">
        <f>C88+C89</f>
        <v>0</v>
      </c>
      <c r="D87" s="2356"/>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4">
      <c r="A88" s="161" t="s">
        <v>331</v>
      </c>
      <c r="B88" s="162" t="s">
        <v>1412</v>
      </c>
      <c r="C88" s="2361"/>
      <c r="D88" s="2356"/>
      <c r="E88" s="185" t="s">
        <v>1413</v>
      </c>
      <c r="F88" s="2143"/>
      <c r="G88" s="186" t="s">
        <v>1414</v>
      </c>
      <c r="H88" s="1679"/>
      <c r="I88" s="1676"/>
      <c r="J88" s="2301" t="s">
        <v>2283</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3.8">
      <c r="A89" s="161" t="s">
        <v>332</v>
      </c>
      <c r="B89" s="162" t="s">
        <v>1403</v>
      </c>
      <c r="C89" s="2355">
        <f>ROUND(C88*D89,0)</f>
        <v>0</v>
      </c>
      <c r="D89" s="2356">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4">
      <c r="A90" s="161" t="s">
        <v>326</v>
      </c>
      <c r="B90" s="162" t="s">
        <v>1416</v>
      </c>
      <c r="C90" s="2361"/>
      <c r="D90" s="2356"/>
      <c r="E90" s="185" t="str">
        <f>IF(H88="-","土地取得成本中已包含该笔费用"," ")</f>
        <v xml:space="preserve"> </v>
      </c>
      <c r="F90" s="2143"/>
      <c r="G90" s="3272" t="s">
        <v>2124</v>
      </c>
      <c r="H90" s="3273"/>
      <c r="I90" s="1676"/>
      <c r="J90" s="2301" t="s">
        <v>2284</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55">
        <f>IF(H91="——",成本法!C33,I91)</f>
        <v>0</v>
      </c>
      <c r="D91" s="2356"/>
      <c r="E91" s="3303" t="s">
        <v>1419</v>
      </c>
      <c r="F91" s="3304"/>
      <c r="G91" s="3304"/>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55">
        <f>ROUND((C87+C90+C91)*D92,0)</f>
        <v>0</v>
      </c>
      <c r="D92" s="2362"/>
      <c r="E92" s="3303" t="s">
        <v>1422</v>
      </c>
      <c r="F92" s="3304"/>
      <c r="G92" s="3304"/>
      <c r="H92" s="3305"/>
      <c r="I92" s="1676"/>
      <c r="J92" s="2302" t="s">
        <v>2285</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55">
        <f ca="1">ROUND(D45*D93/(1+'数据-取费表'!C42),0)</f>
        <v>1</v>
      </c>
      <c r="D93" s="2356">
        <f>'数据-取费表'!B43</f>
        <v>6.000000000000001E-3</v>
      </c>
      <c r="E93" s="3303" t="s">
        <v>1406</v>
      </c>
      <c r="F93" s="3304"/>
      <c r="G93" s="3304"/>
      <c r="H93" s="3305"/>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61">
        <f>ROUND((C87+C90+C91)*D94,0)</f>
        <v>0</v>
      </c>
      <c r="D94" s="2356">
        <v>0.2</v>
      </c>
      <c r="E94" s="3348" t="s">
        <v>1426</v>
      </c>
      <c r="F94" s="3349"/>
      <c r="G94" s="3349"/>
      <c r="H94" s="3350"/>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3.8">
      <c r="A95" s="165" t="s">
        <v>334</v>
      </c>
      <c r="B95" s="166" t="s">
        <v>1407</v>
      </c>
      <c r="C95" s="2347">
        <f ca="1">ROUND(C85-C86,0)</f>
        <v>215</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7">
        <f ca="1">IF(C95&lt;=0,0,C95/C86)</f>
        <v>215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6" thickBot="1">
      <c r="A97" s="168" t="s">
        <v>336</v>
      </c>
      <c r="B97" s="169" t="s">
        <v>1409</v>
      </c>
      <c r="C97" s="2358">
        <f ca="1">ROUND(IF(C95&lt;=0,0,IF(C96&gt;=200%,C95*60%-C86*35%,IF(C96&gt;=100%,C95*50%-C86*15%,IF(C96&gt;=50%,C95*40%-C86*5%,IF(C96&lt;50%,C95*30%,0))))),0)</f>
        <v>129</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53" t="s">
        <v>1428</v>
      </c>
      <c r="B100" s="3254"/>
      <c r="C100" s="3254"/>
      <c r="D100" s="3288"/>
      <c r="E100" s="3254" t="s">
        <v>1429</v>
      </c>
      <c r="F100" s="3254"/>
      <c r="G100" s="3254"/>
      <c r="H100" s="3288"/>
      <c r="I100" s="121"/>
    </row>
    <row r="101" spans="1:35" ht="18.75" customHeight="1">
      <c r="A101" s="3296" t="s">
        <v>1430</v>
      </c>
      <c r="B101" s="3297"/>
      <c r="C101" s="2364" t="str">
        <f>C4</f>
        <v>比较法-住宅</v>
      </c>
      <c r="D101" s="2365" t="str">
        <f>D4</f>
        <v>收益法 (元)</v>
      </c>
      <c r="E101" s="3266" t="s">
        <v>1431</v>
      </c>
      <c r="F101" s="3267"/>
      <c r="G101" s="1682" t="s">
        <v>1432</v>
      </c>
      <c r="H101" s="2374">
        <f ca="1">H118</f>
        <v>227</v>
      </c>
      <c r="I101" s="121"/>
    </row>
    <row r="102" spans="1:35" ht="18.75" customHeight="1">
      <c r="A102" s="3298" t="s">
        <v>1433</v>
      </c>
      <c r="B102" s="2363" t="s">
        <v>1432</v>
      </c>
      <c r="C102" s="2364">
        <f ca="1">IF(D32="楼面单价",ROUND(C19,0),C19)</f>
        <v>266</v>
      </c>
      <c r="D102" s="2365">
        <f ca="1">IF(D32="楼面单价",ROUND(D19,0),D19)</f>
        <v>73</v>
      </c>
      <c r="E102" s="3266"/>
      <c r="F102" s="3267"/>
      <c r="G102" s="1682" t="s">
        <v>1434</v>
      </c>
      <c r="H102" s="2334">
        <f ca="1">I118</f>
        <v>18633</v>
      </c>
      <c r="I102" s="121"/>
    </row>
    <row r="103" spans="1:35" ht="42.75" customHeight="1">
      <c r="A103" s="3298"/>
      <c r="B103" s="2363" t="s">
        <v>1434</v>
      </c>
      <c r="C103" s="2366">
        <f ca="1">C20</f>
        <v>21786</v>
      </c>
      <c r="D103" s="2367">
        <f ca="1">D20</f>
        <v>6022</v>
      </c>
      <c r="E103" s="3259" t="s">
        <v>1435</v>
      </c>
      <c r="F103" s="3260"/>
      <c r="G103" s="1683" t="s">
        <v>1436</v>
      </c>
      <c r="H103" s="2374">
        <f>IF(D36="正常操作",H104+H105+H106,H105+H106)</f>
        <v>0</v>
      </c>
      <c r="I103" s="121"/>
    </row>
    <row r="104" spans="1:35" ht="18.75" customHeight="1">
      <c r="A104" s="3298" t="s">
        <v>1437</v>
      </c>
      <c r="B104" s="2368" t="s">
        <v>1432</v>
      </c>
      <c r="C104" s="2369">
        <f ca="1">H118</f>
        <v>227</v>
      </c>
      <c r="D104" s="2370"/>
      <c r="E104" s="1550" t="s">
        <v>1438</v>
      </c>
      <c r="F104" s="1543"/>
      <c r="G104" s="1683" t="s">
        <v>1436</v>
      </c>
      <c r="H104" s="2375">
        <f>IF(D36="同一抵押权人同一抵押物续贷",C36&amp;"（续贷，未扣减，详见特别提示）",C36)</f>
        <v>0</v>
      </c>
      <c r="I104" s="121"/>
    </row>
    <row r="105" spans="1:35" ht="18.75" customHeight="1" thickBot="1">
      <c r="A105" s="3308"/>
      <c r="B105" s="2371" t="s">
        <v>1434</v>
      </c>
      <c r="C105" s="2372">
        <f ca="1">I118</f>
        <v>18633</v>
      </c>
      <c r="D105" s="2373"/>
      <c r="E105" s="1550" t="s">
        <v>1439</v>
      </c>
      <c r="F105" s="1543"/>
      <c r="G105" s="1683" t="s">
        <v>1436</v>
      </c>
      <c r="H105" s="2376">
        <f>C37</f>
        <v>0</v>
      </c>
      <c r="I105" s="121"/>
    </row>
    <row r="106" spans="1:35" ht="18.75" customHeight="1">
      <c r="A106" s="645" t="s">
        <v>1440</v>
      </c>
      <c r="B106" s="645"/>
      <c r="C106" s="645"/>
      <c r="D106" s="645"/>
      <c r="E106" s="1684" t="s">
        <v>1441</v>
      </c>
      <c r="F106" s="1543"/>
      <c r="G106" s="1683" t="s">
        <v>1436</v>
      </c>
      <c r="H106" s="2376">
        <f>C38</f>
        <v>0</v>
      </c>
      <c r="I106" s="121"/>
    </row>
    <row r="107" spans="1:35" ht="18.75" customHeight="1">
      <c r="A107" s="121"/>
      <c r="B107" s="121"/>
      <c r="C107" s="121"/>
      <c r="D107" s="121"/>
      <c r="E107" s="3299" t="str">
        <f>IF(项目基本情况!E8="已注销","——","3.房地产抵押价值")</f>
        <v>3.房地产抵押价值</v>
      </c>
      <c r="F107" s="3267"/>
      <c r="G107" s="1682" t="s">
        <v>1432</v>
      </c>
      <c r="H107" s="2374">
        <f ca="1">IF(E107="——","——",H101-H103)</f>
        <v>227</v>
      </c>
      <c r="I107" s="121"/>
    </row>
    <row r="108" spans="1:35" ht="18.75" customHeight="1">
      <c r="A108" s="121"/>
      <c r="B108" s="121"/>
      <c r="C108" s="121"/>
      <c r="D108" s="121"/>
      <c r="E108" s="3299"/>
      <c r="F108" s="3267"/>
      <c r="G108" s="1682" t="s">
        <v>1434</v>
      </c>
      <c r="H108" s="2334">
        <f ca="1">IF(H107=H101,H102,ROUND(H107*10000/'数据-汇总表'!E3,0))</f>
        <v>18633</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267"/>
      <c r="G109" s="1682" t="s">
        <v>1432</v>
      </c>
      <c r="H109" s="2377" t="str">
        <f>IF(E109="——","——",H101-H105-H106)</f>
        <v>——</v>
      </c>
      <c r="I109" s="121"/>
    </row>
    <row r="110" spans="1:35" ht="18.75" customHeight="1">
      <c r="A110" s="121"/>
      <c r="B110" s="121"/>
      <c r="C110" s="121"/>
      <c r="D110" s="121"/>
      <c r="E110" s="3299"/>
      <c r="F110" s="3267"/>
      <c r="G110" s="1682" t="s">
        <v>1434</v>
      </c>
      <c r="H110" s="2334" t="str">
        <f>IF(H109="——","——",ROUND(H109*10000/'数据-汇总表'!E3,0))</f>
        <v>——</v>
      </c>
      <c r="I110" s="121"/>
    </row>
    <row r="111" spans="1:35" ht="18.75" customHeight="1">
      <c r="A111" s="121"/>
      <c r="B111" s="121"/>
      <c r="C111" s="121"/>
      <c r="D111" s="121"/>
      <c r="E111" s="3300" t="str">
        <f>IF(项目基本情况!E9="抵押净值",IF(OR(项目基本情况!E8="已注销",项目基本情况!E8="房地产抵押价值"),"4.抵押净值","5.抵押净值"),"——")</f>
        <v>——</v>
      </c>
      <c r="F111" s="3286"/>
      <c r="G111" s="1682" t="s">
        <v>1432</v>
      </c>
      <c r="H111" s="2374" t="str">
        <f>IF(E111="——","——",N59)</f>
        <v>——</v>
      </c>
      <c r="I111" s="121"/>
    </row>
    <row r="112" spans="1:35" ht="18.75" customHeight="1" thickBot="1">
      <c r="A112" s="121"/>
      <c r="B112" s="121"/>
      <c r="C112" s="121"/>
      <c r="D112" s="121"/>
      <c r="E112" s="3301"/>
      <c r="F112" s="3302"/>
      <c r="G112" s="1685" t="s">
        <v>1434</v>
      </c>
      <c r="H112" s="2378" t="str">
        <f>IF(E111="——","——",N61)</f>
        <v>——</v>
      </c>
      <c r="I112" s="121"/>
    </row>
    <row r="113" spans="1:27" ht="18.75" customHeight="1">
      <c r="A113" s="121"/>
      <c r="B113" s="121"/>
      <c r="C113" s="121"/>
      <c r="D113" s="121"/>
      <c r="E113" s="3309" t="s">
        <v>1440</v>
      </c>
      <c r="F113" s="3309"/>
      <c r="G113" s="3309"/>
      <c r="H113" s="3309"/>
      <c r="I113" s="121"/>
    </row>
    <row r="114" spans="1:27" ht="3.75" customHeight="1">
      <c r="A114" s="645"/>
      <c r="B114" s="645"/>
      <c r="C114" s="645"/>
      <c r="D114" s="645"/>
      <c r="E114" s="1666"/>
      <c r="F114" s="1666"/>
      <c r="G114" s="1666"/>
      <c r="H114" s="1666"/>
      <c r="I114" s="645"/>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45" t="s">
        <v>1449</v>
      </c>
      <c r="E117" s="2145" t="s">
        <v>1450</v>
      </c>
      <c r="F117" s="2145" t="s">
        <v>1449</v>
      </c>
      <c r="G117" s="2145" t="s">
        <v>1451</v>
      </c>
      <c r="H117" s="2145" t="s">
        <v>1449</v>
      </c>
      <c r="I117" s="2145" t="s">
        <v>1451</v>
      </c>
    </row>
    <row r="118" spans="1:27" ht="24.75" customHeight="1">
      <c r="A118" s="2379" t="str">
        <f>项目基本情况!S2</f>
        <v>天津市南开区卫津南路西侧柏悦花园房地产</v>
      </c>
      <c r="B118" s="2145">
        <f>M18</f>
        <v>121.97</v>
      </c>
      <c r="C118" s="2145">
        <f>M19</f>
        <v>0</v>
      </c>
      <c r="D118" s="2145">
        <f>ROUND(IF(D32="总价",C34,E118*B118/10000),0)</f>
        <v>0</v>
      </c>
      <c r="E118" s="2145">
        <f>ROUND(IF(C33="自定义",IF(D32="楼面单价",C34,D118*10000/B118),I118-G118),0)</f>
        <v>0</v>
      </c>
      <c r="F118" s="2145">
        <f>ROUND(IF(D32="总价",C35,G118*B118/10000),0)</f>
        <v>0</v>
      </c>
      <c r="G118" s="2145">
        <f>ROUND(IF(D32="楼面单价",C35,F118*10000/B118),0)</f>
        <v>0</v>
      </c>
      <c r="H118" s="2145">
        <f ca="1">ROUND(IF(D32="总价",C32,I118*B118/10000),0)</f>
        <v>227</v>
      </c>
      <c r="I118" s="2145">
        <f ca="1">ROUND(IF(D32="楼面单价",C32,H118*10000/B118),0)</f>
        <v>18633</v>
      </c>
    </row>
    <row r="119" spans="1:27" ht="18.75" customHeight="1">
      <c r="A119" s="3274" t="s">
        <v>1452</v>
      </c>
      <c r="B119" s="3274"/>
      <c r="C119" s="3274"/>
      <c r="D119" s="3280" t="str">
        <f>NUMBERSTRING(INT(D118*10000),2)&amp;"元整"</f>
        <v>零元整</v>
      </c>
      <c r="E119" s="3281"/>
      <c r="F119" s="3280" t="str">
        <f>NUMBERSTRING(INT(F118*10000),2)&amp;"元整"</f>
        <v>零元整</v>
      </c>
      <c r="G119" s="3281"/>
      <c r="H119" s="3280" t="str">
        <f ca="1">NUMBERSTRING(INT(H118*10000),2)&amp;"元整"</f>
        <v>贰佰贰拾柒万元整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280" t="s">
        <v>1452</v>
      </c>
      <c r="B121" s="3282"/>
      <c r="C121" s="3281"/>
      <c r="D121" s="3280" t="str">
        <f>IF(D120=0,"零元整",NUMBERSTRING(INT(D120*10000),2)&amp;"元整")</f>
        <v>零元整</v>
      </c>
      <c r="E121" s="3282"/>
      <c r="F121" s="3282"/>
      <c r="G121" s="3282"/>
      <c r="H121" s="3282"/>
      <c r="I121" s="3281"/>
      <c r="AA121" s="683"/>
    </row>
    <row r="122" spans="1:27" ht="18.75" customHeight="1">
      <c r="A122" s="3286" t="str">
        <f>IF(项目基本情况!B9="房地产市场价值","",MID(E107,3,LEN(E107)-2))</f>
        <v>房地产抵押价值</v>
      </c>
      <c r="B122" s="3286"/>
      <c r="C122" s="3286"/>
      <c r="D122" s="3275">
        <f ca="1">H107</f>
        <v>227</v>
      </c>
      <c r="E122" s="3276"/>
      <c r="F122" s="3276"/>
      <c r="G122" s="3276"/>
      <c r="H122" s="3276"/>
      <c r="I122" s="3277"/>
      <c r="AA122" s="683"/>
    </row>
    <row r="123" spans="1:27" ht="18.75" customHeight="1">
      <c r="A123" s="3274" t="s">
        <v>1452</v>
      </c>
      <c r="B123" s="3274"/>
      <c r="C123" s="3274"/>
      <c r="D123" s="3280" t="str">
        <f ca="1">NUMBERSTRING(INT(D122*10000),2)&amp;"元整"</f>
        <v>贰佰贰拾柒万元整</v>
      </c>
      <c r="E123" s="3282"/>
      <c r="F123" s="3282"/>
      <c r="G123" s="3282"/>
      <c r="H123" s="3282"/>
      <c r="I123" s="3281"/>
      <c r="AA123" s="683"/>
    </row>
    <row r="124" spans="1:27" ht="18.75" customHeight="1">
      <c r="A124" s="3286" t="str">
        <f>IF(项目基本情况!B9="房地产市场价值","",MID(E109,3,LEN(E109)-2))</f>
        <v/>
      </c>
      <c r="B124" s="3286"/>
      <c r="C124" s="3286"/>
      <c r="D124" s="3275" t="str">
        <f>H109</f>
        <v>——</v>
      </c>
      <c r="E124" s="3276"/>
      <c r="F124" s="3276"/>
      <c r="G124" s="3276"/>
      <c r="H124" s="3276"/>
      <c r="I124" s="3277"/>
      <c r="AA124" s="683"/>
    </row>
    <row r="125" spans="1:27" ht="18.75" customHeight="1">
      <c r="A125" s="3274" t="s">
        <v>1452</v>
      </c>
      <c r="B125" s="3274"/>
      <c r="C125" s="3274"/>
      <c r="D125" s="3280" t="e">
        <f>NUMBERSTRING(INT(D124*10000),2)&amp;"元整"</f>
        <v>#VALUE!</v>
      </c>
      <c r="E125" s="3282"/>
      <c r="F125" s="3282"/>
      <c r="G125" s="3282"/>
      <c r="H125" s="3282"/>
      <c r="I125" s="3281"/>
      <c r="AA125" s="683"/>
    </row>
    <row r="126" spans="1:27" ht="18.75" customHeight="1">
      <c r="A126" s="3286" t="str">
        <f>IF(项目基本情况!B9="房地产市场价值","",MID(E111,3,LEN(E111)-2))</f>
        <v/>
      </c>
      <c r="B126" s="3286"/>
      <c r="C126" s="3286"/>
      <c r="D126" s="3275" t="str">
        <f>H111</f>
        <v>——</v>
      </c>
      <c r="E126" s="3276"/>
      <c r="F126" s="3276"/>
      <c r="G126" s="3276"/>
      <c r="H126" s="3276"/>
      <c r="I126" s="3277"/>
      <c r="AA126" s="683"/>
    </row>
    <row r="127" spans="1:27" ht="18.75" customHeight="1">
      <c r="A127" s="3274" t="s">
        <v>1452</v>
      </c>
      <c r="B127" s="3274"/>
      <c r="C127" s="3274"/>
      <c r="D127" s="3280" t="e">
        <f>NUMBERSTRING(INT(D126*10000),2)&amp;"元整"</f>
        <v>#VALUE!</v>
      </c>
      <c r="E127" s="3282"/>
      <c r="F127" s="3282"/>
      <c r="G127" s="3282"/>
      <c r="H127" s="3282"/>
      <c r="I127" s="3281"/>
      <c r="AA127" s="683"/>
    </row>
    <row r="128" spans="1:27" ht="21.75" customHeight="1">
      <c r="A128" s="3283" t="s">
        <v>1453</v>
      </c>
      <c r="B128" s="3283"/>
      <c r="C128" s="3283"/>
      <c r="D128" s="3283"/>
      <c r="E128" s="3283"/>
      <c r="F128" s="3283"/>
      <c r="G128" s="3283"/>
      <c r="H128" s="3283"/>
      <c r="I128" s="3283"/>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69"/>
      <c r="C1" s="190"/>
      <c r="D1" s="190"/>
      <c r="E1" s="190"/>
      <c r="F1" s="190"/>
      <c r="G1" s="1059">
        <f>MATCH(B1,'数据-取费表'!A6:A16,0)+5</f>
        <v>7</v>
      </c>
    </row>
    <row r="2" spans="1:9" s="192" customFormat="1" ht="18" customHeight="1">
      <c r="A2" s="193" t="s">
        <v>1462</v>
      </c>
      <c r="B2" s="194">
        <f ca="1">IF(D2="——",C52,C52-E2)</f>
        <v>62</v>
      </c>
      <c r="C2" s="191" t="s">
        <v>1463</v>
      </c>
      <c r="D2" s="1706" t="s">
        <v>43</v>
      </c>
      <c r="E2" s="1086"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5083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row>
    <row r="9" spans="1:9" s="206" customFormat="1" ht="13.5" customHeight="1">
      <c r="A9" s="732" t="s">
        <v>355</v>
      </c>
      <c r="B9" s="216" t="s">
        <v>1478</v>
      </c>
      <c r="C9" s="217">
        <f ca="1">ROUND(D9*E9/10000,0)</f>
        <v>4</v>
      </c>
      <c r="D9" s="794">
        <f ca="1">IF(B1="",'数据-汇总表'!E5,IF(INDIRECT("'数据-取费表'!c"&amp;$G$1)="住宅",INDIRECT("'数据-取费表'!k"&amp;$G$1),0))</f>
        <v>121.97</v>
      </c>
      <c r="E9" s="217">
        <f>'数据-取费表'!B27</f>
        <v>290</v>
      </c>
      <c r="F9" s="213"/>
      <c r="G9" s="1710"/>
      <c r="H9" s="1067"/>
      <c r="I9" s="1711"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320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121.97</v>
      </c>
      <c r="E19" s="203">
        <f>'数据-取费表'!B31</f>
        <v>200</v>
      </c>
      <c r="F19" s="223"/>
      <c r="G19" s="1709"/>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39">
        <f ca="1">ROUND(IF('数据-取费表'!B22&lt;=1,C5*F22*'数据-取费表'!B23,C5*(POWER((1+F22),'数据-取费表'!B23)-1)),0)</f>
        <v>0</v>
      </c>
      <c r="D23" s="230"/>
      <c r="E23" s="230"/>
      <c r="F23" s="231"/>
      <c r="G23" s="232" t="s">
        <v>1504</v>
      </c>
    </row>
    <row r="24" spans="1:7" s="206" customFormat="1" ht="13.5" customHeight="1">
      <c r="A24" s="733"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39">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3" t="s">
        <v>353</v>
      </c>
      <c r="B37" s="207" t="s">
        <v>1531</v>
      </c>
      <c r="C37" s="241">
        <f ca="1">ROUND(E37*D37*F34/10000,0)</f>
        <v>2</v>
      </c>
      <c r="D37" s="209">
        <f ca="1">D19</f>
        <v>121.97</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53" t="s">
        <v>1544</v>
      </c>
    </row>
    <row r="43" spans="1:7" ht="13.5" customHeight="1">
      <c r="A43" s="733" t="s">
        <v>347</v>
      </c>
      <c r="B43" s="207" t="s">
        <v>1545</v>
      </c>
      <c r="C43" s="230">
        <f ca="1">ROUND(IF('数据-取费表'!B22&lt;=1,C39*F22*'数据-取费表'!B21/2,C39*(POWER((1+F22),'数据-取费表'!B21/2)-1)),0)</f>
        <v>0</v>
      </c>
      <c r="D43" s="230"/>
      <c r="E43" s="230"/>
      <c r="F43" s="231"/>
      <c r="G43" s="3354"/>
    </row>
    <row r="44" spans="1:7" ht="13.5" customHeight="1">
      <c r="A44" s="733" t="s">
        <v>348</v>
      </c>
      <c r="B44" s="207" t="s">
        <v>1546</v>
      </c>
      <c r="C44" s="230">
        <f ca="1">ROUND(IF('数据-取费表'!B22&lt;=1,C40*F22*'数据-取费表'!B21/2,C40*(POWER((1+F22),'数据-取费表'!B21/2)-1)),4)</f>
        <v>6.9999999999999999E-4</v>
      </c>
      <c r="D44" s="230"/>
      <c r="E44" s="230"/>
      <c r="F44" s="231"/>
      <c r="G44" s="3355"/>
    </row>
    <row r="45" spans="1:7" s="206" customFormat="1" ht="13.5" customHeight="1">
      <c r="A45" s="247" t="s">
        <v>1547</v>
      </c>
      <c r="B45" s="236" t="s">
        <v>1513</v>
      </c>
      <c r="C45" s="237">
        <f ca="1">C46</f>
        <v>8</v>
      </c>
      <c r="D45" s="227">
        <f ca="1">C47</f>
        <v>3.0000000000000001E-3</v>
      </c>
      <c r="E45" s="228" t="s">
        <v>1539</v>
      </c>
      <c r="F45" s="238">
        <f ca="1">F27</f>
        <v>0.15</v>
      </c>
      <c r="G45" s="239" t="s">
        <v>1548</v>
      </c>
    </row>
    <row r="46" spans="1:7" s="206" customFormat="1" ht="13.5" customHeight="1">
      <c r="A46" s="733" t="s">
        <v>346</v>
      </c>
      <c r="B46" s="240" t="s">
        <v>1549</v>
      </c>
      <c r="C46" s="241">
        <f ca="1">ROUND((C33+C39)*F27,0)</f>
        <v>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65</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60</v>
      </c>
      <c r="D51" s="224"/>
      <c r="E51" s="224"/>
      <c r="F51" s="256"/>
      <c r="G51" s="226" t="s">
        <v>1560</v>
      </c>
    </row>
    <row r="52" spans="1:7" s="200" customFormat="1" ht="16.8" thickBot="1">
      <c r="A52" s="257" t="s">
        <v>1561</v>
      </c>
      <c r="B52" s="258"/>
      <c r="C52" s="259">
        <f ca="1">C31+C51</f>
        <v>62</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7"/>
      <c r="D1" s="1106"/>
      <c r="E1" s="2560"/>
      <c r="F1" s="2560"/>
      <c r="G1" s="2441"/>
      <c r="H1" s="2560"/>
      <c r="I1" s="2560"/>
      <c r="J1" s="2560"/>
      <c r="K1" s="2561">
        <f>MATCH(C1,'数据-取费表'!A6:A16,0)+5</f>
        <v>7</v>
      </c>
    </row>
    <row r="2" spans="1:33" ht="18" customHeight="1">
      <c r="A2" s="193" t="s">
        <v>1462</v>
      </c>
      <c r="B2" s="196">
        <f ca="1">C32</f>
        <v>-5</v>
      </c>
      <c r="C2" s="268" t="s">
        <v>1595</v>
      </c>
      <c r="D2" s="268"/>
      <c r="E2" s="2560"/>
      <c r="F2" s="2560"/>
      <c r="G2" s="2560"/>
      <c r="H2" s="2560"/>
      <c r="I2" s="2560"/>
      <c r="J2" s="2560"/>
      <c r="K2" s="2560"/>
    </row>
    <row r="3" spans="1:33" ht="18" customHeight="1" thickBot="1">
      <c r="A3" s="195" t="s">
        <v>1464</v>
      </c>
      <c r="B3" s="196">
        <f ca="1">ROUND(B2*10000/IF(C1="",'数据-汇总表'!E3,INDIRECT("'数据-取费表'!K"&amp;$K$1)),0)</f>
        <v>-410</v>
      </c>
      <c r="C3" s="268" t="s">
        <v>1596</v>
      </c>
      <c r="D3" s="268"/>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121.97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121.97</v>
      </c>
      <c r="E17" s="21">
        <f>'数据-取费表'!B32</f>
        <v>0</v>
      </c>
      <c r="F17" s="757"/>
      <c r="G17" s="123"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5"/>
      <c r="H18" s="1103"/>
      <c r="I18" s="1716" t="s">
        <v>1625</v>
      </c>
      <c r="J18" s="758"/>
      <c r="K18" s="759"/>
    </row>
    <row r="19" spans="1:33" s="754" customFormat="1" ht="13.5" customHeight="1">
      <c r="A19" s="751" t="s">
        <v>360</v>
      </c>
      <c r="B19" s="752" t="s">
        <v>1626</v>
      </c>
      <c r="C19" s="21">
        <f ca="1">ROUND(D19*E19/10000,0)</f>
        <v>4</v>
      </c>
      <c r="D19" s="795">
        <f ca="1">IF(C1="",'数据-汇总表'!E5,IF(INDIRECT("'数据-取费表'!c"&amp;$K$1)="住宅",INDIRECT("'数据-取费表'!k"&amp;$K$1),0))</f>
        <v>121.97</v>
      </c>
      <c r="E19" s="21">
        <f>'数据-取费表'!B27</f>
        <v>290</v>
      </c>
      <c r="F19" s="755"/>
      <c r="G19" s="12"/>
      <c r="H19" s="1105"/>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320</v>
      </c>
      <c r="F20" s="755"/>
      <c r="G20" s="12"/>
      <c r="H20" s="760"/>
      <c r="I20" s="760"/>
      <c r="J20" s="760"/>
      <c r="K20" s="761"/>
    </row>
    <row r="21" spans="1:33" s="754" customFormat="1" ht="13.5" customHeight="1">
      <c r="A21" s="743" t="s">
        <v>357</v>
      </c>
      <c r="B21" s="764" t="s">
        <v>1628</v>
      </c>
      <c r="C21" s="765">
        <f ca="1">C16+C17+C18</f>
        <v>4</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0">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1">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877</v>
      </c>
      <c r="B1" s="662"/>
      <c r="C1" s="1282"/>
      <c r="D1" s="1266" t="s">
        <v>43</v>
      </c>
      <c r="E1" s="1267" t="s">
        <v>678</v>
      </c>
      <c r="F1" s="996">
        <f ca="1">J53</f>
        <v>0</v>
      </c>
      <c r="G1" s="1281">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4">
        <f ca="1">C6+C10+C12</f>
        <v>0</v>
      </c>
      <c r="D5" s="1268" t="s">
        <v>693</v>
      </c>
      <c r="E5" s="1005"/>
      <c r="F5" s="1006"/>
      <c r="G5" s="1287"/>
      <c r="H5" s="291">
        <v>1</v>
      </c>
      <c r="I5" s="292" t="s">
        <v>692</v>
      </c>
      <c r="J5" s="1004">
        <f ca="1">J6+J10+J12</f>
        <v>0</v>
      </c>
      <c r="K5" s="1268" t="s">
        <v>693</v>
      </c>
      <c r="L5" s="1005"/>
      <c r="M5" s="1006"/>
    </row>
    <row r="6" spans="1:37" ht="18" customHeight="1">
      <c r="A6" s="1003" t="s">
        <v>398</v>
      </c>
      <c r="B6" s="3358" t="s">
        <v>694</v>
      </c>
      <c r="C6" s="1008">
        <f ca="1">ROUND(F6*F8*F7*(1-F9)/10000,0)</f>
        <v>0</v>
      </c>
      <c r="D6" s="147" t="s">
        <v>2104</v>
      </c>
      <c r="E6" s="294" t="s">
        <v>696</v>
      </c>
      <c r="F6" s="295">
        <f ca="1">INDIRECT("'数据-取费表'!u"&amp;$G$1)</f>
        <v>0</v>
      </c>
      <c r="G6" s="1287"/>
      <c r="H6" s="1003" t="s">
        <v>398</v>
      </c>
      <c r="I6" s="3358" t="s">
        <v>694</v>
      </c>
      <c r="J6" s="293">
        <f ca="1">ROUND(M6*M8*M7*(1-M9)/10000,0)</f>
        <v>0</v>
      </c>
      <c r="K6" s="147" t="s">
        <v>2103</v>
      </c>
      <c r="L6" s="294" t="s">
        <v>696</v>
      </c>
      <c r="M6" s="295">
        <f ca="1">INDIRECT("'数据-取费表'!z"&amp;$G$1)</f>
        <v>0</v>
      </c>
    </row>
    <row r="7" spans="1:37" ht="18" customHeight="1">
      <c r="A7" s="1007"/>
      <c r="B7" s="3359"/>
      <c r="C7" s="1009"/>
      <c r="D7" s="299"/>
      <c r="E7" s="1010" t="s">
        <v>697</v>
      </c>
      <c r="F7" s="295">
        <f ca="1">IF(INDIRECT("'数据-取费表'!ah"&amp;$G$1)="",INDIRECT("'数据-取费表'!k"&amp;$G$1),INDIRECT("'数据-取费表'!ah"&amp;$G$1))</f>
        <v>0</v>
      </c>
      <c r="G7" s="1287"/>
      <c r="H7" s="296"/>
      <c r="I7" s="3359"/>
      <c r="J7" s="298"/>
      <c r="K7" s="299"/>
      <c r="L7" s="294" t="s">
        <v>697</v>
      </c>
      <c r="M7" s="295">
        <f ca="1">F7</f>
        <v>0</v>
      </c>
    </row>
    <row r="8" spans="1:37" ht="18" customHeight="1">
      <c r="A8" s="296"/>
      <c r="B8" s="3359"/>
      <c r="C8" s="298"/>
      <c r="D8" s="299"/>
      <c r="E8" s="294" t="s">
        <v>698</v>
      </c>
      <c r="F8" s="295">
        <f ca="1">INDIRECT("'数据-取费表'!ai"&amp;$G$1)</f>
        <v>0</v>
      </c>
      <c r="G8" s="1287"/>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87"/>
      <c r="H9" s="296"/>
      <c r="I9" s="3360"/>
      <c r="J9" s="298"/>
      <c r="K9" s="299"/>
      <c r="L9" s="305" t="s">
        <v>699</v>
      </c>
      <c r="M9" s="306">
        <f ca="1">INDIRECT("'数据-取费表'!ab"&amp;$G$1)</f>
        <v>0</v>
      </c>
    </row>
    <row r="10" spans="1:37" ht="18" customHeight="1">
      <c r="A10" s="1003" t="s">
        <v>402</v>
      </c>
      <c r="B10" s="1269" t="s">
        <v>700</v>
      </c>
      <c r="C10" s="308">
        <f ca="1">ROUND(IF(F10="押一",C6/12*F11,IF(F10="押二",C6/12*2*F11,IF(F10="押三",C6/12*3*F11,C11*F11))),0)</f>
        <v>0</v>
      </c>
      <c r="D10" s="150" t="s">
        <v>2112</v>
      </c>
      <c r="E10" s="305" t="s">
        <v>701</v>
      </c>
      <c r="F10" s="1050"/>
      <c r="G10" s="1287"/>
      <c r="H10" s="1003" t="s">
        <v>402</v>
      </c>
      <c r="I10" s="1269" t="s">
        <v>700</v>
      </c>
      <c r="J10" s="293">
        <f ca="1">ROUND(IF(M10="押一",J6/12*M11,IF(M10="押二",J6/12*2*M11,IF(M10="押三",J6/12*3*M11,J11*M11))),0)</f>
        <v>0</v>
      </c>
      <c r="K10" s="150" t="s">
        <v>2111</v>
      </c>
      <c r="L10" s="305" t="s">
        <v>701</v>
      </c>
      <c r="M10" s="1050"/>
    </row>
    <row r="11" spans="1:37" ht="18" customHeight="1">
      <c r="A11" s="300"/>
      <c r="B11" s="1270" t="s">
        <v>679</v>
      </c>
      <c r="C11" s="903"/>
      <c r="D11" s="1271"/>
      <c r="E11" s="305" t="s">
        <v>702</v>
      </c>
      <c r="F11" s="306">
        <f ca="1">'数据-取费表'!B39</f>
        <v>1.4999999999999999E-2</v>
      </c>
      <c r="G11" s="1287"/>
      <c r="H11" s="1011"/>
      <c r="I11" s="1270" t="s">
        <v>679</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7"/>
      <c r="H13" s="1013">
        <v>2</v>
      </c>
      <c r="I13" s="1014" t="s">
        <v>704</v>
      </c>
      <c r="J13" s="1002">
        <f ca="1">ROUND(J14*J15,0)</f>
        <v>0</v>
      </c>
      <c r="K13" s="1021" t="s">
        <v>705</v>
      </c>
      <c r="L13" s="1294"/>
      <c r="M13" s="1295"/>
    </row>
    <row r="14" spans="1:37" ht="18" customHeight="1">
      <c r="A14" s="926" t="s">
        <v>397</v>
      </c>
      <c r="B14" s="294" t="s">
        <v>707</v>
      </c>
      <c r="C14" s="310">
        <f ca="1">INDIRECT("'数据-取费表'!m"&amp;$G$1)+INDIRECT("'数据-取费表'!t"&amp;$G$1)</f>
        <v>0</v>
      </c>
      <c r="D14" s="1252" t="s">
        <v>708</v>
      </c>
      <c r="E14" s="1250"/>
      <c r="F14" s="311"/>
      <c r="G14" s="1287"/>
      <c r="H14" s="926" t="s">
        <v>398</v>
      </c>
      <c r="I14" s="294" t="s">
        <v>709</v>
      </c>
      <c r="J14" s="21">
        <f ca="1">C29</f>
        <v>0</v>
      </c>
      <c r="K14" s="12"/>
      <c r="L14" s="758"/>
      <c r="M14" s="759"/>
    </row>
    <row r="15" spans="1:37" s="1299" customFormat="1" ht="18" customHeight="1" thickBot="1">
      <c r="A15" s="926" t="s">
        <v>399</v>
      </c>
      <c r="B15" s="294" t="s">
        <v>710</v>
      </c>
      <c r="C15" s="21">
        <f ca="1">ROUND(C14*F15,0)</f>
        <v>0</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7"/>
      <c r="H16" s="1013" t="s">
        <v>393</v>
      </c>
      <c r="I16" s="1014" t="s">
        <v>714</v>
      </c>
      <c r="J16" s="302">
        <f ca="1">ROUND(J17+J22+J23+J24,0)</f>
        <v>0</v>
      </c>
      <c r="K16" s="1021" t="s">
        <v>715</v>
      </c>
      <c r="L16" s="1022"/>
      <c r="M16" s="1006"/>
    </row>
    <row r="17" spans="1:37" s="1299" customFormat="1" ht="18" customHeight="1">
      <c r="A17" s="926" t="s">
        <v>681</v>
      </c>
      <c r="B17" s="294" t="s">
        <v>716</v>
      </c>
      <c r="C17" s="21">
        <f ca="1">ROUND(F17*(F43+INDIRECT("'数据-取费表'!S"&amp;$G$1))/10000,0)</f>
        <v>0</v>
      </c>
      <c r="D17" s="294" t="s">
        <v>717</v>
      </c>
      <c r="E17" s="294" t="s">
        <v>718</v>
      </c>
      <c r="F17" s="23">
        <f>'数据-取费表'!B35</f>
        <v>200</v>
      </c>
      <c r="G17" s="1298"/>
      <c r="H17" s="926"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0</v>
      </c>
      <c r="D18" s="294" t="s">
        <v>711</v>
      </c>
      <c r="E18" s="294" t="s">
        <v>712</v>
      </c>
      <c r="F18" s="314">
        <f>'数据-取费表'!B36</f>
        <v>0.02</v>
      </c>
      <c r="G18" s="1298"/>
      <c r="H18" s="926"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0</v>
      </c>
      <c r="D19" s="123" t="s">
        <v>726</v>
      </c>
      <c r="E19" s="1264"/>
      <c r="F19" s="23"/>
      <c r="G19" s="1287"/>
      <c r="H19" s="926"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6" t="s">
        <v>402</v>
      </c>
      <c r="B20" s="294" t="s">
        <v>728</v>
      </c>
      <c r="C20" s="21">
        <f ca="1">ROUND(C19*F20,0)</f>
        <v>0</v>
      </c>
      <c r="D20" s="315" t="s">
        <v>729</v>
      </c>
      <c r="E20" s="294" t="s">
        <v>712</v>
      </c>
      <c r="F20" s="314">
        <f>'数据-取费表'!B37</f>
        <v>0.02</v>
      </c>
      <c r="G20" s="1298"/>
      <c r="H20" s="926" t="s">
        <v>680</v>
      </c>
      <c r="I20" s="147" t="s">
        <v>730</v>
      </c>
      <c r="J20" s="22">
        <f ca="1">ROUND(M20*M21/10000,2)</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15</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ROUND(J14*M22,2)</f>
        <v>0</v>
      </c>
      <c r="K22" s="1251" t="s">
        <v>739</v>
      </c>
      <c r="L22" s="294" t="s">
        <v>712</v>
      </c>
      <c r="M22" s="320">
        <f ca="1">INDIRECT("'数据-取费表'!Ak"&amp;$G$1)</f>
        <v>0</v>
      </c>
    </row>
    <row r="23" spans="1:37" s="1299"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ROUND(J13*M23,2)</f>
        <v>0</v>
      </c>
      <c r="K23" s="1251" t="s">
        <v>743</v>
      </c>
      <c r="L23" s="294" t="s">
        <v>744</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ROUND(J5*M24,2)</f>
        <v>0</v>
      </c>
      <c r="K24" s="1026" t="s">
        <v>748</v>
      </c>
      <c r="L24" s="1024" t="s">
        <v>744</v>
      </c>
      <c r="M24" s="1020">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6" t="s">
        <v>749</v>
      </c>
      <c r="B25" s="294" t="s">
        <v>750</v>
      </c>
      <c r="C25" s="21"/>
      <c r="D25" s="123" t="s">
        <v>751</v>
      </c>
      <c r="E25" s="1264"/>
      <c r="F25" s="23"/>
      <c r="G25" s="1287"/>
      <c r="H25" s="1013" t="s">
        <v>394</v>
      </c>
      <c r="I25" s="1028" t="s">
        <v>752</v>
      </c>
      <c r="J25" s="302">
        <f ca="1">J5-J16</f>
        <v>0</v>
      </c>
      <c r="K25" s="1029" t="s">
        <v>753</v>
      </c>
      <c r="L25" s="1030"/>
      <c r="M25" s="1031"/>
    </row>
    <row r="26" spans="1:37">
      <c r="A26" s="926"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0</v>
      </c>
      <c r="D29" s="1026"/>
      <c r="E29" s="1024"/>
      <c r="F29" s="1027"/>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0</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ROUND(IF(AND(项目基本情况!B11="自然人",项目基本情况!B10="北京市"),C6*F31/(1+'数据-取费表'!C42),C32+C33+C34),2)</f>
        <v>0</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IF(项目基本情况!B11="自然人","——",ROUND(C6*F32/(1+'数据-取费表'!C42),2))</f>
        <v>0</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IF(项目基本情况!B11="自然人","——",ROUND(F34*F35/10000,2))</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ROUND(C29*F36,2)</f>
        <v>0</v>
      </c>
      <c r="D36" s="1251" t="s">
        <v>771</v>
      </c>
      <c r="E36" s="294" t="s">
        <v>712</v>
      </c>
      <c r="F36" s="320">
        <f ca="1">INDIRECT("'数据-取费表'!Ak"&amp;$G$1)</f>
        <v>0</v>
      </c>
      <c r="G36" s="1287"/>
      <c r="H36" s="2466"/>
      <c r="I36" s="1300"/>
      <c r="J36" s="1301"/>
      <c r="K36" s="2324"/>
      <c r="L36" s="2466"/>
      <c r="M36" s="2466"/>
    </row>
    <row r="37" spans="1:18" ht="18" customHeight="1">
      <c r="A37" s="926" t="s">
        <v>437</v>
      </c>
      <c r="B37" s="294" t="s">
        <v>742</v>
      </c>
      <c r="C37" s="21">
        <f ca="1">ROUND(C13*F37,2)</f>
        <v>0</v>
      </c>
      <c r="D37" s="1251" t="s">
        <v>743</v>
      </c>
      <c r="E37" s="294" t="s">
        <v>744</v>
      </c>
      <c r="F37" s="321">
        <f ca="1">INDIRECT("'数据-取费表'!Al"&amp;$G$1)</f>
        <v>0</v>
      </c>
      <c r="G37" s="1287"/>
      <c r="H37" s="2466"/>
      <c r="I37" s="1300"/>
      <c r="J37" s="1301"/>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7"/>
      <c r="H38" s="2466"/>
      <c r="I38" s="1300"/>
      <c r="J38" s="1301"/>
      <c r="K38" s="2464"/>
      <c r="L38" s="2466"/>
      <c r="M38" s="2466"/>
    </row>
    <row r="39" spans="1:18" ht="24.6" customHeight="1" thickTop="1">
      <c r="A39" s="1013" t="s">
        <v>394</v>
      </c>
      <c r="B39" s="1028" t="s">
        <v>772</v>
      </c>
      <c r="C39" s="302">
        <f ca="1">C5-C30</f>
        <v>0</v>
      </c>
      <c r="D39" s="1029" t="s">
        <v>773</v>
      </c>
      <c r="E39" s="1030"/>
      <c r="F39" s="1031"/>
      <c r="G39" s="1287"/>
      <c r="H39" s="2466"/>
      <c r="I39" s="1300"/>
      <c r="J39" s="1301"/>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0</v>
      </c>
      <c r="G41" s="1287"/>
      <c r="H41" s="121"/>
      <c r="I41" s="1300"/>
      <c r="J41" s="1301"/>
      <c r="K41" s="2324"/>
      <c r="L41" s="121"/>
      <c r="M41" s="121"/>
    </row>
    <row r="42" spans="1:18" ht="18" customHeight="1">
      <c r="A42" s="300"/>
      <c r="B42" s="301"/>
      <c r="C42" s="302"/>
      <c r="D42" s="319"/>
      <c r="E42" s="294" t="s">
        <v>766</v>
      </c>
      <c r="F42" s="304">
        <f ca="1">INDIRECT("'数据-取费表'!v"&amp;$G$1)</f>
        <v>0</v>
      </c>
      <c r="G42" s="1287"/>
      <c r="H42" s="121"/>
      <c r="I42" s="1300"/>
      <c r="J42" s="1301"/>
      <c r="K42" s="2324"/>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70" t="s">
        <v>808</v>
      </c>
      <c r="P45" s="1361"/>
      <c r="Q45" s="1361"/>
      <c r="R45" s="1361"/>
    </row>
    <row r="46" spans="1:18" s="1287" customFormat="1" ht="13.8"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8" thickBot="1">
      <c r="A47" s="890" t="s">
        <v>687</v>
      </c>
      <c r="B47" s="922" t="s">
        <v>688</v>
      </c>
      <c r="C47" s="1051" t="s">
        <v>689</v>
      </c>
      <c r="D47" s="922" t="s">
        <v>690</v>
      </c>
      <c r="E47" s="992" t="s">
        <v>691</v>
      </c>
      <c r="F47" s="993"/>
      <c r="G47" s="680"/>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40.200000000000003" thickBot="1">
      <c r="A48" s="1044" t="s">
        <v>438</v>
      </c>
      <c r="B48" s="292" t="s">
        <v>692</v>
      </c>
      <c r="C48" s="1263">
        <f ca="1">C49+C53+C55</f>
        <v>0</v>
      </c>
      <c r="D48" s="1046"/>
      <c r="E48" s="1047"/>
      <c r="F48" s="906"/>
      <c r="G48" s="680"/>
      <c r="H48" s="681"/>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9" t="s">
        <v>439</v>
      </c>
      <c r="B49" s="1274" t="s">
        <v>779</v>
      </c>
      <c r="C49" s="1048">
        <f ca="1">ROUND(F49*F51*F50*(1-F52)/10000,0)</f>
        <v>0</v>
      </c>
      <c r="D49" s="989" t="s">
        <v>2105</v>
      </c>
      <c r="E49" s="1275" t="s">
        <v>780</v>
      </c>
      <c r="F49" s="994"/>
      <c r="H49" s="681"/>
      <c r="I49" s="1323" t="s">
        <v>823</v>
      </c>
      <c r="J49" s="1327"/>
      <c r="K49" s="1325" t="s">
        <v>824</v>
      </c>
      <c r="L49" s="1328"/>
      <c r="O49" s="1329" t="s">
        <v>405</v>
      </c>
      <c r="P49" s="1321" t="s">
        <v>825</v>
      </c>
      <c r="Q49" s="1322">
        <f ca="1">C29</f>
        <v>0</v>
      </c>
      <c r="R49" s="1322" t="s">
        <v>818</v>
      </c>
    </row>
    <row r="50" spans="1:18" s="1287" customFormat="1" ht="13.8" thickBot="1">
      <c r="A50" s="920"/>
      <c r="B50" s="923"/>
      <c r="C50" s="1052"/>
      <c r="D50" s="897"/>
      <c r="E50" s="990" t="s">
        <v>697</v>
      </c>
      <c r="F50" s="991">
        <f ca="1">F7</f>
        <v>0</v>
      </c>
      <c r="H50" s="681"/>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21"/>
      <c r="B51" s="923"/>
      <c r="C51" s="924"/>
      <c r="D51" s="897"/>
      <c r="E51" s="925" t="s">
        <v>698</v>
      </c>
      <c r="F51" s="295">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21"/>
      <c r="B52" s="923"/>
      <c r="C52" s="924"/>
      <c r="D52" s="897"/>
      <c r="E52" s="925" t="s">
        <v>699</v>
      </c>
      <c r="F52" s="988"/>
      <c r="I52" s="1337" t="s">
        <v>832</v>
      </c>
      <c r="J52" s="1338"/>
      <c r="K52" s="1337" t="s">
        <v>833</v>
      </c>
      <c r="L52" s="1338"/>
      <c r="O52" s="1329" t="s">
        <v>408</v>
      </c>
      <c r="P52" s="1321" t="s">
        <v>834</v>
      </c>
      <c r="Q52" s="1322">
        <f ca="1">J53</f>
        <v>0</v>
      </c>
      <c r="R52" s="1322" t="s">
        <v>835</v>
      </c>
    </row>
    <row r="53" spans="1:18" s="1287" customFormat="1" ht="36.6" thickBot="1">
      <c r="A53" s="1076" t="s">
        <v>440</v>
      </c>
      <c r="B53" s="1276" t="s">
        <v>700</v>
      </c>
      <c r="C53" s="308">
        <f ca="1">ROUND(IF(F53="押一",C49/12*F11,IF(F53="押二",C49/12*2*F11,IF(F53="押三",C49/12*3*F11,C54*F11))),0)</f>
        <v>0</v>
      </c>
      <c r="D53" s="150" t="s">
        <v>2111</v>
      </c>
      <c r="E53" s="305" t="s">
        <v>701</v>
      </c>
      <c r="F53" s="1050"/>
      <c r="I53" s="1339" t="s">
        <v>836</v>
      </c>
      <c r="J53" s="2001">
        <f ca="1">IF(M47="住宅",IF(D1="——",MAX(J51,L48),MAX(J51,L48-'数据-取费表'!B24)),IF(D1="——",MIN(J51,L48),MIN(J51,L48-'数据-取费表'!B24)))</f>
        <v>0</v>
      </c>
      <c r="K53" s="3356" t="s">
        <v>837</v>
      </c>
      <c r="L53" s="3357"/>
      <c r="O53" s="1320" t="s">
        <v>409</v>
      </c>
      <c r="P53" s="1321" t="s">
        <v>838</v>
      </c>
      <c r="Q53" s="1322" t="e">
        <f ca="1">Q47+Q48</f>
        <v>#DIV/0!</v>
      </c>
      <c r="R53" s="1322" t="s">
        <v>410</v>
      </c>
    </row>
    <row r="54" spans="1:18" s="1287" customFormat="1" ht="24.6" thickBot="1">
      <c r="A54" s="1077"/>
      <c r="B54" s="1270" t="s">
        <v>679</v>
      </c>
      <c r="C54" s="903"/>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7" t="s">
        <v>437</v>
      </c>
      <c r="B55" s="1272" t="s">
        <v>703</v>
      </c>
      <c r="C55" s="1018"/>
      <c r="D55" s="150"/>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7.200000000000003" thickTop="1" thickBot="1">
      <c r="A56" s="901">
        <v>2</v>
      </c>
      <c r="B56" s="902" t="s">
        <v>704</v>
      </c>
      <c r="C56" s="224">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6" thickBot="1">
      <c r="A57" s="1351"/>
      <c r="B57" s="894" t="s">
        <v>767</v>
      </c>
      <c r="C57" s="230">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6" thickBot="1">
      <c r="A58" s="307" t="s">
        <v>393</v>
      </c>
      <c r="B58" s="902" t="s">
        <v>714</v>
      </c>
      <c r="C58" s="308">
        <f ca="1">ROUND(C59+C64+C65+C66,0)</f>
        <v>0</v>
      </c>
      <c r="D58" s="904" t="s">
        <v>715</v>
      </c>
      <c r="E58" s="905"/>
      <c r="F58" s="906"/>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6" t="s">
        <v>781</v>
      </c>
      <c r="B61" s="894" t="s">
        <v>782</v>
      </c>
      <c r="C61" s="21">
        <f ca="1">IF(项目基本情况!B11="自然人","——",IF(D61="按租金收入计税",ROUND(C49*F61/(1+'数据-取费表'!C42),2),IF(D61="按房产原值计税",ROUND(C57*F61*0.7,2),INDIRECT("'数据-取费表'!Aj"&amp;$G$1))))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6" t="s">
        <v>784</v>
      </c>
      <c r="B62" s="893" t="s">
        <v>785</v>
      </c>
      <c r="C62" s="22">
        <f ca="1">IF(项目基本情况!B11="自然人","——",ROUND(F62*F63/10000,2))</f>
        <v>0</v>
      </c>
      <c r="D62" s="909" t="s">
        <v>786</v>
      </c>
      <c r="E62" s="894" t="s">
        <v>787</v>
      </c>
      <c r="F62" s="317">
        <f t="shared" si="0"/>
        <v>0</v>
      </c>
      <c r="I62" s="1362" t="s">
        <v>858</v>
      </c>
      <c r="J62" s="610" t="s">
        <v>859</v>
      </c>
      <c r="K62" s="610" t="s">
        <v>860</v>
      </c>
      <c r="L62" s="610" t="s">
        <v>861</v>
      </c>
      <c r="M62" s="1363" t="s">
        <v>862</v>
      </c>
      <c r="O62" s="1320" t="s">
        <v>409</v>
      </c>
      <c r="P62" s="1321" t="s">
        <v>863</v>
      </c>
      <c r="Q62" s="1322" t="e">
        <f ca="1">Q56+Q57</f>
        <v>#DIV/0!</v>
      </c>
      <c r="R62" s="1322" t="s">
        <v>410</v>
      </c>
    </row>
    <row r="63" spans="1:18" s="1287" customFormat="1" ht="13.8"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8" thickBot="1">
      <c r="A64" s="926" t="s">
        <v>789</v>
      </c>
      <c r="B64" s="894" t="s">
        <v>790</v>
      </c>
      <c r="C64" s="21">
        <f ca="1">ROUND(C57*F64,2)</f>
        <v>0</v>
      </c>
      <c r="D64" s="908" t="s">
        <v>791</v>
      </c>
      <c r="E64" s="894" t="s">
        <v>783</v>
      </c>
      <c r="F64" s="320">
        <f t="shared" ca="1" si="0"/>
        <v>0</v>
      </c>
      <c r="I64" s="1362" t="s">
        <v>866</v>
      </c>
      <c r="J64" s="610">
        <v>50</v>
      </c>
      <c r="K64" s="610">
        <v>35</v>
      </c>
      <c r="L64" s="610">
        <v>60</v>
      </c>
      <c r="M64" s="1363">
        <v>0</v>
      </c>
      <c r="O64" s="1313" t="s">
        <v>811</v>
      </c>
      <c r="P64" s="1314" t="s">
        <v>812</v>
      </c>
      <c r="Q64" s="1315" t="s">
        <v>813</v>
      </c>
      <c r="R64" s="1315" t="s">
        <v>814</v>
      </c>
    </row>
    <row r="65" spans="1:18" s="1287" customFormat="1" ht="13.8" thickBot="1">
      <c r="A65" s="926" t="s">
        <v>792</v>
      </c>
      <c r="B65" s="894" t="s">
        <v>742</v>
      </c>
      <c r="C65" s="21">
        <f ca="1">ROUND(C56*F65,2)</f>
        <v>0</v>
      </c>
      <c r="D65" s="908" t="s">
        <v>743</v>
      </c>
      <c r="E65" s="894" t="s">
        <v>744</v>
      </c>
      <c r="F65" s="321">
        <f t="shared" ca="1" si="0"/>
        <v>0</v>
      </c>
      <c r="I65" s="1362" t="s">
        <v>867</v>
      </c>
      <c r="J65" s="610">
        <v>40</v>
      </c>
      <c r="K65" s="610">
        <v>30</v>
      </c>
      <c r="L65" s="610">
        <v>50</v>
      </c>
      <c r="M65" s="1364">
        <v>0.02</v>
      </c>
      <c r="O65" s="1320" t="s">
        <v>403</v>
      </c>
      <c r="P65" s="1321" t="s">
        <v>868</v>
      </c>
      <c r="Q65" s="1322" t="e">
        <f ca="1">C40+J29</f>
        <v>#DIV/0!</v>
      </c>
      <c r="R65" s="1322" t="s">
        <v>818</v>
      </c>
    </row>
    <row r="66" spans="1:18" s="1287" customFormat="1" ht="16.2" thickBot="1">
      <c r="A66" s="926" t="s">
        <v>793</v>
      </c>
      <c r="B66" s="894" t="s">
        <v>728</v>
      </c>
      <c r="C66" s="21">
        <f ca="1">ROUND(C48*F66,2)</f>
        <v>0</v>
      </c>
      <c r="D66" s="908" t="s">
        <v>794</v>
      </c>
      <c r="E66" s="894" t="s">
        <v>712</v>
      </c>
      <c r="F66" s="304">
        <f t="shared" ca="1" si="0"/>
        <v>0</v>
      </c>
      <c r="O66" s="1320" t="s">
        <v>404</v>
      </c>
      <c r="P66" s="1321" t="s">
        <v>846</v>
      </c>
      <c r="Q66" s="1322" t="e">
        <f ca="1">L60</f>
        <v>#DIV/0!</v>
      </c>
      <c r="R66" s="1322" t="s">
        <v>869</v>
      </c>
    </row>
    <row r="67" spans="1:18" s="1287" customFormat="1" ht="24.6" thickBot="1">
      <c r="A67" s="901" t="s">
        <v>394</v>
      </c>
      <c r="B67" s="911" t="s">
        <v>752</v>
      </c>
      <c r="C67" s="308">
        <f ca="1">C48-C58</f>
        <v>0</v>
      </c>
      <c r="D67" s="907" t="s">
        <v>753</v>
      </c>
      <c r="E67" s="912"/>
      <c r="F67" s="913"/>
      <c r="O67" s="1329" t="s">
        <v>405</v>
      </c>
      <c r="P67" s="1321" t="s">
        <v>850</v>
      </c>
      <c r="Q67" s="1365">
        <f ca="1">L51</f>
        <v>0</v>
      </c>
      <c r="R67" s="1322" t="s">
        <v>870</v>
      </c>
    </row>
    <row r="68" spans="1:18" s="1287" customFormat="1" ht="16.2" thickBot="1">
      <c r="A68" s="891" t="s">
        <v>395</v>
      </c>
      <c r="B68" s="892" t="s">
        <v>774</v>
      </c>
      <c r="C68" s="293" t="e">
        <f ca="1">ROUND(C67*(1-((1+F70)/(1+F68))^F69)/(F68-F70),0)</f>
        <v>#DIV/0!</v>
      </c>
      <c r="D68" s="909" t="s">
        <v>758</v>
      </c>
      <c r="E68" s="894" t="s">
        <v>759</v>
      </c>
      <c r="F68" s="304">
        <f ca="1">F40</f>
        <v>0</v>
      </c>
      <c r="O68" s="1329" t="s">
        <v>406</v>
      </c>
      <c r="P68" s="1366" t="s">
        <v>871</v>
      </c>
      <c r="Q68" s="1322">
        <f ca="1">ROUND(Q69-Q70*Q71,0)</f>
        <v>0</v>
      </c>
      <c r="R68" s="1322" t="s">
        <v>414</v>
      </c>
    </row>
    <row r="69" spans="1:18" s="1287" customFormat="1" ht="13.8" thickBot="1">
      <c r="A69" s="895"/>
      <c r="B69" s="896"/>
      <c r="C69" s="298"/>
      <c r="D69" s="914" t="s">
        <v>762</v>
      </c>
      <c r="E69" s="894" t="s">
        <v>763</v>
      </c>
      <c r="F69" s="324">
        <f ca="1">F41</f>
        <v>0</v>
      </c>
      <c r="O69" s="1329" t="s">
        <v>411</v>
      </c>
      <c r="P69" s="1366" t="s">
        <v>872</v>
      </c>
      <c r="Q69" s="1322">
        <f ca="1">C39</f>
        <v>0</v>
      </c>
      <c r="R69" s="1322" t="s">
        <v>818</v>
      </c>
    </row>
    <row r="70" spans="1:18" s="1287" customFormat="1" ht="13.8" thickBot="1">
      <c r="A70" s="898"/>
      <c r="B70" s="899"/>
      <c r="C70" s="302"/>
      <c r="D70" s="910"/>
      <c r="E70" s="894" t="s">
        <v>766</v>
      </c>
      <c r="F70" s="988"/>
      <c r="O70" s="1329" t="s">
        <v>412</v>
      </c>
      <c r="P70" s="1366" t="s">
        <v>873</v>
      </c>
      <c r="Q70" s="1322">
        <f ca="1">C13</f>
        <v>0</v>
      </c>
      <c r="R70" s="1322" t="s">
        <v>818</v>
      </c>
    </row>
    <row r="71" spans="1:18" s="1287" customFormat="1" ht="13.8" thickBot="1">
      <c r="A71" s="915" t="s">
        <v>396</v>
      </c>
      <c r="B71" s="916" t="s">
        <v>776</v>
      </c>
      <c r="C71" s="327" t="e">
        <f ca="1">ROUND(C68*10000/F71,0)</f>
        <v>#DIV/0!</v>
      </c>
      <c r="D71" s="917" t="s">
        <v>777</v>
      </c>
      <c r="E71" s="918" t="s">
        <v>778</v>
      </c>
      <c r="F71" s="330">
        <f ca="1">F43</f>
        <v>0</v>
      </c>
      <c r="O71" s="1329" t="s">
        <v>413</v>
      </c>
      <c r="P71" s="1366" t="s">
        <v>874</v>
      </c>
      <c r="Q71" s="1332">
        <f ca="1">C76</f>
        <v>0</v>
      </c>
      <c r="R71" s="1322"/>
    </row>
    <row r="72" spans="1:18" s="1287" customFormat="1" ht="13.8" thickBot="1">
      <c r="B72" s="684"/>
      <c r="C72" s="684"/>
      <c r="O72" s="1329" t="s">
        <v>407</v>
      </c>
      <c r="P72" s="1321" t="s">
        <v>852</v>
      </c>
      <c r="Q72" s="1332">
        <f>L52</f>
        <v>0</v>
      </c>
      <c r="R72" s="1322"/>
    </row>
    <row r="73" spans="1:18" ht="16.2" thickBot="1">
      <c r="A73" s="1287"/>
      <c r="B73" s="684"/>
      <c r="C73" s="684"/>
      <c r="D73" s="1287"/>
      <c r="E73" s="1287"/>
      <c r="F73" s="1287"/>
      <c r="O73" s="1329" t="s">
        <v>408</v>
      </c>
      <c r="P73" s="1321" t="s">
        <v>855</v>
      </c>
      <c r="Q73" s="1322" t="e">
        <f ca="1">L58</f>
        <v>#DIV/0!</v>
      </c>
      <c r="R73" s="1322" t="s">
        <v>856</v>
      </c>
    </row>
    <row r="74" spans="1:18" ht="13.8"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31" t="s">
        <v>795</v>
      </c>
      <c r="C75" s="332">
        <f ca="1">ROUND(C13*C76,0)</f>
        <v>0</v>
      </c>
      <c r="D75" s="1287"/>
      <c r="E75" s="1287"/>
      <c r="F75" s="1287"/>
      <c r="K75" s="1304"/>
      <c r="L75" s="1287"/>
      <c r="O75" s="1320" t="s">
        <v>409</v>
      </c>
      <c r="P75" s="1321" t="s">
        <v>838</v>
      </c>
      <c r="Q75" s="1322" t="e">
        <f ca="1">Q65+Q66</f>
        <v>#DIV/0!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2" customHeight="1">
      <c r="A2" s="1288" t="s">
        <v>2312</v>
      </c>
      <c r="B2" s="2587" t="e">
        <f>IF(D2="——",C40,C40+E2)</f>
        <v>#DIV/0!</v>
      </c>
      <c r="C2" s="2588" t="s">
        <v>2313</v>
      </c>
      <c r="D2" s="3131" t="s">
        <v>3356</v>
      </c>
      <c r="E2" s="3132"/>
      <c r="F2" s="2590"/>
      <c r="G2" s="2591"/>
      <c r="H2" s="2592"/>
      <c r="I2" s="2593"/>
      <c r="J2" s="3361" t="s">
        <v>2314</v>
      </c>
      <c r="K2" s="3362"/>
      <c r="L2" s="2594" t="s">
        <v>2315</v>
      </c>
      <c r="M2" s="2594" t="s">
        <v>2316</v>
      </c>
      <c r="N2" s="2594" t="s">
        <v>2317</v>
      </c>
      <c r="O2" s="2594" t="s">
        <v>2318</v>
      </c>
      <c r="P2" s="2594" t="s">
        <v>2319</v>
      </c>
      <c r="Q2" s="2595" t="s">
        <v>2320</v>
      </c>
      <c r="R2" s="2596" t="s">
        <v>2321</v>
      </c>
      <c r="S2" s="2585"/>
      <c r="T2" s="2585"/>
      <c r="U2" s="2585"/>
      <c r="V2" s="2593"/>
    </row>
    <row r="3" spans="1:22" s="2597" customFormat="1" ht="13.2" customHeight="1">
      <c r="A3" s="2598" t="s">
        <v>2322</v>
      </c>
      <c r="B3" s="2599" t="e">
        <f>ROUND(B2*10000/B4,0)</f>
        <v>#DIV/0!</v>
      </c>
      <c r="C3" s="2588" t="s">
        <v>2323</v>
      </c>
      <c r="D3" s="2588"/>
      <c r="E3" s="2589"/>
      <c r="F3" s="2590"/>
      <c r="G3" s="2591"/>
      <c r="H3" s="2592"/>
      <c r="I3" s="2593"/>
      <c r="J3" s="3363" t="s">
        <v>2324</v>
      </c>
      <c r="K3" s="3364"/>
      <c r="L3" s="2600"/>
      <c r="M3" s="2600"/>
      <c r="N3" s="2600"/>
      <c r="O3" s="2600"/>
      <c r="P3" s="2600"/>
      <c r="Q3" s="2601"/>
      <c r="R3" s="2602">
        <f>SUM(L3:Q3)</f>
        <v>0</v>
      </c>
      <c r="S3" s="2585"/>
      <c r="T3" s="2585"/>
      <c r="U3" s="2585"/>
      <c r="V3" s="2593"/>
    </row>
    <row r="4" spans="1:22" s="2597" customFormat="1" ht="13.2" customHeight="1">
      <c r="A4" s="2603" t="s">
        <v>2325</v>
      </c>
      <c r="B4" s="2604"/>
      <c r="C4" s="2588"/>
      <c r="D4" s="2588"/>
      <c r="E4" s="2589"/>
      <c r="F4" s="2590"/>
      <c r="G4" s="2591"/>
      <c r="H4" s="2592"/>
      <c r="I4" s="2593"/>
      <c r="J4" s="3363" t="s">
        <v>2326</v>
      </c>
      <c r="K4" s="3364"/>
      <c r="L4" s="2605"/>
      <c r="M4" s="2605"/>
      <c r="N4" s="2605"/>
      <c r="O4" s="2605"/>
      <c r="P4" s="2605"/>
      <c r="Q4" s="2606"/>
      <c r="R4" s="2607">
        <f>SUM(L4:Q4)</f>
        <v>0</v>
      </c>
      <c r="S4" s="2585"/>
      <c r="T4" s="2585"/>
      <c r="U4" s="2585"/>
      <c r="V4" s="2593"/>
    </row>
    <row r="5" spans="1:22" s="2597" customFormat="1" ht="13.2"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2" customHeight="1" thickBot="1">
      <c r="A6" s="3365" t="s">
        <v>2330</v>
      </c>
      <c r="B6" s="3366"/>
      <c r="C6" s="3367"/>
      <c r="D6" s="2614"/>
      <c r="E6" s="2615"/>
      <c r="F6" s="2616"/>
      <c r="G6" s="2617"/>
      <c r="H6" s="2592"/>
      <c r="I6" s="2593"/>
      <c r="J6" s="3368">
        <v>1</v>
      </c>
      <c r="K6" s="3369"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2" customHeight="1">
      <c r="A7" s="2620" t="s">
        <v>2340</v>
      </c>
      <c r="B7" s="2621"/>
      <c r="C7" s="2622"/>
      <c r="D7" s="2623">
        <f>SUM(D9,D10,D11,D17,0)</f>
        <v>0</v>
      </c>
      <c r="E7" s="2624" t="e">
        <f>E9+E10+E11+E17</f>
        <v>#DIV/0!</v>
      </c>
      <c r="F7" s="2625"/>
      <c r="G7" s="2626"/>
      <c r="H7" s="2592"/>
      <c r="I7" s="2593"/>
      <c r="J7" s="3368"/>
      <c r="K7" s="3370"/>
      <c r="L7" s="2627" t="s">
        <v>2341</v>
      </c>
      <c r="M7" s="2628"/>
      <c r="N7" s="2604"/>
      <c r="O7" s="2629"/>
      <c r="P7" s="2629"/>
      <c r="Q7" s="2630">
        <v>365</v>
      </c>
      <c r="R7" s="2631">
        <f>ROUND(M7*N7*O7*P7*Q7/10000,0)</f>
        <v>0</v>
      </c>
      <c r="S7" s="2585"/>
      <c r="T7" s="2585" t="s">
        <v>2342</v>
      </c>
      <c r="U7" s="2585"/>
      <c r="V7" s="2593"/>
    </row>
    <row r="8" spans="1:22" s="2597" customFormat="1" ht="13.2" customHeight="1">
      <c r="A8" s="2632" t="s">
        <v>2343</v>
      </c>
      <c r="B8" s="3372" t="s">
        <v>2344</v>
      </c>
      <c r="C8" s="3373"/>
      <c r="D8" s="2633" t="s">
        <v>2345</v>
      </c>
      <c r="E8" s="2634" t="s">
        <v>2346</v>
      </c>
      <c r="F8" s="2635" t="s">
        <v>2347</v>
      </c>
      <c r="G8" s="2636"/>
      <c r="H8" s="2592"/>
      <c r="I8" s="2593"/>
      <c r="J8" s="3368"/>
      <c r="K8" s="3370"/>
      <c r="L8" s="2627" t="s">
        <v>2348</v>
      </c>
      <c r="M8" s="2628"/>
      <c r="N8" s="2604"/>
      <c r="O8" s="2629"/>
      <c r="P8" s="2629"/>
      <c r="Q8" s="2630">
        <v>365</v>
      </c>
      <c r="R8" s="2631">
        <f t="shared" ref="R8:R13" si="0">ROUND(M8*N8*O8*P8*Q8/10000,0)</f>
        <v>0</v>
      </c>
      <c r="S8" s="2585"/>
      <c r="T8" s="2585" t="s">
        <v>2349</v>
      </c>
      <c r="U8" s="2585"/>
      <c r="V8" s="2593"/>
    </row>
    <row r="9" spans="1:22" s="2597" customFormat="1" ht="13.2" customHeight="1">
      <c r="A9" s="2632">
        <v>1</v>
      </c>
      <c r="B9" s="3372" t="s">
        <v>2350</v>
      </c>
      <c r="C9" s="3373"/>
      <c r="D9" s="2633">
        <f>ROUND(D6*E9,0)</f>
        <v>0</v>
      </c>
      <c r="E9" s="2637"/>
      <c r="F9" s="2638" t="s">
        <v>2351</v>
      </c>
      <c r="G9" s="2617"/>
      <c r="H9" s="2592"/>
      <c r="I9" s="2593"/>
      <c r="J9" s="3368"/>
      <c r="K9" s="3370"/>
      <c r="L9" s="2627" t="s">
        <v>2352</v>
      </c>
      <c r="M9" s="2628"/>
      <c r="N9" s="2604"/>
      <c r="O9" s="2629"/>
      <c r="P9" s="2629"/>
      <c r="Q9" s="2630">
        <v>365</v>
      </c>
      <c r="R9" s="2631">
        <f t="shared" si="0"/>
        <v>0</v>
      </c>
      <c r="S9" s="2585"/>
      <c r="T9" s="2585"/>
      <c r="U9" s="2585"/>
      <c r="V9" s="2593"/>
    </row>
    <row r="10" spans="1:22" s="2597" customFormat="1" ht="13.2" customHeight="1">
      <c r="A10" s="2632">
        <v>2</v>
      </c>
      <c r="B10" s="3372" t="s">
        <v>2353</v>
      </c>
      <c r="C10" s="3373"/>
      <c r="D10" s="2633">
        <f>ROUND(D6*E10,0)</f>
        <v>0</v>
      </c>
      <c r="E10" s="2637"/>
      <c r="F10" s="2638" t="s">
        <v>2354</v>
      </c>
      <c r="G10" s="2617"/>
      <c r="H10" s="2592"/>
      <c r="I10" s="2593"/>
      <c r="J10" s="3368"/>
      <c r="K10" s="3370"/>
      <c r="L10" s="2627" t="s">
        <v>2355</v>
      </c>
      <c r="M10" s="2628"/>
      <c r="N10" s="2604"/>
      <c r="O10" s="2629"/>
      <c r="P10" s="2629"/>
      <c r="Q10" s="2630">
        <v>365</v>
      </c>
      <c r="R10" s="2631">
        <f t="shared" si="0"/>
        <v>0</v>
      </c>
      <c r="S10" s="2585"/>
      <c r="T10" s="2585"/>
      <c r="U10" s="2585"/>
      <c r="V10" s="2593"/>
    </row>
    <row r="11" spans="1:22" s="2597" customFormat="1" ht="13.2" customHeight="1">
      <c r="A11" s="2632">
        <v>3</v>
      </c>
      <c r="B11" s="3372" t="s">
        <v>2356</v>
      </c>
      <c r="C11" s="3373"/>
      <c r="D11" s="2633">
        <f>D12+D14+D15+D16</f>
        <v>0</v>
      </c>
      <c r="E11" s="2639" t="e">
        <f>D11/D6</f>
        <v>#DIV/0!</v>
      </c>
      <c r="F11" s="2635"/>
      <c r="G11" s="2636"/>
      <c r="H11" s="2592"/>
      <c r="I11" s="2593"/>
      <c r="J11" s="3368"/>
      <c r="K11" s="3370"/>
      <c r="L11" s="2627" t="s">
        <v>2357</v>
      </c>
      <c r="M11" s="2628"/>
      <c r="N11" s="2604"/>
      <c r="O11" s="2629"/>
      <c r="P11" s="2629"/>
      <c r="Q11" s="2630">
        <v>365</v>
      </c>
      <c r="R11" s="2631">
        <f t="shared" si="0"/>
        <v>0</v>
      </c>
      <c r="S11" s="2585"/>
      <c r="T11" s="2585"/>
      <c r="U11" s="2585"/>
      <c r="V11" s="2593"/>
    </row>
    <row r="12" spans="1:22" s="2597" customFormat="1" ht="13.2" customHeight="1">
      <c r="A12" s="2640" t="s">
        <v>2358</v>
      </c>
      <c r="B12" s="3374" t="s">
        <v>2359</v>
      </c>
      <c r="C12" s="3375"/>
      <c r="D12" s="2641">
        <f>ROUND(D13*1.2%*(1-30%),0)</f>
        <v>0</v>
      </c>
      <c r="E12" s="2642">
        <v>1.2E-2</v>
      </c>
      <c r="F12" s="2635" t="s">
        <v>2360</v>
      </c>
      <c r="G12" s="2636"/>
      <c r="H12" s="2592"/>
      <c r="I12" s="2593"/>
      <c r="J12" s="3368"/>
      <c r="K12" s="3370"/>
      <c r="L12" s="2627" t="s">
        <v>2361</v>
      </c>
      <c r="M12" s="2628"/>
      <c r="N12" s="2604"/>
      <c r="O12" s="2629"/>
      <c r="P12" s="2629"/>
      <c r="Q12" s="2630">
        <v>365</v>
      </c>
      <c r="R12" s="2631">
        <f t="shared" si="0"/>
        <v>0</v>
      </c>
      <c r="S12" s="2585"/>
      <c r="T12" s="2585"/>
      <c r="U12" s="2585"/>
      <c r="V12" s="2593"/>
    </row>
    <row r="13" spans="1:22" s="2597" customFormat="1" ht="13.2" customHeight="1">
      <c r="A13" s="2640"/>
      <c r="B13" s="2643"/>
      <c r="C13" s="2644" t="s">
        <v>2362</v>
      </c>
      <c r="D13" s="2645"/>
      <c r="E13" s="2646"/>
      <c r="F13" s="2635"/>
      <c r="G13" s="2636"/>
      <c r="H13" s="2592"/>
      <c r="I13" s="2593"/>
      <c r="J13" s="3368"/>
      <c r="K13" s="3370"/>
      <c r="L13" s="2627" t="s">
        <v>2363</v>
      </c>
      <c r="M13" s="2628"/>
      <c r="N13" s="2604"/>
      <c r="O13" s="2629"/>
      <c r="P13" s="2629"/>
      <c r="Q13" s="2630">
        <v>365</v>
      </c>
      <c r="R13" s="2631">
        <f t="shared" si="0"/>
        <v>0</v>
      </c>
      <c r="S13" s="2585"/>
      <c r="T13" s="2585"/>
      <c r="U13" s="2585"/>
      <c r="V13" s="2593"/>
    </row>
    <row r="14" spans="1:22" s="2597" customFormat="1" ht="13.2" customHeight="1">
      <c r="A14" s="2640" t="s">
        <v>2364</v>
      </c>
      <c r="B14" s="3374" t="s">
        <v>2365</v>
      </c>
      <c r="C14" s="3375"/>
      <c r="D14" s="2641">
        <f>ROUND(E14*B5/10000,0)</f>
        <v>0</v>
      </c>
      <c r="E14" s="2630"/>
      <c r="F14" s="2635" t="s">
        <v>2366</v>
      </c>
      <c r="G14" s="2636"/>
      <c r="H14" s="2592"/>
      <c r="I14" s="2593"/>
      <c r="J14" s="3368"/>
      <c r="K14" s="3371"/>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2368</v>
      </c>
      <c r="B15" s="3374" t="s">
        <v>2369</v>
      </c>
      <c r="C15" s="3375"/>
      <c r="D15" s="2641">
        <f>ROUND(D6*E15,0)</f>
        <v>0</v>
      </c>
      <c r="E15" s="2642">
        <v>5.5E-2</v>
      </c>
      <c r="F15" s="2635" t="s">
        <v>2370</v>
      </c>
      <c r="G15" s="2617"/>
      <c r="H15" s="2592"/>
      <c r="I15" s="2593"/>
      <c r="J15" s="3368">
        <v>2</v>
      </c>
      <c r="K15" s="3369"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2" customHeight="1">
      <c r="A16" s="2640" t="s">
        <v>2377</v>
      </c>
      <c r="B16" s="3374" t="s">
        <v>2378</v>
      </c>
      <c r="C16" s="3375"/>
      <c r="D16" s="2652">
        <f>D6*E16</f>
        <v>0</v>
      </c>
      <c r="E16" s="2653"/>
      <c r="F16" s="2638" t="s">
        <v>2379</v>
      </c>
      <c r="G16" s="2617"/>
      <c r="H16" s="2592"/>
      <c r="I16" s="2593"/>
      <c r="J16" s="3368"/>
      <c r="K16" s="3370"/>
      <c r="L16" s="2627" t="s">
        <v>2380</v>
      </c>
      <c r="M16" s="2628"/>
      <c r="N16" s="2628"/>
      <c r="O16" s="2629"/>
      <c r="P16" s="2630">
        <v>365</v>
      </c>
      <c r="Q16" s="2604"/>
      <c r="R16" s="2651">
        <f>ROUND(M16*N16*O16*P16/10000,0)</f>
        <v>0</v>
      </c>
      <c r="S16" s="2585"/>
      <c r="T16" s="2585"/>
      <c r="U16" s="2585"/>
      <c r="V16" s="2593"/>
    </row>
    <row r="17" spans="1:22" s="2597" customFormat="1" ht="13.2" customHeight="1" thickBot="1">
      <c r="A17" s="2654">
        <v>4</v>
      </c>
      <c r="B17" s="3376" t="s">
        <v>2381</v>
      </c>
      <c r="C17" s="3377"/>
      <c r="D17" s="2655">
        <f>ROUND(D6*E17,0)</f>
        <v>0</v>
      </c>
      <c r="E17" s="2656"/>
      <c r="F17" s="2657" t="s">
        <v>2382</v>
      </c>
      <c r="G17" s="2617"/>
      <c r="H17" s="2592"/>
      <c r="I17" s="2593"/>
      <c r="J17" s="3368"/>
      <c r="K17" s="3370"/>
      <c r="L17" s="2627" t="s">
        <v>2383</v>
      </c>
      <c r="M17" s="2628"/>
      <c r="N17" s="2628"/>
      <c r="O17" s="2629"/>
      <c r="P17" s="2630">
        <v>365</v>
      </c>
      <c r="Q17" s="2604"/>
      <c r="R17" s="2651">
        <f>ROUND(M17*N17*O17*P17/10000,0)</f>
        <v>0</v>
      </c>
      <c r="S17" s="2585"/>
      <c r="T17" s="2585"/>
      <c r="U17" s="2585"/>
      <c r="V17" s="2593"/>
    </row>
    <row r="18" spans="1:22" s="2597" customFormat="1" ht="13.2" customHeight="1" thickBot="1">
      <c r="A18" s="2620" t="s">
        <v>2384</v>
      </c>
      <c r="B18" s="2621"/>
      <c r="C18" s="2621"/>
      <c r="D18" s="2658">
        <f>ROUND(D6*E18,0)</f>
        <v>0</v>
      </c>
      <c r="E18" s="2659"/>
      <c r="F18" s="2660" t="s">
        <v>2385</v>
      </c>
      <c r="G18" s="2617"/>
      <c r="H18" s="2592"/>
      <c r="I18" s="2593"/>
      <c r="J18" s="3368"/>
      <c r="K18" s="3370"/>
      <c r="L18" s="2627" t="s">
        <v>2386</v>
      </c>
      <c r="M18" s="2628"/>
      <c r="N18" s="2628"/>
      <c r="O18" s="2629"/>
      <c r="P18" s="2630">
        <v>365</v>
      </c>
      <c r="Q18" s="2604"/>
      <c r="R18" s="2651">
        <f>ROUND(M18*N18*O18*P18/10000,0)</f>
        <v>0</v>
      </c>
      <c r="S18" s="2585"/>
      <c r="T18" s="2585"/>
      <c r="U18" s="2585"/>
      <c r="V18" s="2593"/>
    </row>
    <row r="19" spans="1:22" s="2597" customFormat="1" ht="13.2" customHeight="1" thickBot="1">
      <c r="A19" s="2661" t="s">
        <v>2387</v>
      </c>
      <c r="B19" s="2615"/>
      <c r="C19" s="2615"/>
      <c r="D19" s="2615"/>
      <c r="E19" s="2615"/>
      <c r="F19" s="2616"/>
      <c r="G19" s="2636"/>
      <c r="H19" s="2592"/>
      <c r="I19" s="2593"/>
      <c r="J19" s="3368"/>
      <c r="K19" s="3371"/>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368">
        <v>3</v>
      </c>
      <c r="K20" s="3369"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2" customHeight="1">
      <c r="A21" s="2620"/>
      <c r="B21" s="2621"/>
      <c r="C21" s="2666" t="s">
        <v>2396</v>
      </c>
      <c r="D21" s="2667" t="s">
        <v>2397</v>
      </c>
      <c r="E21" s="2668" t="s">
        <v>2398</v>
      </c>
      <c r="F21" s="2664"/>
      <c r="G21" s="2636"/>
      <c r="H21" s="2592"/>
      <c r="I21" s="2593"/>
      <c r="J21" s="3368"/>
      <c r="K21" s="3370"/>
      <c r="L21" s="2627" t="s">
        <v>2399</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2400</v>
      </c>
      <c r="D22" s="2671" t="s">
        <v>2401</v>
      </c>
      <c r="E22" s="2672" t="s">
        <v>2402</v>
      </c>
      <c r="F22" s="2664"/>
      <c r="G22" s="2585"/>
      <c r="H22" s="2592"/>
      <c r="I22" s="2593"/>
      <c r="J22" s="3368"/>
      <c r="K22" s="3370"/>
      <c r="L22" s="2627" t="s">
        <v>2403</v>
      </c>
      <c r="M22" s="2628"/>
      <c r="N22" s="2628"/>
      <c r="O22" s="2629"/>
      <c r="P22" s="2630">
        <v>365</v>
      </c>
      <c r="Q22" s="2604"/>
      <c r="R22" s="2669">
        <f>ROUND(M22*N22*O22*P22/10000,0)</f>
        <v>0</v>
      </c>
      <c r="S22" s="2585"/>
      <c r="T22" s="2585"/>
      <c r="U22" s="2585"/>
      <c r="V22" s="2593"/>
    </row>
    <row r="23" spans="1:22" s="2597" customFormat="1" ht="13.2" customHeight="1">
      <c r="A23" s="2673">
        <v>1</v>
      </c>
      <c r="B23" s="2674" t="s">
        <v>2404</v>
      </c>
      <c r="C23" s="2675">
        <f>D6</f>
        <v>0</v>
      </c>
      <c r="D23" s="2676">
        <f>C23*(1+D24)</f>
        <v>0</v>
      </c>
      <c r="E23" s="2677">
        <f>D23*(1+E24)</f>
        <v>0</v>
      </c>
      <c r="F23" s="2678"/>
      <c r="G23" s="2679"/>
      <c r="H23" s="2592"/>
      <c r="I23" s="2593"/>
      <c r="J23" s="3368"/>
      <c r="K23" s="3370"/>
      <c r="L23" s="2627" t="s">
        <v>2405</v>
      </c>
      <c r="M23" s="2628"/>
      <c r="N23" s="2628"/>
      <c r="O23" s="2629"/>
      <c r="P23" s="2630">
        <v>365</v>
      </c>
      <c r="Q23" s="2604"/>
      <c r="R23" s="2669">
        <f>ROUND(M23*N23*O23*P23/10000,0)</f>
        <v>0</v>
      </c>
      <c r="S23" s="2585"/>
      <c r="T23" s="2585"/>
      <c r="U23" s="2585"/>
      <c r="V23" s="2593"/>
    </row>
    <row r="24" spans="1:22" s="2597" customFormat="1" ht="13.2" customHeight="1">
      <c r="A24" s="2680"/>
      <c r="B24" s="2681" t="s">
        <v>2406</v>
      </c>
      <c r="C24" s="2682"/>
      <c r="D24" s="2683"/>
      <c r="E24" s="2684"/>
      <c r="F24" s="2685"/>
      <c r="G24" s="2679"/>
      <c r="H24" s="2592"/>
      <c r="I24" s="2593"/>
      <c r="J24" s="3368"/>
      <c r="K24" s="3371"/>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2" customHeight="1">
      <c r="A26" s="2673">
        <v>2</v>
      </c>
      <c r="B26" s="2674" t="s">
        <v>2408</v>
      </c>
      <c r="C26" s="2675">
        <f>D7</f>
        <v>0</v>
      </c>
      <c r="D26" s="2676">
        <f>D23*D27</f>
        <v>0</v>
      </c>
      <c r="E26" s="2677">
        <f>E23*E27</f>
        <v>0</v>
      </c>
      <c r="F26" s="2678"/>
      <c r="G26" s="2679"/>
      <c r="H26" s="2592"/>
      <c r="I26" s="2593"/>
      <c r="J26" s="3378">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2" customHeight="1">
      <c r="A27" s="2680"/>
      <c r="B27" s="2681" t="s">
        <v>2414</v>
      </c>
      <c r="C27" s="2698" t="e">
        <f>E7</f>
        <v>#DIV/0!</v>
      </c>
      <c r="D27" s="2683"/>
      <c r="E27" s="2684"/>
      <c r="F27" s="2685"/>
      <c r="G27" s="2679"/>
      <c r="H27" s="2699"/>
      <c r="I27" s="2691"/>
      <c r="J27" s="3379"/>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2"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2" customHeight="1">
      <c r="A32" s="2673">
        <v>4</v>
      </c>
      <c r="B32" s="2674" t="s">
        <v>2422</v>
      </c>
      <c r="C32" s="2675">
        <f>C23-C26-C29</f>
        <v>0</v>
      </c>
      <c r="D32" s="2676">
        <f>D23-D26-D29</f>
        <v>0</v>
      </c>
      <c r="E32" s="2677">
        <f>E23-E26-E29</f>
        <v>0</v>
      </c>
      <c r="F32" s="2678"/>
      <c r="G32" s="2585"/>
      <c r="H32" s="2592"/>
      <c r="I32" s="2593"/>
      <c r="J32" s="3361" t="s">
        <v>2314</v>
      </c>
      <c r="K32" s="3362"/>
      <c r="L32" s="2594" t="s">
        <v>2315</v>
      </c>
      <c r="M32" s="2594" t="s">
        <v>2316</v>
      </c>
      <c r="N32" s="2594" t="s">
        <v>2317</v>
      </c>
      <c r="O32" s="2594" t="s">
        <v>2318</v>
      </c>
      <c r="P32" s="2594" t="s">
        <v>2319</v>
      </c>
      <c r="Q32" s="2595" t="s">
        <v>2320</v>
      </c>
      <c r="R32" s="2714" t="s">
        <v>2321</v>
      </c>
      <c r="S32" s="2585"/>
      <c r="T32" s="2585"/>
      <c r="U32" s="2585"/>
      <c r="V32" s="2691"/>
    </row>
    <row r="33" spans="1:23" s="2597" customFormat="1" ht="13.2" customHeight="1">
      <c r="A33" s="2673"/>
      <c r="B33" s="2674"/>
      <c r="C33" s="2675"/>
      <c r="D33" s="2715"/>
      <c r="E33" s="2716"/>
      <c r="F33" s="2678"/>
      <c r="G33" s="2585"/>
      <c r="H33" s="2699"/>
      <c r="I33" s="2691"/>
      <c r="J33" s="3363" t="s">
        <v>2324</v>
      </c>
      <c r="K33" s="3364"/>
      <c r="L33" s="2600"/>
      <c r="M33" s="2600"/>
      <c r="N33" s="2600"/>
      <c r="O33" s="2600"/>
      <c r="P33" s="2600"/>
      <c r="Q33" s="2601"/>
      <c r="R33" s="2717">
        <f>SUM(L33:Q33)</f>
        <v>0</v>
      </c>
      <c r="S33" s="2585"/>
      <c r="T33" s="2585"/>
      <c r="U33" s="2585"/>
      <c r="V33" s="2593"/>
    </row>
    <row r="34" spans="1:23" s="2597" customFormat="1" ht="13.2" customHeight="1">
      <c r="A34" s="2673">
        <v>5</v>
      </c>
      <c r="B34" s="2674" t="s">
        <v>2423</v>
      </c>
      <c r="C34" s="2718"/>
      <c r="D34" s="2719"/>
      <c r="E34" s="2720"/>
      <c r="F34" s="2678"/>
      <c r="G34" s="2585"/>
      <c r="H34" s="2699"/>
      <c r="I34" s="2691"/>
      <c r="J34" s="3363" t="s">
        <v>2326</v>
      </c>
      <c r="K34" s="3364"/>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2" customHeight="1" thickBot="1">
      <c r="A36" s="2673">
        <v>7</v>
      </c>
      <c r="B36" s="2727" t="s">
        <v>2425</v>
      </c>
      <c r="C36" s="2728"/>
      <c r="D36" s="2729"/>
      <c r="E36" s="2730"/>
      <c r="F36" s="2731">
        <f>C36+D36+E36</f>
        <v>0</v>
      </c>
      <c r="G36" s="2585"/>
      <c r="H36" s="2592"/>
      <c r="I36" s="2593"/>
      <c r="J36" s="3368">
        <v>1</v>
      </c>
      <c r="K36" s="3369" t="s">
        <v>2426</v>
      </c>
      <c r="L36" s="2618"/>
      <c r="M36" s="2619"/>
      <c r="N36" s="2619"/>
      <c r="O36" s="2619"/>
      <c r="P36" s="2619"/>
      <c r="Q36" s="2619"/>
      <c r="R36" s="2602" t="s">
        <v>2338</v>
      </c>
      <c r="S36" s="2585"/>
      <c r="T36" s="2585" t="s">
        <v>2339</v>
      </c>
      <c r="U36" s="2585"/>
      <c r="V36" s="2593"/>
    </row>
    <row r="37" spans="1:23" s="2597" customFormat="1" ht="13.2" customHeight="1">
      <c r="A37" s="2673"/>
      <c r="B37" s="2674"/>
      <c r="C37" s="2674"/>
      <c r="D37" s="2674"/>
      <c r="E37" s="2674"/>
      <c r="F37" s="2678"/>
      <c r="G37" s="2585"/>
      <c r="H37" s="2592"/>
      <c r="I37" s="2593"/>
      <c r="J37" s="3368"/>
      <c r="K37" s="3370"/>
      <c r="L37" s="2627"/>
      <c r="M37" s="2628"/>
      <c r="N37" s="2604"/>
      <c r="O37" s="2629"/>
      <c r="P37" s="2629"/>
      <c r="Q37" s="2630"/>
      <c r="R37" s="2631"/>
      <c r="S37" s="2585"/>
      <c r="T37" s="2585" t="s">
        <v>2342</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368"/>
      <c r="K38" s="3370"/>
      <c r="L38" s="2627"/>
      <c r="M38" s="2628"/>
      <c r="N38" s="2604"/>
      <c r="O38" s="2629"/>
      <c r="P38" s="2629"/>
      <c r="Q38" s="2630"/>
      <c r="R38" s="2631"/>
      <c r="S38" s="2585"/>
      <c r="T38" s="2585" t="s">
        <v>2349</v>
      </c>
      <c r="U38" s="2585"/>
      <c r="V38" s="2593"/>
    </row>
    <row r="39" spans="1:23" s="2597" customFormat="1" ht="13.2" customHeight="1">
      <c r="A39" s="2673">
        <v>9</v>
      </c>
      <c r="B39" s="2674" t="s">
        <v>2427</v>
      </c>
      <c r="C39" s="2641" t="e">
        <f>C38</f>
        <v>#DIV/0!</v>
      </c>
      <c r="D39" s="2674">
        <f>D38/(1+D34)^C36</f>
        <v>0</v>
      </c>
      <c r="E39" s="2674">
        <f>E38/(1+E34)^(C36+D36)</f>
        <v>0</v>
      </c>
      <c r="F39" s="2678"/>
      <c r="G39" s="2593"/>
      <c r="H39" s="2592"/>
      <c r="I39" s="2593"/>
      <c r="J39" s="3368"/>
      <c r="K39" s="3370"/>
      <c r="L39" s="2627"/>
      <c r="M39" s="2628"/>
      <c r="N39" s="2604"/>
      <c r="O39" s="2629"/>
      <c r="P39" s="2629"/>
      <c r="Q39" s="2630"/>
      <c r="R39" s="2631"/>
      <c r="S39" s="2585"/>
      <c r="T39" s="2585"/>
      <c r="U39" s="2585"/>
      <c r="V39" s="2593"/>
    </row>
    <row r="40" spans="1:23" s="2597" customFormat="1" ht="13.2" customHeight="1">
      <c r="A40" s="2732">
        <v>10</v>
      </c>
      <c r="B40" s="2674" t="s">
        <v>2428</v>
      </c>
      <c r="C40" s="2733" t="e">
        <f>C39+D39+E39</f>
        <v>#DIV/0!</v>
      </c>
      <c r="D40" s="2734"/>
      <c r="E40" s="2734"/>
      <c r="F40" s="2735"/>
      <c r="G40" s="2585"/>
      <c r="H40" s="2592"/>
      <c r="I40" s="2593"/>
      <c r="J40" s="3368"/>
      <c r="K40" s="3371"/>
      <c r="L40" s="2647" t="s">
        <v>2367</v>
      </c>
      <c r="M40" s="2648"/>
      <c r="N40" s="2648"/>
      <c r="O40" s="2649"/>
      <c r="P40" s="2649"/>
      <c r="Q40" s="2650"/>
      <c r="R40" s="2596">
        <f>SUM(R37:R39)</f>
        <v>0</v>
      </c>
      <c r="S40" s="2585"/>
      <c r="T40" s="2585"/>
      <c r="U40" s="2585"/>
      <c r="V40" s="2593"/>
    </row>
    <row r="41" spans="1:23" s="2597" customFormat="1" ht="13.2"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2" customHeight="1">
      <c r="G42" s="2592"/>
      <c r="H42" s="2592"/>
      <c r="I42" s="2593"/>
      <c r="J42" s="3378">
        <v>3</v>
      </c>
      <c r="K42" s="2693" t="s">
        <v>2409</v>
      </c>
      <c r="L42" s="2694"/>
      <c r="M42" s="2695"/>
      <c r="N42" s="2696" t="s">
        <v>2410</v>
      </c>
      <c r="O42" s="2696" t="s">
        <v>2411</v>
      </c>
      <c r="P42" s="2697" t="s">
        <v>2412</v>
      </c>
      <c r="Q42" s="2697" t="s">
        <v>2413</v>
      </c>
      <c r="R42" s="2602" t="s">
        <v>2338</v>
      </c>
      <c r="S42" s="2636"/>
      <c r="T42" s="2636"/>
      <c r="U42" s="2585"/>
      <c r="V42" s="2593"/>
    </row>
    <row r="43" spans="1:23" ht="13.2" customHeight="1">
      <c r="A43" s="2597"/>
      <c r="B43" s="2597"/>
      <c r="C43" s="2597"/>
      <c r="D43" s="2597"/>
      <c r="E43" s="2597"/>
      <c r="F43" s="2597"/>
      <c r="I43" s="2580"/>
      <c r="J43" s="3379"/>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0" t="s">
        <v>1658</v>
      </c>
      <c r="B1" s="1721"/>
      <c r="C1" s="1721"/>
      <c r="D1" s="1721"/>
      <c r="E1" s="1722"/>
      <c r="F1" s="2472"/>
      <c r="G1" s="459"/>
      <c r="H1" s="459"/>
      <c r="I1" s="459"/>
      <c r="J1" s="459"/>
      <c r="K1" s="459"/>
      <c r="L1" s="459"/>
      <c r="M1" s="459"/>
      <c r="N1" s="459"/>
      <c r="O1" s="459"/>
      <c r="P1" s="459"/>
      <c r="Q1" s="459"/>
      <c r="R1" s="459"/>
      <c r="S1" s="459"/>
    </row>
    <row r="2" spans="1:22" ht="15.6">
      <c r="A2" s="1723" t="s">
        <v>1462</v>
      </c>
      <c r="B2" s="810">
        <f ca="1">SUMIF(B6:B13,"&lt;&gt;#ref!",B6:B13)</f>
        <v>73.445599999999999</v>
      </c>
      <c r="C2" s="1724" t="s">
        <v>1651</v>
      </c>
      <c r="D2" s="1725" t="s">
        <v>1652</v>
      </c>
      <c r="E2" s="2386">
        <f>SUM(E6:E13)</f>
        <v>121.97</v>
      </c>
      <c r="F2" s="2472"/>
      <c r="G2" s="459"/>
      <c r="H2" s="459"/>
      <c r="I2" s="459"/>
      <c r="J2" s="459"/>
      <c r="K2" s="459"/>
      <c r="L2" s="459"/>
      <c r="M2" s="459"/>
      <c r="N2" s="459"/>
      <c r="O2" s="459"/>
      <c r="P2" s="459"/>
      <c r="Q2" s="459"/>
      <c r="R2" s="459"/>
      <c r="S2" s="459"/>
    </row>
    <row r="3" spans="1:22" ht="15.6">
      <c r="A3" s="1723" t="s">
        <v>686</v>
      </c>
      <c r="B3" s="2380">
        <f ca="1">ROUND(B2*10000/E2,0)</f>
        <v>6022</v>
      </c>
      <c r="C3" s="1724" t="s">
        <v>1659</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1653</v>
      </c>
      <c r="B5" s="3380" t="s">
        <v>1654</v>
      </c>
      <c r="C5" s="3381"/>
      <c r="D5" s="2473"/>
      <c r="E5" s="1726" t="s">
        <v>1655</v>
      </c>
      <c r="F5" s="129" t="s">
        <v>1656</v>
      </c>
      <c r="G5" s="459"/>
      <c r="H5" s="459"/>
      <c r="I5" s="459"/>
      <c r="J5" s="459"/>
      <c r="K5" s="459"/>
      <c r="L5" s="459"/>
      <c r="M5" s="459"/>
      <c r="N5" s="459"/>
      <c r="O5" s="459"/>
      <c r="P5" s="459"/>
      <c r="Q5" s="459"/>
      <c r="R5" s="459"/>
      <c r="S5" s="459"/>
    </row>
    <row r="6" spans="1:22" ht="14.4">
      <c r="A6" s="2383" t="str">
        <f>'数据-取费表'!AN6</f>
        <v>收益法 (元)</v>
      </c>
      <c r="B6" s="2381">
        <f ca="1">IF(F6="是",'数据-取费表'!AO6,0)</f>
        <v>73.445599999999999</v>
      </c>
      <c r="C6" s="1724" t="s">
        <v>1651</v>
      </c>
      <c r="D6" s="2472"/>
      <c r="E6" s="2385">
        <f>IF(OR(A6=0,F6="否"),0,'数据-取费表'!K6+'数据-取费表'!S6)</f>
        <v>121.97</v>
      </c>
      <c r="F6" s="1727" t="s">
        <v>1657</v>
      </c>
      <c r="G6" s="459"/>
      <c r="H6" s="459"/>
      <c r="I6" s="459"/>
      <c r="J6" s="459"/>
      <c r="K6" s="459"/>
      <c r="L6" s="459"/>
      <c r="M6" s="459"/>
      <c r="N6" s="459"/>
      <c r="O6" s="459"/>
      <c r="P6" s="459"/>
      <c r="Q6" s="459"/>
      <c r="R6" s="459"/>
      <c r="S6" s="459"/>
    </row>
    <row r="7" spans="1:22" ht="14.4">
      <c r="A7" s="2383">
        <f>'数据-取费表'!AN7</f>
        <v>0</v>
      </c>
      <c r="B7" s="2381" t="e">
        <f ca="1">IF(F7="是",'数据-取费表'!AO7,0)</f>
        <v>#REF!</v>
      </c>
      <c r="C7" s="1724" t="s">
        <v>1651</v>
      </c>
      <c r="D7" s="2472"/>
      <c r="E7" s="2385">
        <f>IF(OR(A7=0,F7="否"),0,'数据-取费表'!K7+'数据-取费表'!S7)</f>
        <v>0</v>
      </c>
      <c r="F7" s="1727" t="s">
        <v>1657</v>
      </c>
      <c r="G7" s="459"/>
      <c r="H7" s="459"/>
      <c r="I7" s="459"/>
      <c r="J7" s="459"/>
      <c r="K7" s="459"/>
      <c r="L7" s="459"/>
      <c r="M7" s="459"/>
      <c r="N7" s="459"/>
      <c r="O7" s="459"/>
      <c r="P7" s="459"/>
      <c r="Q7" s="459"/>
      <c r="R7" s="459"/>
      <c r="S7" s="459"/>
    </row>
    <row r="8" spans="1:22" ht="14.4">
      <c r="A8" s="2383">
        <f>'数据-取费表'!AN8</f>
        <v>0</v>
      </c>
      <c r="B8" s="2381" t="e">
        <f ca="1">IF(F8="是",'数据-取费表'!AO8,0)</f>
        <v>#REF!</v>
      </c>
      <c r="C8" s="1724" t="s">
        <v>1651</v>
      </c>
      <c r="D8" s="2472"/>
      <c r="E8" s="2385">
        <f>IF(OR(A8=0,F8="否"),0,'数据-取费表'!K8+'数据-取费表'!S8)</f>
        <v>0</v>
      </c>
      <c r="F8" s="1727" t="s">
        <v>1657</v>
      </c>
      <c r="G8" s="459"/>
      <c r="H8" s="459"/>
      <c r="I8" s="459"/>
      <c r="J8" s="459"/>
      <c r="K8" s="459"/>
      <c r="L8" s="459"/>
      <c r="M8" s="459"/>
      <c r="N8" s="459"/>
      <c r="O8" s="459"/>
      <c r="P8" s="459"/>
      <c r="Q8" s="459"/>
      <c r="R8" s="459"/>
      <c r="S8" s="459"/>
    </row>
    <row r="9" spans="1:22" ht="14.4">
      <c r="A9" s="2383">
        <f>'数据-取费表'!AN9</f>
        <v>0</v>
      </c>
      <c r="B9" s="2381" t="e">
        <f ca="1">IF(F9="是",'数据-取费表'!AO9,0)</f>
        <v>#REF!</v>
      </c>
      <c r="C9" s="1724" t="s">
        <v>1651</v>
      </c>
      <c r="D9" s="2472"/>
      <c r="E9" s="2385">
        <f>IF(OR(A9=0,F9="否"),0,'数据-取费表'!K9+'数据-取费表'!S9)</f>
        <v>0</v>
      </c>
      <c r="F9" s="1727"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4" t="s">
        <v>1651</v>
      </c>
      <c r="D10" s="2472"/>
      <c r="E10" s="2385">
        <f>IF(OR(A10=0,F10="否"),0,'数据-取费表'!K10+'数据-取费表'!S10)</f>
        <v>0</v>
      </c>
      <c r="F10" s="1727"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4" t="s">
        <v>1651</v>
      </c>
      <c r="D11" s="2472"/>
      <c r="E11" s="2385">
        <f>IF(OR(A11=0,F11="否"),0,'数据-取费表'!K11+'数据-取费表'!S11)</f>
        <v>0</v>
      </c>
      <c r="F11" s="1727"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4" t="s">
        <v>1651</v>
      </c>
      <c r="D12" s="2472"/>
      <c r="E12" s="2385">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8" t="s">
        <v>1651</v>
      </c>
      <c r="D13" s="2474"/>
      <c r="E13" s="2385">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5" t="s">
        <v>898</v>
      </c>
    </row>
    <row r="3" spans="1:1" ht="17.399999999999999">
      <c r="A3" s="1376" t="str">
        <f>项目基本情况!B5&amp;"："</f>
        <v>：</v>
      </c>
    </row>
    <row r="4" spans="1:1" ht="34.799999999999997">
      <c r="A4" s="1377" t="str">
        <f>"受贵公司委托，我公司对"&amp;项目基本情况!S1&amp;"进行了预评估。"</f>
        <v>受贵公司委托，我公司对天津市南开区卫津南路西侧柏悦花园房地产抵押价值进行了预评估。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4.6">
      <c r="A8" s="1380" t="s">
        <v>901</v>
      </c>
    </row>
    <row r="9" spans="1:1" ht="17.399999999999999">
      <c r="A9" s="1379" t="s">
        <v>902</v>
      </c>
    </row>
    <row r="10" spans="1:1" ht="69.59999999999999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2024年9月20日（评估专业人员实地查勘之日）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"本次评估采用的主估价方法为"&amp;结果表!K4&amp;"和"&amp;结果表!L4&amp;"。"</f>
        <v>本次评估采用的主估价方法为比较法和收益法。</v>
      </c>
    </row>
    <row r="25" spans="1:1" ht="17.399999999999999">
      <c r="A25" s="1382"/>
    </row>
    <row r="26" spans="1:1" ht="17.399999999999999">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70" zoomScaleNormal="60" zoomScaleSheetLayoutView="70" workbookViewId="0">
      <selection activeCell="K27" sqref="K27"/>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29" t="s">
        <v>1661</v>
      </c>
      <c r="C1" s="1152" t="s">
        <v>1662</v>
      </c>
      <c r="D1" s="1139" t="s">
        <v>3558</v>
      </c>
      <c r="E1" s="3117" t="s">
        <v>3572</v>
      </c>
      <c r="F1" s="1730" t="s">
        <v>3573</v>
      </c>
      <c r="G1" s="1149" t="s">
        <v>1663</v>
      </c>
      <c r="H1" s="1148"/>
      <c r="I1" s="1148"/>
      <c r="J1" s="1148"/>
      <c r="K1" s="1150"/>
      <c r="L1" s="1151"/>
      <c r="M1" s="1152"/>
      <c r="N1" s="1152"/>
      <c r="O1" s="1152"/>
      <c r="P1" s="1731"/>
      <c r="Q1" s="1138"/>
      <c r="R1" s="1138"/>
      <c r="S1" s="1138"/>
      <c r="T1" s="1138"/>
      <c r="U1" s="1138"/>
      <c r="V1" s="1138"/>
      <c r="W1" s="1138"/>
      <c r="X1" s="1138"/>
      <c r="Y1" s="1138"/>
      <c r="Z1" s="1138"/>
      <c r="AA1" s="1138"/>
      <c r="AB1" s="1138"/>
      <c r="AC1" s="1146"/>
    </row>
    <row r="2" spans="1:29" s="338" customFormat="1" ht="28.5" customHeight="1" thickTop="1">
      <c r="A2" s="1135" t="s">
        <v>685</v>
      </c>
      <c r="B2" s="3118">
        <f>IF(E1="项目模式",IF(C2="——",ROUND(C49*D3/10000,0),ROUND(C49*D3/10000,0)-D2),IF(E1="单套模式",IF(C2="——",ROUND(C49*D3/10000,4),ROUND(C49*D3/10000,4)-D2)))</f>
        <v>265.72379999999998</v>
      </c>
      <c r="C2" s="1732" t="s">
        <v>43</v>
      </c>
      <c r="D2" s="1049" t="e">
        <f ca="1">IF(E1="项目模式",SUMIF(INDIRECT("'"&amp;F2&amp;"'"&amp;"!A:A"),"承租人权益价值",INDIRECT("'"&amp;F2&amp;"'"&amp;"!c:c")),SUMIF(INDIRECT("'"&amp;F2&amp;"'"&amp;"!A:A"),"承租人权益价值（单套）",INDIRECT("'"&amp;F2&amp;"'"&amp;"!c:c")))</f>
        <v>#REF!</v>
      </c>
      <c r="E2" s="1733" t="s">
        <v>1664</v>
      </c>
      <c r="F2" s="1734"/>
      <c r="G2" s="852"/>
      <c r="H2" s="852"/>
      <c r="I2" s="852"/>
      <c r="J2" s="852"/>
      <c r="K2" s="1735"/>
      <c r="L2" s="2477"/>
      <c r="M2" s="2478"/>
      <c r="N2" s="2478"/>
      <c r="O2" s="2478"/>
      <c r="P2" s="1736"/>
      <c r="Q2" s="1737"/>
      <c r="R2" s="1737"/>
      <c r="S2" s="1737"/>
      <c r="T2" s="1737"/>
      <c r="U2" s="1737"/>
      <c r="V2" s="1737"/>
      <c r="W2" s="1737"/>
      <c r="X2" s="1737"/>
      <c r="Y2" s="1737"/>
      <c r="Z2" s="1737"/>
      <c r="AA2" s="1737"/>
      <c r="AB2" s="1737"/>
      <c r="AC2" s="995"/>
    </row>
    <row r="3" spans="1:29" s="338" customFormat="1" ht="28.5" customHeight="1" thickBot="1">
      <c r="A3" s="195" t="s">
        <v>686</v>
      </c>
      <c r="B3" s="343">
        <f>IF(C2="——",C49,ROUND(B2*10000/D3,0))</f>
        <v>21786</v>
      </c>
      <c r="C3" s="344" t="s">
        <v>1665</v>
      </c>
      <c r="D3" s="343">
        <f>IF(D1="",'数据-汇总表'!E3,SUMIF('数据-汇总表'!$C19:$C33,D1,'数据-汇总表'!$E19:$E33))</f>
        <v>121.97</v>
      </c>
      <c r="E3" s="852"/>
      <c r="F3" s="1738"/>
      <c r="G3" s="852"/>
      <c r="H3" s="852"/>
      <c r="I3" s="852"/>
      <c r="J3" s="852"/>
      <c r="K3" s="1735"/>
      <c r="L3" s="2477"/>
      <c r="M3" s="2478"/>
      <c r="N3" s="2478"/>
      <c r="O3" s="2478"/>
      <c r="P3" s="1736"/>
      <c r="Q3" s="1737"/>
      <c r="R3" s="1737"/>
      <c r="S3" s="1737"/>
      <c r="T3" s="1737"/>
      <c r="U3" s="1737"/>
      <c r="V3" s="1737"/>
      <c r="W3" s="1737"/>
      <c r="X3" s="1737"/>
      <c r="Y3" s="1737"/>
      <c r="Z3" s="1737"/>
      <c r="AA3" s="1737"/>
      <c r="AB3" s="1737"/>
      <c r="AC3" s="995"/>
    </row>
    <row r="4" spans="1:29" ht="14.4">
      <c r="A4" s="345" t="s">
        <v>1666</v>
      </c>
      <c r="B4" s="346"/>
      <c r="C4" s="3401" t="s">
        <v>1667</v>
      </c>
      <c r="D4" s="3402"/>
      <c r="E4" s="3403" t="s">
        <v>1668</v>
      </c>
      <c r="F4" s="3404"/>
      <c r="G4" s="3401" t="s">
        <v>1669</v>
      </c>
      <c r="H4" s="3402"/>
      <c r="I4" s="3401" t="s">
        <v>1670</v>
      </c>
      <c r="J4" s="3402"/>
      <c r="K4" s="1739" t="s">
        <v>1671</v>
      </c>
      <c r="L4" s="2479"/>
      <c r="M4" s="2480"/>
      <c r="N4" s="2480"/>
      <c r="O4" s="2480"/>
      <c r="P4" s="3405" t="s">
        <v>1672</v>
      </c>
      <c r="Q4" s="3406"/>
      <c r="R4" s="3387" t="s">
        <v>1668</v>
      </c>
      <c r="S4" s="3388"/>
      <c r="T4" s="3387" t="s">
        <v>1669</v>
      </c>
      <c r="U4" s="3388"/>
      <c r="V4" s="3413" t="s">
        <v>1670</v>
      </c>
      <c r="W4" s="3413"/>
      <c r="X4" s="1260"/>
      <c r="Y4" s="3387" t="s">
        <v>1672</v>
      </c>
      <c r="Z4" s="3388"/>
      <c r="AA4" s="3382" t="s">
        <v>1668</v>
      </c>
      <c r="AB4" s="3382" t="s">
        <v>1669</v>
      </c>
      <c r="AC4" s="3382" t="s">
        <v>1670</v>
      </c>
    </row>
    <row r="5" spans="1:29">
      <c r="A5" s="348"/>
      <c r="B5" s="349"/>
      <c r="C5" s="3393" t="s">
        <v>3614</v>
      </c>
      <c r="D5" s="3394"/>
      <c r="E5" s="3391" t="str">
        <f>C5</f>
        <v>柏悦花园</v>
      </c>
      <c r="F5" s="3392"/>
      <c r="G5" s="3397" t="str">
        <f>C5</f>
        <v>柏悦花园</v>
      </c>
      <c r="H5" s="3394"/>
      <c r="I5" s="3397" t="str">
        <f>C5</f>
        <v>柏悦花园</v>
      </c>
      <c r="J5" s="3394"/>
      <c r="K5" s="1740"/>
      <c r="L5" s="2479"/>
      <c r="M5" s="2480"/>
      <c r="N5" s="2480"/>
      <c r="O5" s="2480"/>
      <c r="P5" s="3407"/>
      <c r="Q5" s="3408"/>
      <c r="R5" s="3389"/>
      <c r="S5" s="3390"/>
      <c r="T5" s="3389"/>
      <c r="U5" s="3390"/>
      <c r="V5" s="3413"/>
      <c r="W5" s="3413"/>
      <c r="X5" s="1260"/>
      <c r="Y5" s="3389"/>
      <c r="Z5" s="3390"/>
      <c r="AA5" s="3383"/>
      <c r="AB5" s="3383"/>
      <c r="AC5" s="3383"/>
    </row>
    <row r="6" spans="1:29" ht="15" thickBot="1">
      <c r="A6" s="350"/>
      <c r="B6" s="351"/>
      <c r="C6" s="3395" t="s">
        <v>1677</v>
      </c>
      <c r="D6" s="3396"/>
      <c r="E6" s="3398" t="s">
        <v>1677</v>
      </c>
      <c r="F6" s="3399"/>
      <c r="G6" s="3395" t="s">
        <v>1677</v>
      </c>
      <c r="H6" s="3396"/>
      <c r="I6" s="3395" t="s">
        <v>1677</v>
      </c>
      <c r="J6" s="3396"/>
      <c r="K6" s="1740" t="s">
        <v>1678</v>
      </c>
      <c r="L6" s="2479"/>
      <c r="M6" s="2480"/>
      <c r="N6" s="2480"/>
      <c r="O6" s="2480"/>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v>45536</v>
      </c>
      <c r="F7" s="357">
        <f>SUMIF(58:58,YEAR(E7)&amp;"-"&amp;MONTH(E7),59:59)</f>
        <v>100</v>
      </c>
      <c r="G7" s="356">
        <f>E7</f>
        <v>45536</v>
      </c>
      <c r="H7" s="355">
        <f>SUMIF(58:58,YEAR(G7)&amp;"-"&amp;MONTH(G7),59:59)</f>
        <v>100</v>
      </c>
      <c r="I7" s="356">
        <f>E7</f>
        <v>45536</v>
      </c>
      <c r="J7" s="355">
        <f>SUMIF(58:58,YEAR(I7)&amp;"-"&amp;MONTH(I7),59:59)</f>
        <v>100</v>
      </c>
      <c r="K7" s="1741"/>
      <c r="L7" s="2481"/>
      <c r="M7" s="2433"/>
      <c r="N7" s="2433"/>
      <c r="O7" s="2433"/>
      <c r="P7" s="3385" t="s">
        <v>1680</v>
      </c>
      <c r="Q7" s="3414"/>
      <c r="R7" s="663" t="s">
        <v>20</v>
      </c>
      <c r="S7" s="664">
        <f t="shared" ref="S7:S15" si="0">F7</f>
        <v>100</v>
      </c>
      <c r="T7" s="663" t="s">
        <v>20</v>
      </c>
      <c r="U7" s="664">
        <f t="shared" ref="U7:U15" si="1">H7</f>
        <v>100</v>
      </c>
      <c r="V7" s="663" t="s">
        <v>20</v>
      </c>
      <c r="W7" s="664">
        <f t="shared" ref="W7:W15" si="2">J7</f>
        <v>100</v>
      </c>
      <c r="X7" s="665"/>
      <c r="Y7" s="3385" t="s">
        <v>1680</v>
      </c>
      <c r="Z7" s="3386"/>
      <c r="AA7" s="50">
        <f>D7/F7</f>
        <v>1</v>
      </c>
      <c r="AB7" s="50">
        <f>D7/H7</f>
        <v>1</v>
      </c>
      <c r="AC7" s="50">
        <f>D7/J7</f>
        <v>1</v>
      </c>
    </row>
    <row r="8" spans="1:29" s="102" customFormat="1" ht="15" thickBot="1">
      <c r="A8" s="352" t="s">
        <v>1681</v>
      </c>
      <c r="B8" s="353"/>
      <c r="C8" s="358" t="s">
        <v>3571</v>
      </c>
      <c r="D8" s="355">
        <v>100</v>
      </c>
      <c r="E8" s="1742" t="s">
        <v>3568</v>
      </c>
      <c r="F8" s="357">
        <f>SUMIF(61:61,E8,62:62)-SUMIF(61:61,C8,62:62)+100</f>
        <v>105</v>
      </c>
      <c r="G8" s="358" t="s">
        <v>3568</v>
      </c>
      <c r="H8" s="355">
        <f>SUMIF(61:61,G8,62:62)-SUMIF(61:61,C8,62:62)+100</f>
        <v>105</v>
      </c>
      <c r="I8" s="1742" t="s">
        <v>3568</v>
      </c>
      <c r="J8" s="355">
        <f>SUMIF(61:61,I8,62:62)-SUMIF(61:61,C8,62:62)+100</f>
        <v>105</v>
      </c>
      <c r="K8" s="1741"/>
      <c r="L8" s="2481"/>
      <c r="M8" s="2433"/>
      <c r="N8" s="2433"/>
      <c r="O8" s="2433"/>
      <c r="P8" s="3385" t="s">
        <v>1683</v>
      </c>
      <c r="Q8" s="3386"/>
      <c r="R8" s="663" t="s">
        <v>20</v>
      </c>
      <c r="S8" s="664">
        <f t="shared" si="0"/>
        <v>105</v>
      </c>
      <c r="T8" s="663" t="s">
        <v>20</v>
      </c>
      <c r="U8" s="664">
        <f t="shared" si="1"/>
        <v>105</v>
      </c>
      <c r="V8" s="663" t="s">
        <v>20</v>
      </c>
      <c r="W8" s="664">
        <f t="shared" si="2"/>
        <v>105</v>
      </c>
      <c r="X8" s="665"/>
      <c r="Y8" s="3385" t="s">
        <v>1683</v>
      </c>
      <c r="Z8" s="3386"/>
      <c r="AA8" s="50">
        <f t="shared" ref="AA8:AA19" si="3">D8/F8</f>
        <v>0.95238095238095233</v>
      </c>
      <c r="AB8" s="50">
        <f t="shared" ref="AB8:AB19" si="4">D8/H8</f>
        <v>0.95238095238095233</v>
      </c>
      <c r="AC8" s="50">
        <f t="shared" ref="AC8:AC19" si="5">D8/J8</f>
        <v>0.95238095238095233</v>
      </c>
    </row>
    <row r="9" spans="1:29" s="102" customFormat="1" ht="14.4">
      <c r="A9" s="359" t="s">
        <v>1684</v>
      </c>
      <c r="B9" s="60" t="s">
        <v>1685</v>
      </c>
      <c r="C9" s="3150" t="s">
        <v>3570</v>
      </c>
      <c r="D9" s="59">
        <v>100</v>
      </c>
      <c r="E9" s="361" t="s">
        <v>674</v>
      </c>
      <c r="F9" s="60">
        <f>SUMIF(63:63,E9,64:64)-SUMIF(63:63,C9,64:64)+100</f>
        <v>100</v>
      </c>
      <c r="G9" s="362" t="s">
        <v>674</v>
      </c>
      <c r="H9" s="59">
        <f>SUMIF(63:63,G9,64:64)-SUMIF(63:63,C9,64:64)+100</f>
        <v>100</v>
      </c>
      <c r="I9" s="362" t="s">
        <v>674</v>
      </c>
      <c r="J9" s="59">
        <f>SUMIF(63:63,I9,64:64)-SUMIF(63:63,C9,64:64)+100</f>
        <v>100</v>
      </c>
      <c r="K9" s="1741"/>
      <c r="L9" s="2481"/>
      <c r="M9" s="2433"/>
      <c r="N9" s="2433"/>
      <c r="O9" s="2433"/>
      <c r="P9" s="3400"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1"/>
      <c r="L10" s="2482"/>
      <c r="M10" s="2483"/>
      <c r="N10" s="2483"/>
      <c r="O10" s="2483"/>
      <c r="P10" s="3400"/>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400"/>
      <c r="Q11" s="530" t="str">
        <f t="shared" si="6"/>
        <v>容积率</v>
      </c>
      <c r="R11" s="663" t="s">
        <v>18</v>
      </c>
      <c r="S11" s="664">
        <f t="shared" si="0"/>
        <v>100</v>
      </c>
      <c r="T11" s="663" t="s">
        <v>18</v>
      </c>
      <c r="U11" s="664">
        <f t="shared" si="1"/>
        <v>100</v>
      </c>
      <c r="V11" s="663" t="s">
        <v>18</v>
      </c>
      <c r="W11" s="664">
        <f t="shared" si="2"/>
        <v>100</v>
      </c>
      <c r="X11" s="665"/>
      <c r="Y11" s="332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1"/>
      <c r="M12" s="2433"/>
      <c r="N12" s="2433"/>
      <c r="O12" s="2433"/>
      <c r="P12" s="3400"/>
      <c r="Q12" s="530">
        <f t="shared" si="6"/>
        <v>111</v>
      </c>
      <c r="R12" s="663" t="s">
        <v>18</v>
      </c>
      <c r="S12" s="664">
        <f t="shared" si="0"/>
        <v>100</v>
      </c>
      <c r="T12" s="663" t="s">
        <v>18</v>
      </c>
      <c r="U12" s="664">
        <f t="shared" si="1"/>
        <v>100</v>
      </c>
      <c r="V12" s="663" t="s">
        <v>18</v>
      </c>
      <c r="W12" s="664">
        <f t="shared" si="2"/>
        <v>100</v>
      </c>
      <c r="X12" s="665"/>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5"/>
      <c r="M13" s="2480"/>
      <c r="N13" s="2480"/>
      <c r="O13" s="2480"/>
      <c r="P13" s="3400"/>
      <c r="Q13" s="530">
        <f t="shared" si="6"/>
        <v>111</v>
      </c>
      <c r="R13" s="663" t="s">
        <v>18</v>
      </c>
      <c r="S13" s="664">
        <f t="shared" si="0"/>
        <v>100</v>
      </c>
      <c r="T13" s="663" t="s">
        <v>18</v>
      </c>
      <c r="U13" s="664">
        <f t="shared" si="1"/>
        <v>100</v>
      </c>
      <c r="V13" s="663" t="s">
        <v>18</v>
      </c>
      <c r="W13" s="664">
        <f t="shared" si="2"/>
        <v>100</v>
      </c>
      <c r="X13" s="665"/>
      <c r="Y13" s="3329"/>
      <c r="Z13" s="50">
        <f t="shared" si="7"/>
        <v>111</v>
      </c>
      <c r="AA13" s="50">
        <f t="shared" si="3"/>
        <v>1</v>
      </c>
      <c r="AB13" s="50">
        <f t="shared" si="4"/>
        <v>1</v>
      </c>
      <c r="AC13" s="50">
        <f t="shared" si="5"/>
        <v>1</v>
      </c>
    </row>
    <row r="14" spans="1:29" ht="15.6"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5"/>
      <c r="M14" s="2480"/>
      <c r="N14" s="2480"/>
      <c r="O14" s="2480"/>
      <c r="P14" s="3400"/>
      <c r="Q14" s="530">
        <f t="shared" si="6"/>
        <v>111</v>
      </c>
      <c r="R14" s="663" t="s">
        <v>18</v>
      </c>
      <c r="S14" s="664">
        <f t="shared" si="0"/>
        <v>100</v>
      </c>
      <c r="T14" s="663" t="s">
        <v>18</v>
      </c>
      <c r="U14" s="664">
        <f t="shared" si="1"/>
        <v>100</v>
      </c>
      <c r="V14" s="663" t="s">
        <v>18</v>
      </c>
      <c r="W14" s="664">
        <f t="shared" si="2"/>
        <v>100</v>
      </c>
      <c r="X14" s="665"/>
      <c r="Y14" s="3329"/>
      <c r="Z14" s="50">
        <f t="shared" si="7"/>
        <v>111</v>
      </c>
      <c r="AA14" s="50">
        <f t="shared" si="3"/>
        <v>1</v>
      </c>
      <c r="AB14" s="50">
        <f t="shared" si="4"/>
        <v>1</v>
      </c>
      <c r="AC14" s="50">
        <f t="shared" si="5"/>
        <v>1</v>
      </c>
    </row>
    <row r="15" spans="1:29" ht="96.6">
      <c r="A15" s="379" t="s">
        <v>1690</v>
      </c>
      <c r="B15" s="58" t="s">
        <v>1257</v>
      </c>
      <c r="C15" s="174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5"/>
      <c r="M15" s="2480"/>
      <c r="N15" s="2480"/>
      <c r="O15" s="2480"/>
      <c r="P15" s="3426" t="s">
        <v>1691</v>
      </c>
      <c r="Q15" s="1258" t="str">
        <f t="shared" si="6"/>
        <v>居住社区成熟度</v>
      </c>
      <c r="R15" s="666" t="s">
        <v>18</v>
      </c>
      <c r="S15" s="667">
        <f t="shared" si="0"/>
        <v>100</v>
      </c>
      <c r="T15" s="666" t="s">
        <v>18</v>
      </c>
      <c r="U15" s="667">
        <f t="shared" si="1"/>
        <v>100</v>
      </c>
      <c r="V15" s="666" t="s">
        <v>18</v>
      </c>
      <c r="W15" s="667">
        <f t="shared" si="2"/>
        <v>100</v>
      </c>
      <c r="X15" s="1260"/>
      <c r="Y15" s="3419" t="s">
        <v>1691</v>
      </c>
      <c r="Z15" s="1259" t="str">
        <f t="shared" si="7"/>
        <v>居住社区成熟度</v>
      </c>
      <c r="AA15" s="1259">
        <f t="shared" si="3"/>
        <v>1</v>
      </c>
      <c r="AB15" s="1259">
        <f t="shared" si="4"/>
        <v>1</v>
      </c>
      <c r="AC15" s="1259">
        <f t="shared" si="5"/>
        <v>1</v>
      </c>
    </row>
    <row r="16" spans="1:29" ht="15">
      <c r="A16" s="367"/>
      <c r="B16" s="385"/>
      <c r="C16" s="386" t="s">
        <v>3574</v>
      </c>
      <c r="D16" s="387"/>
      <c r="E16" s="1746" t="s">
        <v>3574</v>
      </c>
      <c r="F16" s="387"/>
      <c r="G16" s="1747" t="s">
        <v>3574</v>
      </c>
      <c r="H16" s="389"/>
      <c r="I16" s="1747" t="s">
        <v>3574</v>
      </c>
      <c r="J16" s="387"/>
      <c r="K16" s="1748"/>
      <c r="L16" s="2485"/>
      <c r="M16" s="2480"/>
      <c r="N16" s="2480"/>
      <c r="O16" s="2480"/>
      <c r="P16" s="3427"/>
      <c r="Q16" s="1258"/>
      <c r="R16" s="666"/>
      <c r="S16" s="667"/>
      <c r="T16" s="666"/>
      <c r="U16" s="667"/>
      <c r="V16" s="666"/>
      <c r="W16" s="667"/>
      <c r="X16" s="1260"/>
      <c r="Y16" s="3420"/>
      <c r="Z16" s="1259"/>
      <c r="AA16" s="1259">
        <v>1</v>
      </c>
      <c r="AB16" s="1259">
        <v>1</v>
      </c>
      <c r="AC16" s="1259">
        <v>1</v>
      </c>
    </row>
    <row r="17" spans="1:29" ht="82.8">
      <c r="A17" s="367"/>
      <c r="B17" s="390" t="s">
        <v>1259</v>
      </c>
      <c r="C17" s="174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427"/>
      <c r="Q17" s="1258" t="str">
        <f>B17</f>
        <v>交通便捷度</v>
      </c>
      <c r="R17" s="666" t="s">
        <v>18</v>
      </c>
      <c r="S17" s="667">
        <f>F17</f>
        <v>100</v>
      </c>
      <c r="T17" s="666" t="s">
        <v>18</v>
      </c>
      <c r="U17" s="667">
        <f>H17</f>
        <v>100</v>
      </c>
      <c r="V17" s="666" t="s">
        <v>18</v>
      </c>
      <c r="W17" s="667">
        <f>J17</f>
        <v>100</v>
      </c>
      <c r="X17" s="1260"/>
      <c r="Y17" s="3420"/>
      <c r="Z17" s="1259" t="str">
        <f>Q17</f>
        <v>交通便捷度</v>
      </c>
      <c r="AA17" s="1259">
        <f t="shared" si="3"/>
        <v>1</v>
      </c>
      <c r="AB17" s="1259">
        <f t="shared" si="4"/>
        <v>1</v>
      </c>
      <c r="AC17" s="1259">
        <f t="shared" si="5"/>
        <v>1</v>
      </c>
    </row>
    <row r="18" spans="1:29" ht="15">
      <c r="A18" s="367"/>
      <c r="B18" s="395"/>
      <c r="C18" s="1750" t="s">
        <v>3574</v>
      </c>
      <c r="D18" s="389"/>
      <c r="E18" s="1751" t="s">
        <v>3574</v>
      </c>
      <c r="F18" s="389"/>
      <c r="G18" s="1752" t="s">
        <v>3574</v>
      </c>
      <c r="H18" s="387"/>
      <c r="I18" s="1752" t="s">
        <v>3574</v>
      </c>
      <c r="J18" s="387"/>
      <c r="K18" s="1748"/>
      <c r="L18" s="2485"/>
      <c r="M18" s="2480"/>
      <c r="N18" s="2480"/>
      <c r="O18" s="2480"/>
      <c r="P18" s="3427"/>
      <c r="Q18" s="1258"/>
      <c r="R18" s="666"/>
      <c r="S18" s="667"/>
      <c r="T18" s="666"/>
      <c r="U18" s="667"/>
      <c r="V18" s="666"/>
      <c r="W18" s="667"/>
      <c r="X18" s="1260"/>
      <c r="Y18" s="3420"/>
      <c r="Z18" s="1259"/>
      <c r="AA18" s="1259">
        <v>1</v>
      </c>
      <c r="AB18" s="1259">
        <v>1</v>
      </c>
      <c r="AC18" s="1259">
        <v>1</v>
      </c>
    </row>
    <row r="19" spans="1:29" ht="41.4">
      <c r="A19" s="367"/>
      <c r="B19" s="390" t="s">
        <v>1258</v>
      </c>
      <c r="C19" s="174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427"/>
      <c r="Q19" s="1258" t="str">
        <f>B19</f>
        <v>公共配套设施</v>
      </c>
      <c r="R19" s="666" t="s">
        <v>18</v>
      </c>
      <c r="S19" s="667">
        <f>F19</f>
        <v>100</v>
      </c>
      <c r="T19" s="666" t="s">
        <v>18</v>
      </c>
      <c r="U19" s="667">
        <f>H19</f>
        <v>100</v>
      </c>
      <c r="V19" s="666" t="s">
        <v>18</v>
      </c>
      <c r="W19" s="667">
        <f>J19</f>
        <v>100</v>
      </c>
      <c r="X19" s="1260"/>
      <c r="Y19" s="3420"/>
      <c r="Z19" s="1259" t="str">
        <f>Q19</f>
        <v>公共配套设施</v>
      </c>
      <c r="AA19" s="1259">
        <f t="shared" si="3"/>
        <v>1</v>
      </c>
      <c r="AB19" s="1259">
        <f t="shared" si="4"/>
        <v>1</v>
      </c>
      <c r="AC19" s="1259">
        <f t="shared" si="5"/>
        <v>1</v>
      </c>
    </row>
    <row r="20" spans="1:29" ht="15">
      <c r="A20" s="367"/>
      <c r="B20" s="395"/>
      <c r="C20" s="386" t="s">
        <v>3574</v>
      </c>
      <c r="D20" s="387"/>
      <c r="E20" s="1746" t="s">
        <v>3574</v>
      </c>
      <c r="F20" s="387"/>
      <c r="G20" s="1747" t="s">
        <v>3574</v>
      </c>
      <c r="H20" s="387"/>
      <c r="I20" s="1747" t="s">
        <v>3574</v>
      </c>
      <c r="J20" s="387"/>
      <c r="K20" s="1748"/>
      <c r="L20" s="2485"/>
      <c r="M20" s="2480"/>
      <c r="N20" s="2480"/>
      <c r="O20" s="2480"/>
      <c r="P20" s="3427"/>
      <c r="Q20" s="1258"/>
      <c r="R20" s="666"/>
      <c r="S20" s="667"/>
      <c r="T20" s="666"/>
      <c r="U20" s="667"/>
      <c r="V20" s="666"/>
      <c r="W20" s="667"/>
      <c r="X20" s="1260"/>
      <c r="Y20" s="3420"/>
      <c r="Z20" s="1259"/>
      <c r="AA20" s="1259">
        <v>1</v>
      </c>
      <c r="AB20" s="1259">
        <v>1</v>
      </c>
      <c r="AC20" s="1259">
        <v>1</v>
      </c>
    </row>
    <row r="21" spans="1:29" ht="27.6">
      <c r="A21" s="367"/>
      <c r="B21" s="586" t="s">
        <v>1260</v>
      </c>
      <c r="C21" s="174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427"/>
      <c r="Q21" s="1258" t="str">
        <f>B21</f>
        <v>基础设施水平</v>
      </c>
      <c r="R21" s="666" t="s">
        <v>14</v>
      </c>
      <c r="S21" s="667">
        <f>F21</f>
        <v>100</v>
      </c>
      <c r="T21" s="666" t="s">
        <v>14</v>
      </c>
      <c r="U21" s="667">
        <f>H21</f>
        <v>100</v>
      </c>
      <c r="V21" s="666" t="s">
        <v>14</v>
      </c>
      <c r="W21" s="667">
        <f>J21</f>
        <v>100</v>
      </c>
      <c r="X21" s="1260"/>
      <c r="Y21" s="3420"/>
      <c r="Z21" s="1259" t="str">
        <f>Q21</f>
        <v>基础设施水平</v>
      </c>
      <c r="AA21" s="1259">
        <f t="shared" ref="AA21" si="8">D21/F21</f>
        <v>1</v>
      </c>
      <c r="AB21" s="1259">
        <f t="shared" ref="AB21" si="9">D21/H21</f>
        <v>1</v>
      </c>
      <c r="AC21" s="1259">
        <f t="shared" ref="AC21" si="10">D21/J21</f>
        <v>1</v>
      </c>
    </row>
    <row r="22" spans="1:29" ht="15">
      <c r="A22" s="367"/>
      <c r="B22" s="586"/>
      <c r="C22" s="1750" t="s">
        <v>3612</v>
      </c>
      <c r="D22" s="387"/>
      <c r="E22" s="386" t="s">
        <v>3612</v>
      </c>
      <c r="F22" s="387"/>
      <c r="G22" s="1753" t="s">
        <v>3612</v>
      </c>
      <c r="H22" s="387"/>
      <c r="I22" s="386" t="s">
        <v>3612</v>
      </c>
      <c r="J22" s="387"/>
      <c r="K22" s="1754"/>
      <c r="L22" s="2485"/>
      <c r="M22" s="2480"/>
      <c r="N22" s="2480"/>
      <c r="O22" s="2480"/>
      <c r="P22" s="3427"/>
      <c r="Q22" s="1258"/>
      <c r="R22" s="666"/>
      <c r="S22" s="667"/>
      <c r="T22" s="666"/>
      <c r="U22" s="667"/>
      <c r="V22" s="666"/>
      <c r="W22" s="667"/>
      <c r="X22" s="1260"/>
      <c r="Y22" s="3420"/>
      <c r="Z22" s="1259"/>
      <c r="AA22" s="1259">
        <v>1</v>
      </c>
      <c r="AB22" s="1259">
        <v>1</v>
      </c>
      <c r="AC22" s="1259">
        <v>1</v>
      </c>
    </row>
    <row r="23" spans="1:29" ht="55.2">
      <c r="A23" s="367"/>
      <c r="B23" s="390" t="s">
        <v>1261</v>
      </c>
      <c r="C23" s="174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427"/>
      <c r="Q23" s="1258" t="str">
        <f>B23</f>
        <v>自然及人文环境</v>
      </c>
      <c r="R23" s="666" t="s">
        <v>18</v>
      </c>
      <c r="S23" s="667">
        <f>F23</f>
        <v>100</v>
      </c>
      <c r="T23" s="666" t="s">
        <v>18</v>
      </c>
      <c r="U23" s="667">
        <f>H23</f>
        <v>100</v>
      </c>
      <c r="V23" s="666" t="s">
        <v>18</v>
      </c>
      <c r="W23" s="667">
        <f>J23</f>
        <v>100</v>
      </c>
      <c r="X23" s="1260"/>
      <c r="Y23" s="3420"/>
      <c r="Z23" s="1259" t="str">
        <f>Q23</f>
        <v>自然及人文环境</v>
      </c>
      <c r="AA23" s="1259">
        <f>D23/F23</f>
        <v>1</v>
      </c>
      <c r="AB23" s="1259">
        <f>D23/H23</f>
        <v>1</v>
      </c>
      <c r="AC23" s="1259">
        <f>D23/J23</f>
        <v>1</v>
      </c>
    </row>
    <row r="24" spans="1:29" ht="15">
      <c r="A24" s="367"/>
      <c r="B24" s="395"/>
      <c r="C24" s="386" t="s">
        <v>3574</v>
      </c>
      <c r="D24" s="387"/>
      <c r="E24" s="1746" t="s">
        <v>3574</v>
      </c>
      <c r="F24" s="387"/>
      <c r="G24" s="1747" t="s">
        <v>3574</v>
      </c>
      <c r="H24" s="387"/>
      <c r="I24" s="1747" t="s">
        <v>3574</v>
      </c>
      <c r="J24" s="387"/>
      <c r="K24" s="1748"/>
      <c r="L24" s="2485"/>
      <c r="M24" s="2480"/>
      <c r="N24" s="2480"/>
      <c r="O24" s="2480"/>
      <c r="P24" s="3427"/>
      <c r="Q24" s="1258"/>
      <c r="R24" s="666"/>
      <c r="S24" s="667"/>
      <c r="T24" s="666"/>
      <c r="U24" s="667"/>
      <c r="V24" s="666"/>
      <c r="W24" s="667"/>
      <c r="X24" s="1260"/>
      <c r="Y24" s="3420"/>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5"/>
      <c r="M25" s="2480"/>
      <c r="N25" s="2480"/>
      <c r="O25" s="2480"/>
      <c r="P25" s="3427"/>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420"/>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v>0.5</v>
      </c>
      <c r="L26" s="2485"/>
      <c r="M26" s="2480"/>
      <c r="N26" s="2480"/>
      <c r="O26" s="2480"/>
      <c r="P26" s="3427"/>
      <c r="Q26" s="1258" t="str">
        <f t="shared" si="11"/>
        <v>朝向</v>
      </c>
      <c r="R26" s="666" t="s">
        <v>18</v>
      </c>
      <c r="S26" s="667">
        <f t="shared" si="12"/>
        <v>100</v>
      </c>
      <c r="T26" s="666" t="s">
        <v>18</v>
      </c>
      <c r="U26" s="667">
        <f t="shared" si="13"/>
        <v>100</v>
      </c>
      <c r="V26" s="666" t="s">
        <v>18</v>
      </c>
      <c r="W26" s="667">
        <f t="shared" si="14"/>
        <v>100</v>
      </c>
      <c r="X26" s="1260"/>
      <c r="Y26" s="3420"/>
      <c r="Z26" s="1259" t="str">
        <f>Q26</f>
        <v>朝向</v>
      </c>
      <c r="AA26" s="1259">
        <f t="shared" si="15"/>
        <v>1</v>
      </c>
      <c r="AB26" s="1259">
        <f t="shared" si="16"/>
        <v>1</v>
      </c>
      <c r="AC26" s="1259">
        <f t="shared" si="17"/>
        <v>1</v>
      </c>
    </row>
    <row r="27" spans="1:29" s="102" customFormat="1" ht="15">
      <c r="A27" s="370"/>
      <c r="B27" s="3153" t="s">
        <v>3590</v>
      </c>
      <c r="C27" s="3154" t="s">
        <v>3588</v>
      </c>
      <c r="D27" s="401">
        <v>100</v>
      </c>
      <c r="E27" s="3154" t="s">
        <v>3588</v>
      </c>
      <c r="F27" s="401">
        <f>SUMIF(90:90,E27,91:91)-SUMIF(90:90,C27,91:91)+100</f>
        <v>100</v>
      </c>
      <c r="G27" s="3157" t="s">
        <v>3628</v>
      </c>
      <c r="H27" s="401">
        <f>SUMIF(90:90,G27,91:91)-SUMIF(90:90,C27,91:91)+100</f>
        <v>105</v>
      </c>
      <c r="I27" s="3154" t="s">
        <v>3588</v>
      </c>
      <c r="J27" s="401">
        <f>SUMIF(90:90,I27,91:91)-SUMIF(90:90,C27,91:91)+100</f>
        <v>100</v>
      </c>
      <c r="K27" s="1743"/>
      <c r="L27" s="2481"/>
      <c r="M27" s="2433"/>
      <c r="N27" s="2433"/>
      <c r="O27" s="2433"/>
      <c r="P27" s="3427"/>
      <c r="Q27" s="530" t="str">
        <f t="shared" si="11"/>
        <v>楼层</v>
      </c>
      <c r="R27" s="663" t="s">
        <v>18</v>
      </c>
      <c r="S27" s="664">
        <f t="shared" si="12"/>
        <v>100</v>
      </c>
      <c r="T27" s="663" t="s">
        <v>18</v>
      </c>
      <c r="U27" s="664">
        <f t="shared" si="13"/>
        <v>105</v>
      </c>
      <c r="V27" s="663" t="s">
        <v>18</v>
      </c>
      <c r="W27" s="664">
        <f t="shared" si="14"/>
        <v>100</v>
      </c>
      <c r="X27" s="665"/>
      <c r="Y27" s="3420"/>
      <c r="Z27" s="50" t="str">
        <f>Q27</f>
        <v>楼层</v>
      </c>
      <c r="AA27" s="1259">
        <f t="shared" si="15"/>
        <v>1</v>
      </c>
      <c r="AB27" s="1259">
        <f t="shared" si="16"/>
        <v>0.95238095238095233</v>
      </c>
      <c r="AC27" s="1259">
        <f t="shared" si="17"/>
        <v>1</v>
      </c>
    </row>
    <row r="28" spans="1:29" ht="15">
      <c r="A28" s="367"/>
      <c r="B28" s="1063"/>
      <c r="C28" s="373"/>
      <c r="D28" s="374">
        <v>100</v>
      </c>
      <c r="E28" s="373"/>
      <c r="F28" s="374">
        <f>SUMIF(92:92,E28,93:93)-SUMIF(92:92,C28,93:93)+100</f>
        <v>100</v>
      </c>
      <c r="G28" s="1757"/>
      <c r="H28" s="374">
        <f>SUMIF(92:92,G28,93:93)-SUMIF(92:92,C28,93:93)+100</f>
        <v>100</v>
      </c>
      <c r="I28" s="373"/>
      <c r="J28" s="374">
        <f>SUMIF(92:92,I28,93:93)-SUMIF(92:92,C28,93:93)+100</f>
        <v>100</v>
      </c>
      <c r="K28" s="1743"/>
      <c r="L28" s="2485"/>
      <c r="M28" s="2480"/>
      <c r="N28" s="2480"/>
      <c r="O28" s="2480"/>
      <c r="P28" s="3427"/>
      <c r="Q28" s="1258">
        <f t="shared" si="11"/>
        <v>0</v>
      </c>
      <c r="R28" s="666" t="s">
        <v>18</v>
      </c>
      <c r="S28" s="667">
        <f t="shared" si="12"/>
        <v>100</v>
      </c>
      <c r="T28" s="666" t="s">
        <v>18</v>
      </c>
      <c r="U28" s="667">
        <f t="shared" si="13"/>
        <v>100</v>
      </c>
      <c r="V28" s="666" t="s">
        <v>18</v>
      </c>
      <c r="W28" s="667">
        <f t="shared" si="14"/>
        <v>100</v>
      </c>
      <c r="X28" s="1260"/>
      <c r="Y28" s="3420"/>
      <c r="Z28" s="1259">
        <f t="shared" ref="Z28:Z46" si="18">Q28</f>
        <v>0</v>
      </c>
      <c r="AA28" s="1259">
        <f t="shared" si="15"/>
        <v>1</v>
      </c>
      <c r="AB28" s="1259">
        <f t="shared" si="16"/>
        <v>1</v>
      </c>
      <c r="AC28" s="1259">
        <f t="shared" si="17"/>
        <v>1</v>
      </c>
    </row>
    <row r="29" spans="1:29" ht="15">
      <c r="A29" s="367"/>
      <c r="B29" s="1063">
        <v>111</v>
      </c>
      <c r="C29" s="373"/>
      <c r="D29" s="374">
        <v>100</v>
      </c>
      <c r="E29" s="373"/>
      <c r="F29" s="374">
        <f>SUMIF(94:94,E29,95:95)-SUMIF(94:94,C29,95:95)+100</f>
        <v>100</v>
      </c>
      <c r="G29" s="1757"/>
      <c r="H29" s="374">
        <f>SUMIF(94:94,G29,95:95)-SUMIF(94:94,C29,95:95)+100</f>
        <v>100</v>
      </c>
      <c r="I29" s="373"/>
      <c r="J29" s="374">
        <f>SUMIF(94:94,I29,95:95)-SUMIF(94:94,C29,95:95)+100</f>
        <v>100</v>
      </c>
      <c r="K29" s="1743"/>
      <c r="L29" s="2485"/>
      <c r="M29" s="2480"/>
      <c r="N29" s="2480"/>
      <c r="O29" s="2480"/>
      <c r="P29" s="3427"/>
      <c r="Q29" s="1258">
        <f t="shared" si="11"/>
        <v>111</v>
      </c>
      <c r="R29" s="666" t="s">
        <v>18</v>
      </c>
      <c r="S29" s="667">
        <f t="shared" si="12"/>
        <v>100</v>
      </c>
      <c r="T29" s="666" t="s">
        <v>18</v>
      </c>
      <c r="U29" s="667">
        <f t="shared" si="13"/>
        <v>100</v>
      </c>
      <c r="V29" s="666" t="s">
        <v>18</v>
      </c>
      <c r="W29" s="667">
        <f t="shared" si="14"/>
        <v>100</v>
      </c>
      <c r="X29" s="1260"/>
      <c r="Y29" s="3420"/>
      <c r="Z29" s="1259">
        <f t="shared" si="18"/>
        <v>111</v>
      </c>
      <c r="AA29" s="1259">
        <f t="shared" si="15"/>
        <v>1</v>
      </c>
      <c r="AB29" s="1259">
        <f t="shared" si="16"/>
        <v>1</v>
      </c>
      <c r="AC29" s="1259">
        <f t="shared" si="17"/>
        <v>1</v>
      </c>
    </row>
    <row r="30" spans="1:29" ht="15">
      <c r="A30" s="367"/>
      <c r="B30" s="1063">
        <v>111</v>
      </c>
      <c r="C30" s="373"/>
      <c r="D30" s="374">
        <v>100</v>
      </c>
      <c r="E30" s="373"/>
      <c r="F30" s="374">
        <f>SUMIF(96:96,E30,97:97)-SUMIF(96:96,C30,97:97)+100</f>
        <v>100</v>
      </c>
      <c r="G30" s="1757"/>
      <c r="H30" s="374">
        <f>SUMIF(96:96,G30,97:97)-SUMIF(96:96,C30,97:97)+100</f>
        <v>100</v>
      </c>
      <c r="I30" s="373"/>
      <c r="J30" s="374">
        <f>SUMIF(96:96,I30,97:97)-SUMIF(96:96,C30,97:97)+100</f>
        <v>100</v>
      </c>
      <c r="K30" s="1743"/>
      <c r="L30" s="2485"/>
      <c r="M30" s="2480"/>
      <c r="N30" s="2480"/>
      <c r="O30" s="2480"/>
      <c r="P30" s="3427"/>
      <c r="Q30" s="1258">
        <f t="shared" si="11"/>
        <v>111</v>
      </c>
      <c r="R30" s="666" t="s">
        <v>18</v>
      </c>
      <c r="S30" s="667">
        <f t="shared" si="12"/>
        <v>100</v>
      </c>
      <c r="T30" s="666" t="s">
        <v>18</v>
      </c>
      <c r="U30" s="667">
        <f t="shared" si="13"/>
        <v>100</v>
      </c>
      <c r="V30" s="666" t="s">
        <v>18</v>
      </c>
      <c r="W30" s="667">
        <f t="shared" si="14"/>
        <v>100</v>
      </c>
      <c r="X30" s="1260"/>
      <c r="Y30" s="3420"/>
      <c r="Z30" s="1259">
        <f t="shared" si="18"/>
        <v>111</v>
      </c>
      <c r="AA30" s="1259">
        <f t="shared" si="15"/>
        <v>1</v>
      </c>
      <c r="AB30" s="1259">
        <f t="shared" si="16"/>
        <v>1</v>
      </c>
      <c r="AC30" s="1259">
        <f t="shared" si="17"/>
        <v>1</v>
      </c>
    </row>
    <row r="31" spans="1:29" ht="15.6" thickBot="1">
      <c r="A31" s="375"/>
      <c r="B31" s="1063">
        <v>111</v>
      </c>
      <c r="C31" s="376"/>
      <c r="D31" s="377">
        <v>100</v>
      </c>
      <c r="E31" s="376"/>
      <c r="F31" s="377">
        <f>SUMIF(98:98,E31,99:99)-SUMIF(98:98,C31,99:99)+100</f>
        <v>100</v>
      </c>
      <c r="G31" s="1758"/>
      <c r="H31" s="377">
        <f>SUMIF(98:98,G31,99:99)-SUMIF(98:98,C31,99:99)+100</f>
        <v>100</v>
      </c>
      <c r="I31" s="376"/>
      <c r="J31" s="377">
        <f>SUMIF(98:98,I31,99:99)-SUMIF(98:98,C31,99:99)+100</f>
        <v>100</v>
      </c>
      <c r="K31" s="1743"/>
      <c r="L31" s="2485"/>
      <c r="M31" s="2480"/>
      <c r="N31" s="2480"/>
      <c r="O31" s="2480"/>
      <c r="P31" s="3427"/>
      <c r="Q31" s="1258">
        <f t="shared" si="11"/>
        <v>111</v>
      </c>
      <c r="R31" s="666" t="s">
        <v>18</v>
      </c>
      <c r="S31" s="667">
        <f t="shared" si="12"/>
        <v>100</v>
      </c>
      <c r="T31" s="666" t="s">
        <v>18</v>
      </c>
      <c r="U31" s="667">
        <f t="shared" si="13"/>
        <v>100</v>
      </c>
      <c r="V31" s="666" t="s">
        <v>18</v>
      </c>
      <c r="W31" s="667">
        <f t="shared" si="14"/>
        <v>100</v>
      </c>
      <c r="X31" s="1260"/>
      <c r="Y31" s="3420"/>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5"/>
      <c r="M32" s="2480"/>
      <c r="N32" s="2480"/>
      <c r="O32" s="2480"/>
      <c r="P32" s="3421" t="s">
        <v>1696</v>
      </c>
      <c r="Q32" s="1258" t="str">
        <f t="shared" si="11"/>
        <v>建筑类型</v>
      </c>
      <c r="R32" s="666" t="s">
        <v>18</v>
      </c>
      <c r="S32" s="667">
        <f t="shared" si="12"/>
        <v>100</v>
      </c>
      <c r="T32" s="666" t="s">
        <v>18</v>
      </c>
      <c r="U32" s="667">
        <f t="shared" si="13"/>
        <v>100</v>
      </c>
      <c r="V32" s="666" t="s">
        <v>18</v>
      </c>
      <c r="W32" s="667">
        <f t="shared" si="14"/>
        <v>100</v>
      </c>
      <c r="X32" s="1260"/>
      <c r="Y32" s="3424" t="s">
        <v>1696</v>
      </c>
      <c r="Z32" s="1259" t="str">
        <f t="shared" si="18"/>
        <v>建筑类型</v>
      </c>
      <c r="AA32" s="1259">
        <f t="shared" si="15"/>
        <v>1</v>
      </c>
      <c r="AB32" s="1259">
        <f t="shared" si="16"/>
        <v>1</v>
      </c>
      <c r="AC32" s="1259">
        <f t="shared" si="17"/>
        <v>1</v>
      </c>
    </row>
    <row r="33" spans="1:29" s="408" customFormat="1" ht="15">
      <c r="A33" s="406"/>
      <c r="B33" s="364" t="s">
        <v>1697</v>
      </c>
      <c r="C33" s="407">
        <f>'数据-汇总表'!E19</f>
        <v>121.97</v>
      </c>
      <c r="D33" s="119">
        <v>100</v>
      </c>
      <c r="E33" s="369">
        <f>案例情况!Q2</f>
        <v>126.87</v>
      </c>
      <c r="F33" s="364">
        <f>LOOKUP(E33,103:103,104:104)-LOOKUP(C33,103:103,104:104)+100</f>
        <v>100</v>
      </c>
      <c r="G33" s="368">
        <f>案例情况!Q3</f>
        <v>117.03</v>
      </c>
      <c r="H33" s="119">
        <f>LOOKUP(G33,103:103,104:104)-LOOKUP(C33,103:103,104:104)+100</f>
        <v>100</v>
      </c>
      <c r="I33" s="369">
        <f>案例情况!Q4</f>
        <v>113.66</v>
      </c>
      <c r="J33" s="119">
        <f>LOOKUP(I33,103:103,104:104)-LOOKUP(C33,103:103,104:104)+100</f>
        <v>100</v>
      </c>
      <c r="K33" s="1743"/>
      <c r="L33" s="2484"/>
      <c r="M33" s="2486"/>
      <c r="N33" s="2486"/>
      <c r="O33" s="2486"/>
      <c r="P33" s="3422"/>
      <c r="Q33" s="531" t="str">
        <f t="shared" si="11"/>
        <v>项目建筑规模</v>
      </c>
      <c r="R33" s="668" t="s">
        <v>18</v>
      </c>
      <c r="S33" s="669">
        <f t="shared" si="12"/>
        <v>100</v>
      </c>
      <c r="T33" s="668" t="s">
        <v>18</v>
      </c>
      <c r="U33" s="669">
        <f t="shared" si="13"/>
        <v>100</v>
      </c>
      <c r="V33" s="668" t="s">
        <v>18</v>
      </c>
      <c r="W33" s="669">
        <f t="shared" si="14"/>
        <v>100</v>
      </c>
      <c r="X33" s="670"/>
      <c r="Y33" s="3424"/>
      <c r="Z33" s="671" t="str">
        <f t="shared" si="18"/>
        <v>项目建筑规模</v>
      </c>
      <c r="AA33" s="1259">
        <f t="shared" si="15"/>
        <v>1</v>
      </c>
      <c r="AB33" s="1259">
        <f t="shared" si="16"/>
        <v>1</v>
      </c>
      <c r="AC33" s="1259">
        <f t="shared" si="17"/>
        <v>1</v>
      </c>
    </row>
    <row r="34" spans="1:29" ht="15">
      <c r="A34" s="409"/>
      <c r="B34" s="364" t="s">
        <v>1698</v>
      </c>
      <c r="C34" s="399" t="s">
        <v>3538</v>
      </c>
      <c r="D34" s="374">
        <v>100</v>
      </c>
      <c r="E34" s="1761" t="s">
        <v>3538</v>
      </c>
      <c r="F34" s="400">
        <f>SUMIF(105:105,E34,106:106)-SUMIF(105:105,C34,106:106)+100</f>
        <v>100</v>
      </c>
      <c r="G34" s="399" t="s">
        <v>3538</v>
      </c>
      <c r="H34" s="374">
        <f>SUMIF(105:105,G34,106:106)-SUMIF(105:105,C34,106:106)+100</f>
        <v>100</v>
      </c>
      <c r="I34" s="1761" t="s">
        <v>3538</v>
      </c>
      <c r="J34" s="374">
        <f>SUMIF(105:105,I34,106:106)-SUMIF(105:105,C34,106:106)+100</f>
        <v>100</v>
      </c>
      <c r="K34" s="365"/>
      <c r="L34" s="2485"/>
      <c r="M34" s="2480"/>
      <c r="N34" s="2480"/>
      <c r="O34" s="2480"/>
      <c r="P34" s="3422"/>
      <c r="Q34" s="1258" t="str">
        <f t="shared" si="11"/>
        <v>建筑结构</v>
      </c>
      <c r="R34" s="666" t="s">
        <v>18</v>
      </c>
      <c r="S34" s="667">
        <f t="shared" si="12"/>
        <v>100</v>
      </c>
      <c r="T34" s="666" t="s">
        <v>18</v>
      </c>
      <c r="U34" s="667">
        <f t="shared" si="13"/>
        <v>100</v>
      </c>
      <c r="V34" s="666" t="s">
        <v>18</v>
      </c>
      <c r="W34" s="667">
        <f t="shared" si="14"/>
        <v>100</v>
      </c>
      <c r="X34" s="1260"/>
      <c r="Y34" s="3424"/>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5"/>
      <c r="M35" s="2480"/>
      <c r="N35" s="2480"/>
      <c r="O35" s="2480"/>
      <c r="P35" s="3422"/>
      <c r="Q35" s="1258" t="str">
        <f t="shared" si="11"/>
        <v>建筑品质</v>
      </c>
      <c r="R35" s="666" t="s">
        <v>18</v>
      </c>
      <c r="S35" s="667">
        <f t="shared" si="12"/>
        <v>100</v>
      </c>
      <c r="T35" s="666" t="s">
        <v>18</v>
      </c>
      <c r="U35" s="667">
        <f t="shared" si="13"/>
        <v>100</v>
      </c>
      <c r="V35" s="666" t="s">
        <v>18</v>
      </c>
      <c r="W35" s="667">
        <f t="shared" si="14"/>
        <v>100</v>
      </c>
      <c r="X35" s="1260"/>
      <c r="Y35" s="3424"/>
      <c r="Z35" s="1259" t="str">
        <f t="shared" si="18"/>
        <v>建筑品质</v>
      </c>
      <c r="AA35" s="1259">
        <f t="shared" si="15"/>
        <v>1</v>
      </c>
      <c r="AB35" s="1259">
        <f t="shared" si="16"/>
        <v>1</v>
      </c>
      <c r="AC35" s="1259">
        <f t="shared" si="17"/>
        <v>1</v>
      </c>
    </row>
    <row r="36" spans="1:29" ht="15">
      <c r="A36" s="409"/>
      <c r="B36" s="364" t="s">
        <v>1700</v>
      </c>
      <c r="C36" s="1755" t="s">
        <v>3610</v>
      </c>
      <c r="D36" s="374">
        <v>100</v>
      </c>
      <c r="E36" s="1756" t="s">
        <v>3610</v>
      </c>
      <c r="F36" s="400">
        <f>SUMIF(109:109,E36,110:110)-SUMIF(109:109,C36,110:110)+100</f>
        <v>100</v>
      </c>
      <c r="G36" s="1755" t="s">
        <v>3610</v>
      </c>
      <c r="H36" s="374">
        <f>SUMIF(109:109,G36,110:110)-SUMIF(109:109,C36,110:110)+100</f>
        <v>100</v>
      </c>
      <c r="I36" s="1756" t="s">
        <v>3610</v>
      </c>
      <c r="J36" s="374">
        <f>SUMIF(109:109,I36,110:110)-SUMIF(109:109,C36,110:110)+100</f>
        <v>100</v>
      </c>
      <c r="K36" s="365"/>
      <c r="L36" s="2485"/>
      <c r="M36" s="2480"/>
      <c r="N36" s="2480"/>
      <c r="O36" s="2480"/>
      <c r="P36" s="3422"/>
      <c r="Q36" s="1258" t="str">
        <f t="shared" si="11"/>
        <v>公共部分装修</v>
      </c>
      <c r="R36" s="666" t="s">
        <v>18</v>
      </c>
      <c r="S36" s="667">
        <f t="shared" si="12"/>
        <v>100</v>
      </c>
      <c r="T36" s="666" t="s">
        <v>18</v>
      </c>
      <c r="U36" s="667">
        <f t="shared" si="13"/>
        <v>100</v>
      </c>
      <c r="V36" s="666" t="s">
        <v>18</v>
      </c>
      <c r="W36" s="667">
        <f t="shared" si="14"/>
        <v>100</v>
      </c>
      <c r="X36" s="1260"/>
      <c r="Y36" s="3424"/>
      <c r="Z36" s="1259" t="str">
        <f t="shared" si="18"/>
        <v>公共部分装修</v>
      </c>
      <c r="AA36" s="1259">
        <f t="shared" si="15"/>
        <v>1</v>
      </c>
      <c r="AB36" s="1259">
        <f t="shared" si="16"/>
        <v>1</v>
      </c>
      <c r="AC36" s="1259">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1"/>
      <c r="M37" s="2433"/>
      <c r="N37" s="2433"/>
      <c r="O37" s="2433"/>
      <c r="P37" s="3422"/>
      <c r="Q37" s="530" t="str">
        <f t="shared" si="11"/>
        <v>成新度</v>
      </c>
      <c r="R37" s="663" t="s">
        <v>18</v>
      </c>
      <c r="S37" s="664">
        <f t="shared" si="12"/>
        <v>100</v>
      </c>
      <c r="T37" s="663" t="s">
        <v>18</v>
      </c>
      <c r="U37" s="664">
        <f t="shared" si="13"/>
        <v>100</v>
      </c>
      <c r="V37" s="663" t="s">
        <v>18</v>
      </c>
      <c r="W37" s="664">
        <f t="shared" si="14"/>
        <v>100</v>
      </c>
      <c r="X37" s="665"/>
      <c r="Y37" s="3424"/>
      <c r="Z37" s="50" t="str">
        <f t="shared" si="18"/>
        <v>成新度</v>
      </c>
      <c r="AA37" s="50">
        <f t="shared" si="15"/>
        <v>1</v>
      </c>
      <c r="AB37" s="50">
        <f t="shared" si="16"/>
        <v>1</v>
      </c>
      <c r="AC37" s="50">
        <f t="shared" si="17"/>
        <v>1</v>
      </c>
    </row>
    <row r="38" spans="1:29" ht="15">
      <c r="A38" s="409"/>
      <c r="B38" s="364" t="s">
        <v>1702</v>
      </c>
      <c r="C38" s="1755" t="s">
        <v>3611</v>
      </c>
      <c r="D38" s="374">
        <v>100</v>
      </c>
      <c r="E38" s="1756" t="s">
        <v>3611</v>
      </c>
      <c r="F38" s="400">
        <f>SUMIF(114:114,E38,115:115)-SUMIF(114:114,C38,115:115)+100</f>
        <v>100</v>
      </c>
      <c r="G38" s="1755" t="s">
        <v>3611</v>
      </c>
      <c r="H38" s="374">
        <f>SUMIF(114:114,G38,115:115)-SUMIF(114:114,C38,115:115)+100</f>
        <v>100</v>
      </c>
      <c r="I38" s="1756" t="s">
        <v>3611</v>
      </c>
      <c r="J38" s="374">
        <f>SUMIF(114:114,I38,115:115)-SUMIF(114:114,C38,115:115)+100</f>
        <v>100</v>
      </c>
      <c r="K38" s="365"/>
      <c r="L38" s="2485"/>
      <c r="M38" s="2480"/>
      <c r="N38" s="2480"/>
      <c r="O38" s="2480"/>
      <c r="P38" s="3422" t="s">
        <v>1696</v>
      </c>
      <c r="Q38" s="1258" t="str">
        <f t="shared" si="11"/>
        <v>物业管理</v>
      </c>
      <c r="R38" s="666" t="s">
        <v>18</v>
      </c>
      <c r="S38" s="667">
        <f t="shared" si="12"/>
        <v>100</v>
      </c>
      <c r="T38" s="666" t="s">
        <v>18</v>
      </c>
      <c r="U38" s="667">
        <f t="shared" si="13"/>
        <v>100</v>
      </c>
      <c r="V38" s="666" t="s">
        <v>18</v>
      </c>
      <c r="W38" s="667">
        <f t="shared" si="14"/>
        <v>100</v>
      </c>
      <c r="X38" s="1260"/>
      <c r="Y38" s="3424" t="s">
        <v>1696</v>
      </c>
      <c r="Z38" s="1259" t="str">
        <f t="shared" si="18"/>
        <v>物业管理</v>
      </c>
      <c r="AA38" s="1259">
        <f t="shared" si="15"/>
        <v>1</v>
      </c>
      <c r="AB38" s="1259">
        <f t="shared" si="16"/>
        <v>1</v>
      </c>
      <c r="AC38" s="1259">
        <f t="shared" si="17"/>
        <v>1</v>
      </c>
    </row>
    <row r="39" spans="1:29" ht="15">
      <c r="A39" s="409"/>
      <c r="B39" s="364" t="s">
        <v>1703</v>
      </c>
      <c r="C39" s="1755" t="s">
        <v>3612</v>
      </c>
      <c r="D39" s="374">
        <v>100</v>
      </c>
      <c r="E39" s="1756" t="s">
        <v>3612</v>
      </c>
      <c r="F39" s="400">
        <f>SUMIF(116:116,E39,117:117)-SUMIF(116:116,C39,117:117)+100</f>
        <v>100</v>
      </c>
      <c r="G39" s="1755" t="s">
        <v>3612</v>
      </c>
      <c r="H39" s="374">
        <f>SUMIF(116:116,G39,117:117)-SUMIF(116:116,C39,117:117)+100</f>
        <v>100</v>
      </c>
      <c r="I39" s="1756" t="s">
        <v>3612</v>
      </c>
      <c r="J39" s="374">
        <f>SUMIF(116:116,I39,117:117)-SUMIF(116:116,C39,117:117)+100</f>
        <v>100</v>
      </c>
      <c r="K39" s="365"/>
      <c r="L39" s="2485"/>
      <c r="M39" s="2480"/>
      <c r="N39" s="2480"/>
      <c r="O39" s="2480"/>
      <c r="P39" s="3422"/>
      <c r="Q39" s="1258" t="str">
        <f t="shared" si="11"/>
        <v>市政基础设施</v>
      </c>
      <c r="R39" s="666" t="s">
        <v>18</v>
      </c>
      <c r="S39" s="667">
        <f t="shared" si="12"/>
        <v>100</v>
      </c>
      <c r="T39" s="666" t="s">
        <v>18</v>
      </c>
      <c r="U39" s="667">
        <f t="shared" si="13"/>
        <v>100</v>
      </c>
      <c r="V39" s="666" t="s">
        <v>18</v>
      </c>
      <c r="W39" s="667">
        <f t="shared" si="14"/>
        <v>100</v>
      </c>
      <c r="X39" s="1260"/>
      <c r="Y39" s="3424"/>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5"/>
      <c r="M40" s="2480"/>
      <c r="N40" s="2480"/>
      <c r="O40" s="2480"/>
      <c r="P40" s="3422"/>
      <c r="Q40" s="1258" t="str">
        <f t="shared" si="11"/>
        <v>房型</v>
      </c>
      <c r="R40" s="666" t="s">
        <v>18</v>
      </c>
      <c r="S40" s="667">
        <f t="shared" si="12"/>
        <v>100</v>
      </c>
      <c r="T40" s="666" t="s">
        <v>18</v>
      </c>
      <c r="U40" s="667">
        <f t="shared" si="13"/>
        <v>100</v>
      </c>
      <c r="V40" s="666" t="s">
        <v>18</v>
      </c>
      <c r="W40" s="667">
        <f t="shared" si="14"/>
        <v>100</v>
      </c>
      <c r="X40" s="1260"/>
      <c r="Y40" s="3424"/>
      <c r="Z40" s="1259" t="str">
        <f t="shared" si="18"/>
        <v>房型</v>
      </c>
      <c r="AA40" s="1259">
        <f t="shared" si="15"/>
        <v>1</v>
      </c>
      <c r="AB40" s="1259">
        <f t="shared" si="16"/>
        <v>1</v>
      </c>
      <c r="AC40" s="1259">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4"/>
      <c r="M41" s="2486"/>
      <c r="N41" s="2486"/>
      <c r="O41" s="2486"/>
      <c r="P41" s="3422"/>
      <c r="Q41" s="531" t="str">
        <f t="shared" si="11"/>
        <v>单套/主力户型建筑面积</v>
      </c>
      <c r="R41" s="668" t="s">
        <v>18</v>
      </c>
      <c r="S41" s="669">
        <f t="shared" si="12"/>
        <v>100</v>
      </c>
      <c r="T41" s="668" t="s">
        <v>18</v>
      </c>
      <c r="U41" s="669">
        <f t="shared" si="13"/>
        <v>100</v>
      </c>
      <c r="V41" s="668" t="s">
        <v>18</v>
      </c>
      <c r="W41" s="669">
        <f t="shared" si="14"/>
        <v>100</v>
      </c>
      <c r="X41" s="670"/>
      <c r="Y41" s="3424"/>
      <c r="Z41" s="671" t="str">
        <f t="shared" si="18"/>
        <v>单套/主力户型建筑面积</v>
      </c>
      <c r="AA41" s="1259">
        <f t="shared" si="15"/>
        <v>1</v>
      </c>
      <c r="AB41" s="1259">
        <f t="shared" si="16"/>
        <v>1</v>
      </c>
      <c r="AC41" s="1259">
        <f t="shared" si="17"/>
        <v>1</v>
      </c>
    </row>
    <row r="42" spans="1:29" ht="15">
      <c r="A42" s="409"/>
      <c r="B42" s="364" t="s">
        <v>1706</v>
      </c>
      <c r="C42" s="1755" t="s">
        <v>3613</v>
      </c>
      <c r="D42" s="374">
        <v>100</v>
      </c>
      <c r="E42" s="1756" t="s">
        <v>3613</v>
      </c>
      <c r="F42" s="400">
        <f>SUMIF(122:122,E42,123:123)-SUMIF(122:122,C42,123:123)+100</f>
        <v>100</v>
      </c>
      <c r="G42" s="1755" t="s">
        <v>3610</v>
      </c>
      <c r="H42" s="374">
        <f>SUMIF(122:122,G42,123:123)-SUMIF(122:122,C42,123:123)+100</f>
        <v>100</v>
      </c>
      <c r="I42" s="1756" t="s">
        <v>3610</v>
      </c>
      <c r="J42" s="374">
        <f>SUMIF(122:122,I42,123:123)-SUMIF(122:122,C42,123:123)+100</f>
        <v>100</v>
      </c>
      <c r="K42" s="365"/>
      <c r="L42" s="2485"/>
      <c r="M42" s="2480"/>
      <c r="N42" s="2480"/>
      <c r="O42" s="2480"/>
      <c r="P42" s="3422"/>
      <c r="Q42" s="1258" t="str">
        <f t="shared" si="11"/>
        <v>内部装修</v>
      </c>
      <c r="R42" s="666" t="s">
        <v>18</v>
      </c>
      <c r="S42" s="667">
        <f t="shared" si="12"/>
        <v>100</v>
      </c>
      <c r="T42" s="666" t="s">
        <v>18</v>
      </c>
      <c r="U42" s="667">
        <f t="shared" si="13"/>
        <v>100</v>
      </c>
      <c r="V42" s="666" t="s">
        <v>18</v>
      </c>
      <c r="W42" s="667">
        <f t="shared" si="14"/>
        <v>100</v>
      </c>
      <c r="X42" s="1260"/>
      <c r="Y42" s="3424"/>
      <c r="Z42" s="1259" t="str">
        <f t="shared" si="18"/>
        <v>内部装修</v>
      </c>
      <c r="AA42" s="1259">
        <f t="shared" si="15"/>
        <v>1</v>
      </c>
      <c r="AB42" s="1259">
        <f t="shared" si="16"/>
        <v>1</v>
      </c>
      <c r="AC42" s="1259">
        <f t="shared" si="17"/>
        <v>1</v>
      </c>
    </row>
    <row r="43" spans="1:29" ht="28.8">
      <c r="A43" s="409"/>
      <c r="B43" s="364" t="s">
        <v>1707</v>
      </c>
      <c r="C43" s="1755" t="s">
        <v>3574</v>
      </c>
      <c r="D43" s="374">
        <v>100</v>
      </c>
      <c r="E43" s="1756" t="s">
        <v>3574</v>
      </c>
      <c r="F43" s="400">
        <f>SUMIF(124:124,E43,125:125)-SUMIF(124:124,C43,125:125)+100</f>
        <v>100</v>
      </c>
      <c r="G43" s="1755" t="s">
        <v>3574</v>
      </c>
      <c r="H43" s="374">
        <f>SUMIF(124:124,G43,125:125)-SUMIF(124:124,C43,125:125)+100</f>
        <v>100</v>
      </c>
      <c r="I43" s="1756" t="s">
        <v>3574</v>
      </c>
      <c r="J43" s="374">
        <f>SUMIF(124:124,I43,125:125)-SUMIF(124:124,C43,125:125)+100</f>
        <v>100</v>
      </c>
      <c r="K43" s="365"/>
      <c r="L43" s="2485"/>
      <c r="M43" s="2480"/>
      <c r="N43" s="2480"/>
      <c r="O43" s="2480"/>
      <c r="P43" s="3422"/>
      <c r="Q43" s="1258" t="str">
        <f t="shared" si="11"/>
        <v>内部装修维护情况</v>
      </c>
      <c r="R43" s="666" t="s">
        <v>18</v>
      </c>
      <c r="S43" s="667">
        <f t="shared" si="12"/>
        <v>100</v>
      </c>
      <c r="T43" s="666" t="s">
        <v>18</v>
      </c>
      <c r="U43" s="667">
        <f t="shared" si="13"/>
        <v>100</v>
      </c>
      <c r="V43" s="666" t="s">
        <v>18</v>
      </c>
      <c r="W43" s="667">
        <f t="shared" si="14"/>
        <v>100</v>
      </c>
      <c r="X43" s="1260"/>
      <c r="Y43" s="3424"/>
      <c r="Z43" s="1259" t="str">
        <f t="shared" si="18"/>
        <v>内部装修维护情况</v>
      </c>
      <c r="AA43" s="1259">
        <f t="shared" si="15"/>
        <v>1</v>
      </c>
      <c r="AB43" s="1259">
        <f t="shared" si="16"/>
        <v>1</v>
      </c>
      <c r="AC43" s="1259">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1"/>
      <c r="M44" s="2433"/>
      <c r="N44" s="2433"/>
      <c r="O44" s="2433"/>
      <c r="P44" s="3422"/>
      <c r="Q44" s="530">
        <f t="shared" si="11"/>
        <v>111</v>
      </c>
      <c r="R44" s="663" t="s">
        <v>18</v>
      </c>
      <c r="S44" s="664">
        <f t="shared" si="12"/>
        <v>100</v>
      </c>
      <c r="T44" s="663" t="s">
        <v>18</v>
      </c>
      <c r="U44" s="664">
        <f t="shared" si="13"/>
        <v>100</v>
      </c>
      <c r="V44" s="663" t="s">
        <v>18</v>
      </c>
      <c r="W44" s="664">
        <f t="shared" si="14"/>
        <v>100</v>
      </c>
      <c r="X44" s="665"/>
      <c r="Y44" s="3424"/>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5"/>
      <c r="M45" s="2480"/>
      <c r="N45" s="2480"/>
      <c r="O45" s="2480"/>
      <c r="P45" s="3422"/>
      <c r="Q45" s="1258">
        <f t="shared" si="11"/>
        <v>111</v>
      </c>
      <c r="R45" s="666" t="s">
        <v>18</v>
      </c>
      <c r="S45" s="667">
        <f t="shared" si="12"/>
        <v>100</v>
      </c>
      <c r="T45" s="666" t="s">
        <v>18</v>
      </c>
      <c r="U45" s="667">
        <f t="shared" si="13"/>
        <v>100</v>
      </c>
      <c r="V45" s="666" t="s">
        <v>18</v>
      </c>
      <c r="W45" s="667">
        <f t="shared" si="14"/>
        <v>100</v>
      </c>
      <c r="X45" s="1260"/>
      <c r="Y45" s="3424"/>
      <c r="Z45" s="1259">
        <f t="shared" si="18"/>
        <v>111</v>
      </c>
      <c r="AA45" s="1259">
        <f t="shared" si="15"/>
        <v>1</v>
      </c>
      <c r="AB45" s="1259">
        <f t="shared" si="16"/>
        <v>1</v>
      </c>
      <c r="AC45" s="1259">
        <f t="shared" si="17"/>
        <v>1</v>
      </c>
    </row>
    <row r="46" spans="1:29" ht="15.6"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5"/>
      <c r="M46" s="2480"/>
      <c r="N46" s="2480"/>
      <c r="O46" s="2480"/>
      <c r="P46" s="3423"/>
      <c r="Q46" s="1258">
        <f t="shared" si="11"/>
        <v>111</v>
      </c>
      <c r="R46" s="666" t="s">
        <v>17</v>
      </c>
      <c r="S46" s="667">
        <f t="shared" si="12"/>
        <v>100</v>
      </c>
      <c r="T46" s="666" t="s">
        <v>17</v>
      </c>
      <c r="U46" s="667">
        <f t="shared" si="13"/>
        <v>100</v>
      </c>
      <c r="V46" s="666" t="s">
        <v>17</v>
      </c>
      <c r="W46" s="667">
        <f t="shared" si="14"/>
        <v>100</v>
      </c>
      <c r="X46" s="1260"/>
      <c r="Y46" s="3425"/>
      <c r="Z46" s="1259">
        <f t="shared" si="18"/>
        <v>111</v>
      </c>
      <c r="AA46" s="1259">
        <f t="shared" si="15"/>
        <v>1</v>
      </c>
      <c r="AB46" s="1259">
        <f t="shared" si="16"/>
        <v>1</v>
      </c>
      <c r="AC46" s="1259">
        <f t="shared" si="17"/>
        <v>1</v>
      </c>
    </row>
    <row r="47" spans="1:29" ht="14.4">
      <c r="A47" s="416" t="s">
        <v>1708</v>
      </c>
      <c r="B47" s="417"/>
      <c r="C47" s="1078" t="s">
        <v>16</v>
      </c>
      <c r="D47" s="418"/>
      <c r="E47" s="419">
        <f>案例情况!S2</f>
        <v>23647</v>
      </c>
      <c r="F47" s="420"/>
      <c r="G47" s="421">
        <f>案例情况!S3</f>
        <v>24780</v>
      </c>
      <c r="H47" s="422"/>
      <c r="I47" s="419">
        <f>案例情况!S4</f>
        <v>21380</v>
      </c>
      <c r="J47" s="422"/>
      <c r="K47" s="1762"/>
      <c r="L47" s="2487"/>
      <c r="M47" s="2480"/>
      <c r="N47" s="2480"/>
      <c r="O47" s="2480"/>
      <c r="P47" s="3418" t="str">
        <f>A47</f>
        <v>成交单价（元/平方米）</v>
      </c>
      <c r="Q47" s="3418"/>
      <c r="R47" s="3413">
        <f>E47</f>
        <v>23647</v>
      </c>
      <c r="S47" s="3413"/>
      <c r="T47" s="3413">
        <f>G47</f>
        <v>24780</v>
      </c>
      <c r="U47" s="3413"/>
      <c r="V47" s="3413">
        <f>I47</f>
        <v>21380</v>
      </c>
      <c r="W47" s="3413"/>
      <c r="X47" s="385"/>
      <c r="Y47" s="672"/>
      <c r="Z47" s="385"/>
      <c r="AA47" s="385"/>
      <c r="AB47" s="385"/>
      <c r="AC47" s="385"/>
    </row>
    <row r="48" spans="1:29" ht="15" thickBot="1">
      <c r="A48" s="423" t="s">
        <v>1709</v>
      </c>
      <c r="B48" s="424"/>
      <c r="C48" s="1079">
        <f>R49</f>
        <v>21786</v>
      </c>
      <c r="D48" s="2136" t="s">
        <v>2133</v>
      </c>
      <c r="E48" s="1080">
        <f>R48</f>
        <v>22521</v>
      </c>
      <c r="F48" s="2137"/>
      <c r="G48" s="1079">
        <f>T48</f>
        <v>22476</v>
      </c>
      <c r="H48" s="2137"/>
      <c r="I48" s="1080">
        <f>V48</f>
        <v>20362</v>
      </c>
      <c r="J48" s="2137"/>
      <c r="K48" s="2138">
        <f>F48+H48+J48</f>
        <v>0</v>
      </c>
      <c r="L48" s="2487"/>
      <c r="M48" s="2480"/>
      <c r="N48" s="2480"/>
      <c r="O48" s="2480"/>
      <c r="P48" s="3418" t="str">
        <f>A48</f>
        <v>比较价值（元/平方米）</v>
      </c>
      <c r="Q48" s="3418"/>
      <c r="R48" s="3413">
        <f>IF(F1="售价",ROUND(PRODUCT(R47,AA7:AA46),0),ROUND(PRODUCT(R47,AA7:AA46),1))</f>
        <v>22521</v>
      </c>
      <c r="S48" s="3413"/>
      <c r="T48" s="3413">
        <f>IF(F1="售价",ROUND(PRODUCT(T47,AB7:AB46),0),ROUND(PRODUCT(T47,AB7:AB46),1))</f>
        <v>22476</v>
      </c>
      <c r="U48" s="3413"/>
      <c r="V48" s="3413">
        <f>IF(F1="售价",ROUND(PRODUCT(V47,AC7:AC46),0),ROUND(PRODUCT(V47,AC7:AC46),1))</f>
        <v>20362</v>
      </c>
      <c r="W48" s="3413"/>
      <c r="X48" s="385"/>
      <c r="Y48" s="385"/>
      <c r="Z48" s="385"/>
      <c r="AA48" s="385"/>
      <c r="AB48" s="385"/>
      <c r="AC48" s="385"/>
    </row>
    <row r="49" spans="1:29" ht="15" thickBot="1">
      <c r="A49" s="427" t="s">
        <v>1710</v>
      </c>
      <c r="B49" s="428"/>
      <c r="C49" s="1081">
        <f>R49</f>
        <v>21786</v>
      </c>
      <c r="D49" s="351"/>
      <c r="E49" s="351"/>
      <c r="F49" s="351"/>
      <c r="G49" s="351"/>
      <c r="H49" s="351"/>
      <c r="I49" s="351"/>
      <c r="J49" s="351"/>
      <c r="K49" s="1763"/>
      <c r="L49" s="2487"/>
      <c r="M49" s="2480"/>
      <c r="N49" s="2480"/>
      <c r="O49" s="2480"/>
      <c r="P49" s="3415" t="str">
        <f>A49</f>
        <v>估价对象XX用房的比较价值（楼面单价，元/平方米）</v>
      </c>
      <c r="Q49" s="3416"/>
      <c r="R49" s="3417">
        <f>IF(F1="售价",ROUND(IF(D48="简单平均",AVERAGE(R48:V48),R48*F48+T48*H48+V48*J48),0),ROUND(IF(D48="简单平均",AVERAGE(R48:V48),R48*F48+T48*H48+V48*J48),1))</f>
        <v>21786</v>
      </c>
      <c r="S49" s="3417"/>
      <c r="T49" s="3417"/>
      <c r="U49" s="3417"/>
      <c r="V49" s="3417"/>
      <c r="W49" s="341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4.9997779849917823E-2</v>
      </c>
      <c r="F52" s="435" t="str">
        <f>IF(OR(E52&gt;=0.3,E52&lt;=-0.3),"超过30%","")</f>
        <v/>
      </c>
      <c r="G52" s="434">
        <f>IF(G47&lt;G48,G48/G47-1,G47/G48-1)</f>
        <v>0.10250934329951944</v>
      </c>
      <c r="H52" s="435" t="str">
        <f>IF(OR(G52&gt;=0.3,G52&lt;=-0.3),"超过30%","")</f>
        <v/>
      </c>
      <c r="I52" s="434">
        <f>IF(I47&lt;I48,I48/I47-1,I47/I48-1)</f>
        <v>4.9995088891071626E-2</v>
      </c>
      <c r="J52" s="435" t="str">
        <f>IF(OR(I52&gt;=0.3,I52&lt;=-0.3),"超过30%","")</f>
        <v/>
      </c>
      <c r="K52" s="2492"/>
      <c r="L52" s="2488"/>
      <c r="M52" s="2480"/>
      <c r="N52" s="2480"/>
      <c r="O52" s="2480"/>
    </row>
    <row r="53" spans="1:29" ht="13.5" customHeight="1">
      <c r="A53" s="2480"/>
      <c r="B53" s="2480"/>
      <c r="C53" s="432" t="s">
        <v>1712</v>
      </c>
      <c r="D53" s="436"/>
      <c r="E53" s="434">
        <f>IF(E48&lt;G48,G48/E48-1,E48/G48-1)</f>
        <v>2.0021356113186783E-3</v>
      </c>
      <c r="F53" s="435" t="str">
        <f>IF(OR(E53&gt;=0.2,E53&lt;=-0.2),"超过20%","")</f>
        <v/>
      </c>
      <c r="G53" s="434">
        <f>IF(G48&lt;I48,I48/G48-1,G48/I48-1)</f>
        <v>0.10382084274629211</v>
      </c>
      <c r="H53" s="435" t="str">
        <f>IF(OR(G53&gt;=0.2,G53&lt;=-0.2),"超过20%","")</f>
        <v/>
      </c>
      <c r="I53" s="434">
        <f>IF(I48&lt;E48,E48/I48-1,I48/E48-1)</f>
        <v>0.10603084176407029</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4.7913054510085873E-2</v>
      </c>
      <c r="F54" s="435" t="str">
        <f>IF(OR(E54&gt;=0.3,E54&lt;=-0.3),"超过30%","")</f>
        <v/>
      </c>
      <c r="G54" s="434">
        <f>IF(G47&lt;I47,I47/G47-1,G47/I47-1)</f>
        <v>0.15902712815715625</v>
      </c>
      <c r="H54" s="435" t="str">
        <f>IF(OR(G54&gt;=0.3,G54&lt;=-0.3),"超过30%","")</f>
        <v/>
      </c>
      <c r="I54" s="434">
        <f>IF(I47&lt;E47,E47/I47-1,I47/E47-1)</f>
        <v>0.10603367633302141</v>
      </c>
      <c r="J54" s="435" t="str">
        <f>IF(OR(I54&gt;=0.3,I54&lt;=-0.3),"超过30%","")</f>
        <v/>
      </c>
      <c r="K54" s="2495"/>
      <c r="L54" s="2489"/>
      <c r="M54" s="2490"/>
      <c r="N54" s="2490"/>
      <c r="O54" s="2490"/>
      <c r="P54" s="1765"/>
    </row>
    <row r="55" spans="1:29" s="437"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2.2" thickBot="1">
      <c r="A57" s="657" t="s">
        <v>1714</v>
      </c>
      <c r="B57" s="385"/>
      <c r="C57" s="658"/>
      <c r="D57" s="658"/>
      <c r="E57" s="658"/>
      <c r="F57" s="659"/>
      <c r="G57" s="659"/>
      <c r="H57" s="658"/>
      <c r="I57" s="658"/>
      <c r="J57" s="658"/>
      <c r="K57" s="885"/>
      <c r="L57" s="886"/>
      <c r="M57" s="884"/>
      <c r="N57" s="884"/>
      <c r="O57" s="884"/>
      <c r="P57" s="1766"/>
      <c r="Q57" s="439"/>
    </row>
    <row r="58" spans="1:29" s="442" customFormat="1" ht="14.4">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c r="A59" s="443"/>
      <c r="B59" s="1767"/>
      <c r="C59" s="1099">
        <v>100</v>
      </c>
      <c r="D59" s="445"/>
      <c r="E59" s="446"/>
      <c r="F59" s="446"/>
      <c r="G59" s="446"/>
      <c r="H59" s="446"/>
      <c r="I59" s="446"/>
      <c r="J59" s="446"/>
      <c r="K59" s="446"/>
      <c r="L59" s="446"/>
      <c r="M59" s="447"/>
      <c r="N59" s="446"/>
      <c r="O59" s="447"/>
      <c r="P59" s="1768"/>
    </row>
    <row r="60" spans="1:29" s="102" customFormat="1" ht="15" thickBot="1">
      <c r="A60" s="449" t="s">
        <v>1716</v>
      </c>
      <c r="B60" s="450"/>
      <c r="C60" s="451"/>
      <c r="D60" s="452"/>
      <c r="E60" s="452"/>
      <c r="F60" s="452"/>
      <c r="G60" s="452"/>
      <c r="H60" s="452"/>
      <c r="I60" s="452"/>
      <c r="J60" s="452"/>
      <c r="K60" s="452"/>
      <c r="L60" s="452"/>
      <c r="M60" s="453"/>
      <c r="N60" s="452"/>
      <c r="O60" s="453"/>
      <c r="P60" s="1768"/>
      <c r="Q60" s="439"/>
    </row>
    <row r="61" spans="1:29" s="102" customFormat="1" ht="14.4">
      <c r="A61" s="455" t="s">
        <v>1717</v>
      </c>
      <c r="B61" s="444"/>
      <c r="C61" s="456" t="s">
        <v>1718</v>
      </c>
      <c r="D61" s="3149" t="s">
        <v>3569</v>
      </c>
      <c r="E61" s="31"/>
      <c r="F61" s="31"/>
      <c r="G61" s="31"/>
      <c r="H61" s="31"/>
      <c r="I61" s="31"/>
      <c r="J61" s="31"/>
      <c r="K61" s="31"/>
      <c r="L61" s="457"/>
      <c r="M61" s="458"/>
      <c r="N61" s="876"/>
      <c r="O61" s="876"/>
      <c r="P61" s="1769"/>
      <c r="Q61" s="439"/>
    </row>
    <row r="62" spans="1:29" s="102" customFormat="1" ht="14.4" thickBot="1">
      <c r="A62" s="455"/>
      <c r="B62" s="444"/>
      <c r="C62" s="445">
        <v>100</v>
      </c>
      <c r="D62" s="446">
        <v>105</v>
      </c>
      <c r="E62" s="446"/>
      <c r="F62" s="446"/>
      <c r="G62" s="446"/>
      <c r="H62" s="446"/>
      <c r="I62" s="446"/>
      <c r="J62" s="446"/>
      <c r="K62" s="446"/>
      <c r="L62" s="446"/>
      <c r="M62" s="448"/>
      <c r="N62" s="876"/>
      <c r="O62" s="876"/>
      <c r="P62" s="1768"/>
      <c r="Q62" s="439"/>
    </row>
    <row r="63" spans="1:29" ht="14.4">
      <c r="A63" s="379" t="s">
        <v>1719</v>
      </c>
      <c r="B63" s="460" t="s">
        <v>1685</v>
      </c>
      <c r="C63" s="461" t="str">
        <f>C9</f>
        <v>居住</v>
      </c>
      <c r="D63" s="462"/>
      <c r="E63" s="462"/>
      <c r="F63" s="462"/>
      <c r="G63" s="462"/>
      <c r="H63" s="462"/>
      <c r="I63" s="462"/>
      <c r="J63" s="462"/>
      <c r="K63" s="463"/>
      <c r="L63" s="464"/>
      <c r="M63" s="465"/>
      <c r="N63" s="877"/>
      <c r="O63" s="877"/>
      <c r="P63" s="1770"/>
      <c r="Q63" s="439"/>
    </row>
    <row r="64" spans="1:29" ht="14.4" thickBot="1">
      <c r="A64" s="367"/>
      <c r="B64" s="466"/>
      <c r="C64" s="467">
        <v>100</v>
      </c>
      <c r="D64" s="467"/>
      <c r="E64" s="467"/>
      <c r="F64" s="467"/>
      <c r="G64" s="467"/>
      <c r="H64" s="467"/>
      <c r="I64" s="467"/>
      <c r="J64" s="467"/>
      <c r="K64" s="467"/>
      <c r="L64" s="467"/>
      <c r="M64" s="468"/>
      <c r="N64" s="878"/>
      <c r="O64" s="878"/>
      <c r="P64" s="1770"/>
      <c r="Q64" s="439"/>
    </row>
    <row r="65" spans="1:17" ht="29.4" thickTop="1">
      <c r="A65" s="367"/>
      <c r="B65" s="469" t="s">
        <v>1688</v>
      </c>
      <c r="C65" s="513"/>
      <c r="D65" s="513"/>
      <c r="E65" s="513"/>
      <c r="F65" s="513"/>
      <c r="G65" s="513"/>
      <c r="H65" s="513"/>
      <c r="I65" s="513"/>
      <c r="J65" s="513"/>
      <c r="K65" s="513"/>
      <c r="L65" s="513"/>
      <c r="M65" s="513"/>
      <c r="N65" s="878"/>
      <c r="O65" s="878"/>
      <c r="P65" s="1770"/>
      <c r="Q65" s="439"/>
    </row>
    <row r="66" spans="1:17" ht="14.4" thickBot="1">
      <c r="A66" s="367"/>
      <c r="B66" s="474"/>
      <c r="C66" s="467"/>
      <c r="D66" s="467"/>
      <c r="E66" s="467"/>
      <c r="F66" s="467"/>
      <c r="G66" s="467"/>
      <c r="H66" s="467"/>
      <c r="I66" s="467"/>
      <c r="J66" s="467"/>
      <c r="K66" s="467"/>
      <c r="L66" s="467"/>
      <c r="M66" s="468"/>
      <c r="N66" s="878"/>
      <c r="O66" s="878"/>
      <c r="P66" s="1770"/>
      <c r="Q66" s="439"/>
    </row>
    <row r="67" spans="1:17" ht="15" thickTop="1">
      <c r="A67" s="367"/>
      <c r="B67" s="477" t="s">
        <v>1689</v>
      </c>
      <c r="C67" s="478" t="str">
        <f>C68&amp;"（含）"&amp;"-"&amp;D68</f>
        <v>0（含）-3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0"/>
      <c r="Q67" s="439"/>
    </row>
    <row r="68" spans="1:17">
      <c r="A68" s="367"/>
      <c r="B68" s="479"/>
      <c r="C68" s="480">
        <v>0</v>
      </c>
      <c r="D68" s="480">
        <v>3</v>
      </c>
      <c r="E68" s="480"/>
      <c r="F68" s="480"/>
      <c r="G68" s="480"/>
      <c r="H68" s="480"/>
      <c r="I68" s="480"/>
      <c r="J68" s="480"/>
      <c r="K68" s="481"/>
      <c r="L68" s="482"/>
      <c r="M68" s="483"/>
      <c r="N68" s="877"/>
      <c r="O68" s="877"/>
      <c r="P68" s="1770"/>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0"/>
      <c r="Q69" s="439"/>
    </row>
    <row r="70" spans="1:17" s="408" customFormat="1" ht="14.4" thickTop="1">
      <c r="A70" s="484"/>
      <c r="B70" s="469">
        <f>B12</f>
        <v>111</v>
      </c>
      <c r="C70" s="485"/>
      <c r="D70" s="485"/>
      <c r="E70" s="485"/>
      <c r="F70" s="485"/>
      <c r="G70" s="485"/>
      <c r="H70" s="486"/>
      <c r="I70" s="486"/>
      <c r="J70" s="486"/>
      <c r="K70" s="486"/>
      <c r="L70" s="487"/>
      <c r="M70" s="488"/>
      <c r="N70" s="879"/>
      <c r="O70" s="879"/>
      <c r="P70" s="1771"/>
      <c r="Q70" s="490"/>
    </row>
    <row r="71" spans="1:17" s="408" customFormat="1" ht="14.4" thickBot="1">
      <c r="A71" s="484"/>
      <c r="B71" s="474"/>
      <c r="C71" s="491"/>
      <c r="D71" s="467"/>
      <c r="E71" s="467"/>
      <c r="F71" s="467"/>
      <c r="G71" s="467"/>
      <c r="H71" s="467"/>
      <c r="I71" s="467"/>
      <c r="J71" s="467"/>
      <c r="K71" s="467"/>
      <c r="L71" s="467"/>
      <c r="M71" s="468"/>
      <c r="N71" s="878"/>
      <c r="O71" s="878"/>
      <c r="P71" s="1771"/>
      <c r="Q71" s="490"/>
    </row>
    <row r="72" spans="1:17" s="408" customFormat="1" ht="14.4" thickTop="1">
      <c r="A72" s="484"/>
      <c r="B72" s="469">
        <f>B13</f>
        <v>111</v>
      </c>
      <c r="C72" s="485"/>
      <c r="D72" s="485"/>
      <c r="E72" s="485"/>
      <c r="F72" s="485"/>
      <c r="G72" s="485"/>
      <c r="H72" s="486"/>
      <c r="I72" s="486"/>
      <c r="J72" s="486"/>
      <c r="K72" s="486"/>
      <c r="L72" s="487"/>
      <c r="M72" s="488"/>
      <c r="N72" s="879"/>
      <c r="O72" s="879"/>
      <c r="P72" s="1772"/>
      <c r="Q72" s="492"/>
    </row>
    <row r="73" spans="1:17" s="408" customFormat="1" ht="14.4" thickBot="1">
      <c r="A73" s="484"/>
      <c r="B73" s="474"/>
      <c r="C73" s="491"/>
      <c r="D73" s="491"/>
      <c r="E73" s="491"/>
      <c r="F73" s="491"/>
      <c r="G73" s="491"/>
      <c r="H73" s="493"/>
      <c r="I73" s="493"/>
      <c r="J73" s="493"/>
      <c r="K73" s="493"/>
      <c r="L73" s="493"/>
      <c r="M73" s="494"/>
      <c r="N73" s="879"/>
      <c r="O73" s="879"/>
      <c r="P73" s="1771"/>
      <c r="Q73" s="490"/>
    </row>
    <row r="74" spans="1:17" s="408" customFormat="1" ht="14.4" thickTop="1">
      <c r="A74" s="484"/>
      <c r="B74" s="477">
        <f>B14</f>
        <v>111</v>
      </c>
      <c r="C74" s="485"/>
      <c r="D74" s="485"/>
      <c r="E74" s="485"/>
      <c r="F74" s="485"/>
      <c r="G74" s="31"/>
      <c r="H74" s="495"/>
      <c r="I74" s="495"/>
      <c r="J74" s="495"/>
      <c r="K74" s="495"/>
      <c r="L74" s="496"/>
      <c r="M74" s="497"/>
      <c r="N74" s="879"/>
      <c r="O74" s="879"/>
      <c r="P74" s="1773"/>
      <c r="Q74" s="490"/>
    </row>
    <row r="75" spans="1:17" s="408" customFormat="1" ht="14.4" thickBot="1">
      <c r="A75" s="499"/>
      <c r="B75" s="500"/>
      <c r="C75" s="501"/>
      <c r="D75" s="501"/>
      <c r="E75" s="501"/>
      <c r="F75" s="501"/>
      <c r="G75" s="501"/>
      <c r="H75" s="502"/>
      <c r="I75" s="502"/>
      <c r="J75" s="502"/>
      <c r="K75" s="502"/>
      <c r="L75" s="502"/>
      <c r="M75" s="503"/>
      <c r="N75" s="879"/>
      <c r="O75" s="879"/>
      <c r="P75" s="1771"/>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4"/>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8"/>
      <c r="O77" s="878"/>
      <c r="P77" s="1770"/>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0"/>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8"/>
      <c r="O79" s="878"/>
      <c r="P79" s="1770"/>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0"/>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78"/>
      <c r="O81" s="878"/>
      <c r="P81" s="1770"/>
      <c r="Q81" s="439"/>
    </row>
    <row r="82" spans="1:17" ht="15" thickTop="1">
      <c r="A82" s="367"/>
      <c r="B82" s="477" t="s">
        <v>1260</v>
      </c>
      <c r="C82" s="470" t="s">
        <v>1728</v>
      </c>
      <c r="D82" s="470" t="s">
        <v>1729</v>
      </c>
      <c r="E82" s="470" t="s">
        <v>1730</v>
      </c>
      <c r="F82" s="470" t="s">
        <v>1731</v>
      </c>
      <c r="G82" s="470" t="s">
        <v>1732</v>
      </c>
      <c r="H82" s="470"/>
      <c r="I82" s="470"/>
      <c r="J82" s="470"/>
      <c r="K82" s="470"/>
      <c r="L82" s="470"/>
      <c r="M82" s="1060"/>
      <c r="N82" s="878"/>
      <c r="O82" s="878"/>
      <c r="P82" s="1770"/>
      <c r="Q82" s="439"/>
    </row>
    <row r="83" spans="1:17" ht="14.4"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78"/>
      <c r="O83" s="878"/>
      <c r="P83" s="1770"/>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0"/>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8"/>
      <c r="O85" s="878"/>
      <c r="P85" s="1770"/>
      <c r="Q85" s="439"/>
    </row>
    <row r="86" spans="1:17" s="102" customFormat="1" ht="15" thickTop="1">
      <c r="A86" s="370"/>
      <c r="B86" s="469" t="s">
        <v>1734</v>
      </c>
      <c r="C86" s="3151"/>
      <c r="D86" s="3151"/>
      <c r="E86" s="3151"/>
      <c r="F86" s="485"/>
      <c r="G86" s="485"/>
      <c r="H86" s="485"/>
      <c r="I86" s="485"/>
      <c r="J86" s="485"/>
      <c r="K86" s="485"/>
      <c r="L86" s="510"/>
      <c r="M86" s="511"/>
      <c r="N86" s="876"/>
      <c r="O86" s="876"/>
      <c r="P86" s="1770"/>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0"/>
      <c r="Q87" s="439"/>
    </row>
    <row r="88" spans="1:17" s="102" customFormat="1" ht="15" thickTop="1">
      <c r="A88" s="370"/>
      <c r="B88" s="469" t="s">
        <v>1735</v>
      </c>
      <c r="C88" s="3151" t="s">
        <v>3629</v>
      </c>
      <c r="D88" s="3151" t="s">
        <v>3630</v>
      </c>
      <c r="E88" s="3151" t="s">
        <v>3631</v>
      </c>
      <c r="F88" s="3158" t="s">
        <v>3632</v>
      </c>
      <c r="G88" s="3151" t="s">
        <v>3633</v>
      </c>
      <c r="H88" s="3151" t="s">
        <v>3634</v>
      </c>
      <c r="I88" s="3151" t="s">
        <v>3635</v>
      </c>
      <c r="J88" s="3151" t="s">
        <v>3636</v>
      </c>
      <c r="K88" s="3151" t="s">
        <v>3637</v>
      </c>
      <c r="L88" s="3151" t="s">
        <v>3638</v>
      </c>
      <c r="M88" s="511"/>
      <c r="N88" s="876"/>
      <c r="O88" s="876"/>
      <c r="P88" s="1770"/>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78"/>
      <c r="O89" s="878"/>
      <c r="P89" s="1770"/>
      <c r="Q89" s="439"/>
    </row>
    <row r="90" spans="1:17" s="408" customFormat="1" ht="15" thickTop="1">
      <c r="A90" s="484"/>
      <c r="B90" s="469" t="str">
        <f>B27</f>
        <v>楼层</v>
      </c>
      <c r="C90" s="3151" t="s">
        <v>3587</v>
      </c>
      <c r="D90" s="3151" t="s">
        <v>3588</v>
      </c>
      <c r="E90" s="3151" t="s">
        <v>3589</v>
      </c>
      <c r="F90" s="485"/>
      <c r="G90" s="485"/>
      <c r="H90" s="486"/>
      <c r="I90" s="486"/>
      <c r="J90" s="486"/>
      <c r="K90" s="486"/>
      <c r="L90" s="487"/>
      <c r="M90" s="488"/>
      <c r="N90" s="879"/>
      <c r="O90" s="879"/>
      <c r="P90" s="1771"/>
      <c r="Q90" s="490"/>
    </row>
    <row r="91" spans="1:17" s="408" customFormat="1" ht="14.4" thickBot="1">
      <c r="A91" s="484"/>
      <c r="B91" s="474"/>
      <c r="C91" s="491">
        <v>100</v>
      </c>
      <c r="D91" s="491">
        <f>C91-5</f>
        <v>95</v>
      </c>
      <c r="E91" s="491">
        <f>D91-5</f>
        <v>90</v>
      </c>
      <c r="F91" s="491"/>
      <c r="G91" s="491"/>
      <c r="H91" s="493"/>
      <c r="I91" s="493"/>
      <c r="J91" s="493"/>
      <c r="K91" s="493"/>
      <c r="L91" s="493"/>
      <c r="M91" s="494"/>
      <c r="N91" s="879"/>
      <c r="O91" s="879"/>
      <c r="P91" s="1771"/>
      <c r="Q91" s="490"/>
    </row>
    <row r="92" spans="1:17" ht="14.4" thickTop="1">
      <c r="A92" s="367"/>
      <c r="B92" s="469">
        <f>B28</f>
        <v>0</v>
      </c>
      <c r="C92" s="485"/>
      <c r="D92" s="485"/>
      <c r="E92" s="485"/>
      <c r="F92" s="485"/>
      <c r="G92" s="513"/>
      <c r="H92" s="513"/>
      <c r="I92" s="513"/>
      <c r="J92" s="513"/>
      <c r="K92" s="514"/>
      <c r="L92" s="515"/>
      <c r="M92" s="516"/>
      <c r="N92" s="877"/>
      <c r="O92" s="877"/>
      <c r="P92" s="1770"/>
      <c r="Q92" s="439"/>
    </row>
    <row r="93" spans="1:17" ht="14.4" thickBot="1">
      <c r="A93" s="367"/>
      <c r="B93" s="474"/>
      <c r="C93" s="491"/>
      <c r="D93" s="467"/>
      <c r="E93" s="467"/>
      <c r="F93" s="467"/>
      <c r="G93" s="467"/>
      <c r="H93" s="467"/>
      <c r="I93" s="467"/>
      <c r="J93" s="467"/>
      <c r="K93" s="467"/>
      <c r="L93" s="467"/>
      <c r="M93" s="468"/>
      <c r="N93" s="878"/>
      <c r="O93" s="878"/>
      <c r="P93" s="1770"/>
      <c r="Q93" s="439"/>
    </row>
    <row r="94" spans="1:17" ht="14.4" thickTop="1">
      <c r="A94" s="367"/>
      <c r="B94" s="469">
        <f>B29</f>
        <v>111</v>
      </c>
      <c r="C94" s="485"/>
      <c r="D94" s="485"/>
      <c r="E94" s="485"/>
      <c r="F94" s="485"/>
      <c r="G94" s="513"/>
      <c r="H94" s="513"/>
      <c r="I94" s="513"/>
      <c r="J94" s="513"/>
      <c r="K94" s="514"/>
      <c r="L94" s="515"/>
      <c r="M94" s="516"/>
      <c r="N94" s="877"/>
      <c r="O94" s="877"/>
      <c r="P94" s="1770"/>
      <c r="Q94" s="439"/>
    </row>
    <row r="95" spans="1:17" ht="14.4" thickBot="1">
      <c r="A95" s="367"/>
      <c r="B95" s="474"/>
      <c r="C95" s="491"/>
      <c r="D95" s="491"/>
      <c r="E95" s="491"/>
      <c r="F95" s="491"/>
      <c r="G95" s="467"/>
      <c r="H95" s="467"/>
      <c r="I95" s="467"/>
      <c r="J95" s="467"/>
      <c r="K95" s="467"/>
      <c r="L95" s="467"/>
      <c r="M95" s="468"/>
      <c r="N95" s="878"/>
      <c r="O95" s="878"/>
      <c r="P95" s="1770"/>
      <c r="Q95" s="439"/>
    </row>
    <row r="96" spans="1:17" ht="14.4" thickTop="1">
      <c r="A96" s="367"/>
      <c r="B96" s="469">
        <f>B30</f>
        <v>111</v>
      </c>
      <c r="C96" s="485"/>
      <c r="D96" s="485"/>
      <c r="E96" s="485"/>
      <c r="F96" s="485"/>
      <c r="G96" s="513"/>
      <c r="H96" s="513"/>
      <c r="I96" s="513"/>
      <c r="J96" s="513"/>
      <c r="K96" s="514"/>
      <c r="L96" s="515"/>
      <c r="M96" s="516"/>
      <c r="N96" s="877"/>
      <c r="O96" s="877"/>
      <c r="P96" s="1770"/>
      <c r="Q96" s="439"/>
    </row>
    <row r="97" spans="1:17" ht="14.4" thickBot="1">
      <c r="A97" s="367"/>
      <c r="B97" s="474"/>
      <c r="C97" s="501"/>
      <c r="D97" s="501"/>
      <c r="E97" s="501"/>
      <c r="F97" s="501"/>
      <c r="G97" s="467"/>
      <c r="H97" s="467"/>
      <c r="I97" s="467"/>
      <c r="J97" s="467"/>
      <c r="K97" s="467"/>
      <c r="L97" s="467"/>
      <c r="M97" s="468"/>
      <c r="N97" s="878"/>
      <c r="O97" s="878"/>
      <c r="P97" s="1770"/>
      <c r="Q97" s="439"/>
    </row>
    <row r="98" spans="1:17" ht="14.4" thickTop="1">
      <c r="A98" s="367"/>
      <c r="B98" s="477">
        <f>B31</f>
        <v>111</v>
      </c>
      <c r="C98" s="517"/>
      <c r="D98" s="517"/>
      <c r="E98" s="517"/>
      <c r="F98" s="517"/>
      <c r="G98" s="517"/>
      <c r="H98" s="517"/>
      <c r="I98" s="517"/>
      <c r="J98" s="517"/>
      <c r="K98" s="518"/>
      <c r="L98" s="519"/>
      <c r="M98" s="520"/>
      <c r="N98" s="877"/>
      <c r="O98" s="877"/>
      <c r="P98" s="1770"/>
      <c r="Q98" s="439"/>
    </row>
    <row r="99" spans="1:17" ht="14.4" thickBot="1">
      <c r="A99" s="375"/>
      <c r="B99" s="500"/>
      <c r="C99" s="521"/>
      <c r="D99" s="521"/>
      <c r="E99" s="521"/>
      <c r="F99" s="521"/>
      <c r="G99" s="521"/>
      <c r="H99" s="521"/>
      <c r="I99" s="521"/>
      <c r="J99" s="521"/>
      <c r="K99" s="521"/>
      <c r="L99" s="521"/>
      <c r="M99" s="522"/>
      <c r="N99" s="878"/>
      <c r="O99" s="878"/>
      <c r="P99" s="1770"/>
      <c r="Q99" s="439"/>
    </row>
    <row r="100" spans="1:17" ht="14.4">
      <c r="A100" s="379" t="s">
        <v>1694</v>
      </c>
      <c r="B100" s="460" t="s">
        <v>1736</v>
      </c>
      <c r="C100" s="462"/>
      <c r="D100" s="462"/>
      <c r="E100" s="462"/>
      <c r="F100" s="462"/>
      <c r="G100" s="462"/>
      <c r="H100" s="462"/>
      <c r="I100" s="462"/>
      <c r="J100" s="462"/>
      <c r="K100" s="463"/>
      <c r="L100" s="464"/>
      <c r="M100" s="465"/>
      <c r="N100" s="877"/>
      <c r="O100" s="877"/>
      <c r="P100" s="1770"/>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0"/>
      <c r="Q101" s="439"/>
    </row>
    <row r="102" spans="1:17" ht="15" thickTop="1">
      <c r="A102" s="367"/>
      <c r="B102" s="469" t="s">
        <v>1737</v>
      </c>
      <c r="C102" s="509" t="str">
        <f>C103&amp;"(含)"&amp;"-"&amp;D103</f>
        <v>0(含)-70</v>
      </c>
      <c r="D102" s="509" t="str">
        <f t="shared" ref="D102:L102" si="26">D103&amp;"(含)"&amp;"-"&amp;E103</f>
        <v>70(含)-95</v>
      </c>
      <c r="E102" s="509" t="str">
        <f t="shared" si="26"/>
        <v>95(含)-100</v>
      </c>
      <c r="F102" s="509" t="str">
        <f t="shared" si="26"/>
        <v>100(含)-130</v>
      </c>
      <c r="G102" s="509" t="str">
        <f t="shared" si="26"/>
        <v>130(含)-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0"/>
      <c r="Q102" s="439"/>
    </row>
    <row r="103" spans="1:17" s="408" customFormat="1">
      <c r="A103" s="406"/>
      <c r="B103" s="523"/>
      <c r="C103" s="6">
        <v>0</v>
      </c>
      <c r="D103" s="6">
        <v>70</v>
      </c>
      <c r="E103" s="6">
        <v>95</v>
      </c>
      <c r="F103" s="6">
        <v>100</v>
      </c>
      <c r="G103" s="6">
        <v>130</v>
      </c>
      <c r="H103" s="6"/>
      <c r="I103" s="6"/>
      <c r="J103" s="524"/>
      <c r="K103" s="524"/>
      <c r="L103" s="525"/>
      <c r="M103" s="526"/>
      <c r="N103" s="879"/>
      <c r="O103" s="879"/>
      <c r="P103" s="1771"/>
      <c r="Q103" s="490"/>
    </row>
    <row r="104" spans="1:17" s="408" customFormat="1" ht="14.4" thickBot="1">
      <c r="A104" s="484"/>
      <c r="B104" s="474"/>
      <c r="C104" s="467">
        <v>100</v>
      </c>
      <c r="D104" s="467">
        <f>C104-2</f>
        <v>98</v>
      </c>
      <c r="E104" s="467">
        <f t="shared" ref="E104:G104" si="27">D104-2</f>
        <v>96</v>
      </c>
      <c r="F104" s="467">
        <f t="shared" si="27"/>
        <v>94</v>
      </c>
      <c r="G104" s="467">
        <f t="shared" si="27"/>
        <v>92</v>
      </c>
      <c r="H104" s="467"/>
      <c r="I104" s="467"/>
      <c r="J104" s="467"/>
      <c r="K104" s="467"/>
      <c r="L104" s="467"/>
      <c r="M104" s="467"/>
      <c r="N104" s="878"/>
      <c r="O104" s="878"/>
      <c r="P104" s="1771"/>
      <c r="Q104" s="490"/>
    </row>
    <row r="105" spans="1:17" ht="15" thickTop="1">
      <c r="A105" s="409"/>
      <c r="B105" s="469" t="s">
        <v>1738</v>
      </c>
      <c r="C105" s="3151" t="s">
        <v>3575</v>
      </c>
      <c r="D105" s="485"/>
      <c r="E105" s="513"/>
      <c r="F105" s="513"/>
      <c r="G105" s="513"/>
      <c r="H105" s="513"/>
      <c r="I105" s="513"/>
      <c r="J105" s="513"/>
      <c r="K105" s="514"/>
      <c r="L105" s="515"/>
      <c r="M105" s="516"/>
      <c r="N105" s="877"/>
      <c r="O105" s="877"/>
      <c r="P105" s="1770"/>
      <c r="Q105" s="439"/>
    </row>
    <row r="106" spans="1:17" ht="14.4"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78"/>
      <c r="O106" s="878"/>
      <c r="P106" s="1770"/>
      <c r="Q106" s="439"/>
    </row>
    <row r="107" spans="1:17" ht="15" thickTop="1">
      <c r="A107" s="409"/>
      <c r="B107" s="469" t="s">
        <v>1739</v>
      </c>
      <c r="C107" s="513"/>
      <c r="D107" s="513"/>
      <c r="E107" s="513"/>
      <c r="F107" s="513"/>
      <c r="G107" s="513"/>
      <c r="H107" s="513"/>
      <c r="I107" s="513"/>
      <c r="J107" s="513"/>
      <c r="K107" s="514"/>
      <c r="L107" s="515"/>
      <c r="M107" s="516"/>
      <c r="N107" s="877"/>
      <c r="O107" s="877"/>
      <c r="P107" s="1770"/>
      <c r="Q107" s="439"/>
    </row>
    <row r="108" spans="1:17" ht="14.4"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78"/>
      <c r="O108" s="878"/>
      <c r="P108" s="1770"/>
      <c r="Q108" s="439"/>
    </row>
    <row r="109" spans="1:17" ht="15" thickTop="1">
      <c r="A109" s="409"/>
      <c r="B109" s="469" t="s">
        <v>1740</v>
      </c>
      <c r="C109" s="3151" t="s">
        <v>3576</v>
      </c>
      <c r="D109" s="485"/>
      <c r="E109" s="485"/>
      <c r="F109" s="513"/>
      <c r="G109" s="513"/>
      <c r="H109" s="513"/>
      <c r="I109" s="513"/>
      <c r="J109" s="513"/>
      <c r="K109" s="514"/>
      <c r="L109" s="515"/>
      <c r="M109" s="516"/>
      <c r="N109" s="877"/>
      <c r="O109" s="877"/>
      <c r="P109" s="1770"/>
      <c r="Q109" s="439"/>
    </row>
    <row r="110" spans="1:17" ht="14.4"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78"/>
      <c r="O110" s="878"/>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1"/>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1"/>
      <c r="Q113" s="490"/>
    </row>
    <row r="114" spans="1:17" ht="15" thickTop="1">
      <c r="A114" s="409"/>
      <c r="B114" s="469" t="s">
        <v>1741</v>
      </c>
      <c r="C114" s="3151" t="s">
        <v>3578</v>
      </c>
      <c r="D114" s="3151" t="s">
        <v>3579</v>
      </c>
      <c r="E114" s="513"/>
      <c r="F114" s="513"/>
      <c r="G114" s="513"/>
      <c r="H114" s="513"/>
      <c r="I114" s="513"/>
      <c r="J114" s="513"/>
      <c r="K114" s="514"/>
      <c r="L114" s="515"/>
      <c r="M114" s="516"/>
      <c r="N114" s="877"/>
      <c r="O114" s="877"/>
      <c r="P114" s="1770"/>
      <c r="Q114" s="439"/>
    </row>
    <row r="115" spans="1:17" ht="14.4"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78"/>
      <c r="O115" s="878"/>
      <c r="P115" s="1770"/>
      <c r="Q115" s="439"/>
    </row>
    <row r="116" spans="1:17" ht="15" thickTop="1">
      <c r="A116" s="409"/>
      <c r="B116" s="469" t="s">
        <v>1742</v>
      </c>
      <c r="C116" s="3151" t="s">
        <v>3577</v>
      </c>
      <c r="D116" s="3151" t="s">
        <v>3580</v>
      </c>
      <c r="E116" s="3151" t="s">
        <v>3581</v>
      </c>
      <c r="F116" s="3151" t="s">
        <v>3582</v>
      </c>
      <c r="G116" s="3151" t="s">
        <v>3583</v>
      </c>
      <c r="H116" s="513"/>
      <c r="I116" s="513"/>
      <c r="J116" s="513"/>
      <c r="K116" s="514"/>
      <c r="L116" s="515"/>
      <c r="M116" s="516"/>
      <c r="N116" s="877"/>
      <c r="O116" s="877"/>
      <c r="P116" s="1770"/>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0"/>
      <c r="Q117" s="439"/>
    </row>
    <row r="118" spans="1:17" ht="15" thickTop="1">
      <c r="A118" s="409"/>
      <c r="B118" s="469" t="s">
        <v>1743</v>
      </c>
      <c r="C118" s="513"/>
      <c r="D118" s="513"/>
      <c r="E118" s="513"/>
      <c r="F118" s="513"/>
      <c r="G118" s="513"/>
      <c r="H118" s="513"/>
      <c r="I118" s="513"/>
      <c r="J118" s="513"/>
      <c r="K118" s="514"/>
      <c r="L118" s="515"/>
      <c r="M118" s="516"/>
      <c r="N118" s="877"/>
      <c r="O118" s="877"/>
      <c r="P118" s="1770"/>
      <c r="Q118" s="439"/>
    </row>
    <row r="119" spans="1:17" ht="14.4"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78"/>
      <c r="O119" s="878"/>
      <c r="P119" s="1770"/>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1"/>
      <c r="Q120" s="490"/>
    </row>
    <row r="121" spans="1:17" s="408" customFormat="1" ht="14.4" thickBot="1">
      <c r="A121" s="484"/>
      <c r="B121" s="466"/>
      <c r="C121" s="491"/>
      <c r="D121" s="467"/>
      <c r="E121" s="467"/>
      <c r="F121" s="467"/>
      <c r="G121" s="467"/>
      <c r="H121" s="467"/>
      <c r="I121" s="467"/>
      <c r="J121" s="467"/>
      <c r="K121" s="467"/>
      <c r="L121" s="467"/>
      <c r="M121" s="467"/>
      <c r="N121" s="879"/>
      <c r="O121" s="879"/>
      <c r="P121" s="1771"/>
      <c r="Q121" s="490"/>
    </row>
    <row r="122" spans="1:17" ht="15" thickTop="1">
      <c r="A122" s="409"/>
      <c r="B122" s="469" t="s">
        <v>1744</v>
      </c>
      <c r="C122" s="3151" t="s">
        <v>3576</v>
      </c>
      <c r="D122" s="3151" t="s">
        <v>3584</v>
      </c>
      <c r="E122" s="3151" t="s">
        <v>3585</v>
      </c>
      <c r="F122" s="3152" t="s">
        <v>3586</v>
      </c>
      <c r="G122" s="513"/>
      <c r="H122" s="513"/>
      <c r="I122" s="513"/>
      <c r="J122" s="513"/>
      <c r="K122" s="514"/>
      <c r="L122" s="515"/>
      <c r="M122" s="516"/>
      <c r="N122" s="877"/>
      <c r="O122" s="877"/>
      <c r="P122" s="1770"/>
      <c r="Q122" s="439"/>
    </row>
    <row r="123" spans="1:17" ht="14.4"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878"/>
      <c r="O123" s="878"/>
      <c r="P123" s="1770"/>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1"/>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0"/>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1"/>
      <c r="Q126" s="490"/>
    </row>
    <row r="127" spans="1:17" s="408" customFormat="1" ht="14.4" thickBot="1">
      <c r="A127" s="484"/>
      <c r="B127" s="474"/>
      <c r="C127" s="491"/>
      <c r="D127" s="467"/>
      <c r="E127" s="467"/>
      <c r="F127" s="467"/>
      <c r="G127" s="491"/>
      <c r="H127" s="493"/>
      <c r="I127" s="493"/>
      <c r="J127" s="493"/>
      <c r="K127" s="493"/>
      <c r="L127" s="493"/>
      <c r="M127" s="494"/>
      <c r="N127" s="879"/>
      <c r="O127" s="879"/>
      <c r="P127" s="1771"/>
      <c r="Q127" s="490"/>
    </row>
    <row r="128" spans="1:17" ht="14.4" thickTop="1">
      <c r="A128" s="409"/>
      <c r="B128" s="469">
        <f>B45</f>
        <v>111</v>
      </c>
      <c r="C128" s="485"/>
      <c r="D128" s="485"/>
      <c r="E128" s="485"/>
      <c r="F128" s="485"/>
      <c r="G128" s="513"/>
      <c r="H128" s="513"/>
      <c r="I128" s="513"/>
      <c r="J128" s="513"/>
      <c r="K128" s="514"/>
      <c r="L128" s="515"/>
      <c r="M128" s="516"/>
      <c r="N128" s="877"/>
      <c r="O128" s="877"/>
      <c r="P128" s="1770"/>
      <c r="Q128" s="439"/>
    </row>
    <row r="129" spans="1:17" ht="14.4" thickBot="1">
      <c r="A129" s="367"/>
      <c r="B129" s="474"/>
      <c r="C129" s="491"/>
      <c r="D129" s="491"/>
      <c r="E129" s="491"/>
      <c r="F129" s="491"/>
      <c r="G129" s="467"/>
      <c r="H129" s="467"/>
      <c r="I129" s="467"/>
      <c r="J129" s="467"/>
      <c r="K129" s="467"/>
      <c r="L129" s="467"/>
      <c r="M129" s="468"/>
      <c r="N129" s="878"/>
      <c r="O129" s="878"/>
      <c r="P129" s="1770"/>
      <c r="Q129" s="439"/>
    </row>
    <row r="130" spans="1:17" ht="14.4" thickTop="1">
      <c r="A130" s="409"/>
      <c r="B130" s="477">
        <f>B46</f>
        <v>111</v>
      </c>
      <c r="C130" s="485"/>
      <c r="D130" s="485"/>
      <c r="E130" s="485"/>
      <c r="F130" s="485"/>
      <c r="G130" s="517"/>
      <c r="H130" s="517"/>
      <c r="I130" s="517"/>
      <c r="J130" s="517"/>
      <c r="K130" s="31"/>
      <c r="L130" s="457"/>
      <c r="M130" s="520"/>
      <c r="N130" s="877"/>
      <c r="O130" s="877"/>
      <c r="P130" s="1770"/>
      <c r="Q130" s="439"/>
    </row>
    <row r="131" spans="1:17" ht="14.4" thickBot="1">
      <c r="A131" s="375"/>
      <c r="B131" s="500"/>
      <c r="C131" s="501"/>
      <c r="D131" s="501"/>
      <c r="E131" s="501"/>
      <c r="F131" s="501"/>
      <c r="G131" s="521"/>
      <c r="H131" s="521"/>
      <c r="I131" s="521"/>
      <c r="J131" s="521"/>
      <c r="K131" s="521"/>
      <c r="L131" s="521"/>
      <c r="M131" s="522"/>
      <c r="N131" s="878"/>
      <c r="O131" s="878"/>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6.2"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ht="14.4">
      <c r="B147" s="1776" t="s">
        <v>1764</v>
      </c>
    </row>
    <row r="148" spans="2:11" ht="14.4">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4"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29" t="s">
        <v>1766</v>
      </c>
      <c r="C1" s="1152" t="s">
        <v>1662</v>
      </c>
      <c r="D1" s="1139"/>
      <c r="E1" s="3117"/>
      <c r="F1" s="1730"/>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1799"/>
      <c r="Q2" s="857"/>
      <c r="R2" s="857"/>
      <c r="S2" s="857"/>
      <c r="T2" s="857"/>
      <c r="U2" s="857"/>
      <c r="V2" s="857"/>
      <c r="W2" s="857"/>
      <c r="X2" s="857"/>
      <c r="Y2" s="857"/>
      <c r="Z2" s="857"/>
      <c r="AA2" s="857"/>
      <c r="AB2" s="857"/>
      <c r="AC2" s="1800"/>
    </row>
    <row r="3" spans="1:29" s="342" customFormat="1" ht="28.5" customHeight="1" thickBot="1">
      <c r="A3" s="195" t="s">
        <v>1464</v>
      </c>
      <c r="B3" s="536">
        <f>IF(C2="——",C49,ROUND(B2*10000/D3,0))</f>
        <v>0</v>
      </c>
      <c r="C3" s="344" t="s">
        <v>1768</v>
      </c>
      <c r="D3" s="343">
        <f>IF(D1="",'数据-汇总表'!E3,SUMIF('数据-汇总表'!$C19:$C33,D1,'数据-汇总表'!$E19:$E33))</f>
        <v>121.97</v>
      </c>
      <c r="E3" s="1800"/>
      <c r="F3" s="854"/>
      <c r="G3" s="853"/>
      <c r="H3" s="853"/>
      <c r="I3" s="853"/>
      <c r="J3" s="853"/>
      <c r="K3" s="855"/>
      <c r="L3" s="2496"/>
      <c r="M3" s="2497"/>
      <c r="N3" s="2497"/>
      <c r="O3" s="2497"/>
      <c r="P3" s="1799"/>
      <c r="Q3" s="857"/>
      <c r="R3" s="857"/>
      <c r="S3" s="857"/>
      <c r="T3" s="857"/>
      <c r="U3" s="857"/>
      <c r="V3" s="857"/>
      <c r="W3" s="857"/>
      <c r="X3" s="857"/>
      <c r="Y3" s="857"/>
      <c r="Z3" s="857"/>
      <c r="AA3" s="857"/>
      <c r="AB3" s="857"/>
      <c r="AC3" s="1800"/>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05" t="s">
        <v>1775</v>
      </c>
      <c r="Q4" s="3406"/>
      <c r="R4" s="3387" t="s">
        <v>1771</v>
      </c>
      <c r="S4" s="3388"/>
      <c r="T4" s="3387" t="s">
        <v>1772</v>
      </c>
      <c r="U4" s="3388"/>
      <c r="V4" s="3413" t="s">
        <v>1773</v>
      </c>
      <c r="W4" s="3413"/>
      <c r="X4" s="1260"/>
      <c r="Y4" s="3387" t="s">
        <v>1775</v>
      </c>
      <c r="Z4" s="3388"/>
      <c r="AA4" s="3382" t="s">
        <v>1771</v>
      </c>
      <c r="AB4" s="3413" t="s">
        <v>1772</v>
      </c>
      <c r="AC4" s="3382" t="s">
        <v>1773</v>
      </c>
    </row>
    <row r="5" spans="1:29">
      <c r="A5" s="348"/>
      <c r="B5" s="349"/>
      <c r="C5" s="3397" t="s">
        <v>1673</v>
      </c>
      <c r="D5" s="3394"/>
      <c r="E5" s="3391" t="s">
        <v>1674</v>
      </c>
      <c r="F5" s="3392"/>
      <c r="G5" s="3397" t="s">
        <v>1675</v>
      </c>
      <c r="H5" s="3394"/>
      <c r="I5" s="3397" t="s">
        <v>1676</v>
      </c>
      <c r="J5" s="3394"/>
      <c r="K5" s="537"/>
      <c r="L5" s="2479"/>
      <c r="M5" s="2480"/>
      <c r="N5" s="2480"/>
      <c r="O5" s="2480"/>
      <c r="P5" s="3407"/>
      <c r="Q5" s="3408"/>
      <c r="R5" s="3389"/>
      <c r="S5" s="3390"/>
      <c r="T5" s="3389"/>
      <c r="U5" s="3390"/>
      <c r="V5" s="3413"/>
      <c r="W5" s="3413"/>
      <c r="X5" s="1260"/>
      <c r="Y5" s="3389"/>
      <c r="Z5" s="3390"/>
      <c r="AA5" s="3383"/>
      <c r="AB5" s="3413"/>
      <c r="AC5" s="3383"/>
    </row>
    <row r="6" spans="1:29" ht="15" thickBot="1">
      <c r="A6" s="350"/>
      <c r="B6" s="351"/>
      <c r="C6" s="3395" t="s">
        <v>1677</v>
      </c>
      <c r="D6" s="3396"/>
      <c r="E6" s="3398" t="s">
        <v>1677</v>
      </c>
      <c r="F6" s="3399"/>
      <c r="G6" s="3395" t="s">
        <v>1677</v>
      </c>
      <c r="H6" s="3396"/>
      <c r="I6" s="3395" t="s">
        <v>1677</v>
      </c>
      <c r="J6" s="3396"/>
      <c r="K6" s="537" t="s">
        <v>1678</v>
      </c>
      <c r="L6" s="2479"/>
      <c r="M6" s="2480"/>
      <c r="N6" s="2480"/>
      <c r="O6" s="2480"/>
      <c r="P6" s="3409"/>
      <c r="Q6" s="3410"/>
      <c r="R6" s="3389"/>
      <c r="S6" s="3390"/>
      <c r="T6" s="3411"/>
      <c r="U6" s="3412"/>
      <c r="V6" s="3413"/>
      <c r="W6" s="3413"/>
      <c r="X6" s="1260"/>
      <c r="Y6" s="3411"/>
      <c r="Z6" s="3412"/>
      <c r="AA6" s="3384"/>
      <c r="AB6" s="3413"/>
      <c r="AC6" s="3384"/>
    </row>
    <row r="7" spans="1:29" s="102" customFormat="1" ht="15" thickBot="1">
      <c r="A7" s="352" t="s">
        <v>1679</v>
      </c>
      <c r="B7" s="353"/>
      <c r="C7" s="354">
        <f>'数据-取费表'!B2</f>
        <v>45555</v>
      </c>
      <c r="D7" s="355">
        <v>100</v>
      </c>
      <c r="E7" s="356"/>
      <c r="F7" s="357">
        <f>SUMIF(58:58,YEAR(E7)&amp;"-"&amp;MONTH(E7),59:59)</f>
        <v>0</v>
      </c>
      <c r="G7" s="356"/>
      <c r="H7" s="355">
        <f>SUMIF(58:58,YEAR(G7)&amp;"-"&amp;MONTH(G7),59:59)</f>
        <v>0</v>
      </c>
      <c r="I7" s="356"/>
      <c r="J7" s="355">
        <f>SUMIF(58:58,YEAR(I7)&amp;"-"&amp;MONTH(I7),59:59)</f>
        <v>0</v>
      </c>
      <c r="K7" s="38"/>
      <c r="L7" s="2481"/>
      <c r="M7" s="2433"/>
      <c r="N7" s="2433"/>
      <c r="O7" s="2433"/>
      <c r="P7" s="3385" t="s">
        <v>1680</v>
      </c>
      <c r="Q7" s="3414"/>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385" t="s">
        <v>1683</v>
      </c>
      <c r="Q8" s="3386"/>
      <c r="R8" s="663" t="s">
        <v>14</v>
      </c>
      <c r="S8" s="664">
        <f t="shared" si="0"/>
        <v>100</v>
      </c>
      <c r="T8" s="663" t="s">
        <v>14</v>
      </c>
      <c r="U8" s="664">
        <f t="shared" si="1"/>
        <v>100</v>
      </c>
      <c r="V8" s="663" t="s">
        <v>14</v>
      </c>
      <c r="W8" s="664">
        <f t="shared" si="2"/>
        <v>100</v>
      </c>
      <c r="X8" s="665"/>
      <c r="Y8" s="3385" t="s">
        <v>1683</v>
      </c>
      <c r="Z8" s="338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00"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00"/>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00"/>
      <c r="Q11" s="530"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00"/>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00"/>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00"/>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9" t="s">
        <v>1690</v>
      </c>
      <c r="B15" s="58" t="s">
        <v>1777</v>
      </c>
      <c r="C15" s="174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26" t="s">
        <v>1691</v>
      </c>
      <c r="Q15" s="1258" t="str">
        <f t="shared" si="6"/>
        <v>商业繁华度</v>
      </c>
      <c r="R15" s="666" t="s">
        <v>14</v>
      </c>
      <c r="S15" s="667">
        <f t="shared" si="0"/>
        <v>100</v>
      </c>
      <c r="T15" s="666" t="s">
        <v>14</v>
      </c>
      <c r="U15" s="667">
        <f t="shared" si="1"/>
        <v>100</v>
      </c>
      <c r="V15" s="666" t="s">
        <v>14</v>
      </c>
      <c r="W15" s="667">
        <f t="shared" si="2"/>
        <v>100</v>
      </c>
      <c r="X15" s="1260"/>
      <c r="Y15" s="3419" t="s">
        <v>1691</v>
      </c>
      <c r="Z15" s="1259" t="str">
        <f t="shared" si="7"/>
        <v>商业繁华度</v>
      </c>
      <c r="AA15" s="1259">
        <f t="shared" si="3"/>
        <v>1</v>
      </c>
      <c r="AB15" s="1259">
        <f t="shared" si="4"/>
        <v>1</v>
      </c>
      <c r="AC15" s="1259">
        <f t="shared" si="5"/>
        <v>1</v>
      </c>
    </row>
    <row r="16" spans="1:29" ht="15">
      <c r="A16" s="367"/>
      <c r="B16" s="385"/>
      <c r="C16" s="386"/>
      <c r="D16" s="387"/>
      <c r="E16" s="386"/>
      <c r="F16" s="388"/>
      <c r="G16" s="386"/>
      <c r="H16" s="389"/>
      <c r="I16" s="386"/>
      <c r="J16" s="387"/>
      <c r="K16" s="541"/>
      <c r="L16" s="2485"/>
      <c r="M16" s="2480"/>
      <c r="N16" s="2480"/>
      <c r="O16" s="2480"/>
      <c r="P16" s="3427"/>
      <c r="Q16" s="1258"/>
      <c r="R16" s="666"/>
      <c r="S16" s="667"/>
      <c r="T16" s="666"/>
      <c r="U16" s="667"/>
      <c r="V16" s="666"/>
      <c r="W16" s="667"/>
      <c r="X16" s="1260"/>
      <c r="Y16" s="3420"/>
      <c r="Z16" s="1259"/>
      <c r="AA16" s="1259">
        <v>1</v>
      </c>
      <c r="AB16" s="1259">
        <v>1</v>
      </c>
      <c r="AC16" s="1259">
        <v>1</v>
      </c>
    </row>
    <row r="17" spans="1:29" ht="82.8">
      <c r="A17" s="367"/>
      <c r="B17" s="390" t="s">
        <v>1259</v>
      </c>
      <c r="C17" s="174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27"/>
      <c r="Q17" s="1258" t="str">
        <f>B17</f>
        <v>交通便捷度</v>
      </c>
      <c r="R17" s="666" t="s">
        <v>14</v>
      </c>
      <c r="S17" s="667">
        <f>F17</f>
        <v>100</v>
      </c>
      <c r="T17" s="666" t="s">
        <v>14</v>
      </c>
      <c r="U17" s="667">
        <f>H17</f>
        <v>100</v>
      </c>
      <c r="V17" s="666" t="s">
        <v>14</v>
      </c>
      <c r="W17" s="667">
        <f>J17</f>
        <v>100</v>
      </c>
      <c r="X17" s="1260"/>
      <c r="Y17" s="3420"/>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2485"/>
      <c r="M18" s="2480"/>
      <c r="N18" s="2480"/>
      <c r="O18" s="2480"/>
      <c r="P18" s="3427"/>
      <c r="Q18" s="1258"/>
      <c r="R18" s="666"/>
      <c r="S18" s="667"/>
      <c r="T18" s="666"/>
      <c r="U18" s="667"/>
      <c r="V18" s="666"/>
      <c r="W18" s="667"/>
      <c r="X18" s="1260"/>
      <c r="Y18" s="3420"/>
      <c r="Z18" s="1259"/>
      <c r="AA18" s="1259">
        <v>1</v>
      </c>
      <c r="AB18" s="1259">
        <v>1</v>
      </c>
      <c r="AC18" s="1259">
        <v>1</v>
      </c>
    </row>
    <row r="19" spans="1:29" ht="41.4">
      <c r="A19" s="367"/>
      <c r="B19" s="390" t="s">
        <v>1778</v>
      </c>
      <c r="C19" s="174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27"/>
      <c r="Q19" s="1258" t="str">
        <f>B19</f>
        <v>公共配套设施</v>
      </c>
      <c r="R19" s="666" t="s">
        <v>14</v>
      </c>
      <c r="S19" s="667">
        <f>F19</f>
        <v>100</v>
      </c>
      <c r="T19" s="666" t="s">
        <v>14</v>
      </c>
      <c r="U19" s="667">
        <f>H19</f>
        <v>100</v>
      </c>
      <c r="V19" s="666" t="s">
        <v>14</v>
      </c>
      <c r="W19" s="667">
        <f>J19</f>
        <v>100</v>
      </c>
      <c r="X19" s="1260"/>
      <c r="Y19" s="3420"/>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2485"/>
      <c r="M20" s="2480"/>
      <c r="N20" s="2480"/>
      <c r="O20" s="2480"/>
      <c r="P20" s="3427"/>
      <c r="Q20" s="1258"/>
      <c r="R20" s="666"/>
      <c r="S20" s="667"/>
      <c r="T20" s="666"/>
      <c r="U20" s="667"/>
      <c r="V20" s="666"/>
      <c r="W20" s="667"/>
      <c r="X20" s="1260"/>
      <c r="Y20" s="3420"/>
      <c r="Z20" s="1259"/>
      <c r="AA20" s="1259">
        <v>1</v>
      </c>
      <c r="AB20" s="1259">
        <v>1</v>
      </c>
      <c r="AC20" s="1259">
        <v>1</v>
      </c>
    </row>
    <row r="21" spans="1:29" ht="27.6">
      <c r="A21" s="367"/>
      <c r="B21" s="586" t="s">
        <v>1779</v>
      </c>
      <c r="C21" s="174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27"/>
      <c r="Q21" s="1258" t="str">
        <f>B21</f>
        <v>基础设施水平</v>
      </c>
      <c r="R21" s="666" t="s">
        <v>14</v>
      </c>
      <c r="S21" s="667">
        <f>F21</f>
        <v>100</v>
      </c>
      <c r="T21" s="666" t="s">
        <v>14</v>
      </c>
      <c r="U21" s="667">
        <f>H21</f>
        <v>100</v>
      </c>
      <c r="V21" s="666" t="s">
        <v>14</v>
      </c>
      <c r="W21" s="667">
        <f>J21</f>
        <v>100</v>
      </c>
      <c r="X21" s="1260"/>
      <c r="Y21" s="3420"/>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2485"/>
      <c r="M22" s="2480"/>
      <c r="N22" s="2480"/>
      <c r="O22" s="2480"/>
      <c r="P22" s="3427"/>
      <c r="Q22" s="1258"/>
      <c r="R22" s="666"/>
      <c r="S22" s="667"/>
      <c r="T22" s="666"/>
      <c r="U22" s="667"/>
      <c r="V22" s="666"/>
      <c r="W22" s="667"/>
      <c r="X22" s="1260"/>
      <c r="Y22" s="3420"/>
      <c r="Z22" s="1259"/>
      <c r="AA22" s="1259">
        <v>1</v>
      </c>
      <c r="AB22" s="1259">
        <v>1</v>
      </c>
      <c r="AC22" s="1259">
        <v>1</v>
      </c>
    </row>
    <row r="23" spans="1:29" ht="55.2">
      <c r="A23" s="367"/>
      <c r="B23" s="390" t="s">
        <v>1261</v>
      </c>
      <c r="C23" s="1801"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27"/>
      <c r="Q23" s="1258" t="str">
        <f>B23</f>
        <v>自然及人文环境</v>
      </c>
      <c r="R23" s="666" t="s">
        <v>14</v>
      </c>
      <c r="S23" s="667">
        <f>F23</f>
        <v>100</v>
      </c>
      <c r="T23" s="666" t="s">
        <v>14</v>
      </c>
      <c r="U23" s="667">
        <f>H23</f>
        <v>100</v>
      </c>
      <c r="V23" s="666" t="s">
        <v>14</v>
      </c>
      <c r="W23" s="667">
        <f>J23</f>
        <v>100</v>
      </c>
      <c r="X23" s="1260"/>
      <c r="Y23" s="3420"/>
      <c r="Z23" s="1259" t="str">
        <f>Q23</f>
        <v>自然及人文环境</v>
      </c>
      <c r="AA23" s="1259">
        <f t="shared" si="3"/>
        <v>1</v>
      </c>
      <c r="AB23" s="1259">
        <f t="shared" si="4"/>
        <v>1</v>
      </c>
      <c r="AC23" s="1259">
        <f t="shared" si="5"/>
        <v>1</v>
      </c>
    </row>
    <row r="24" spans="1:29" ht="15">
      <c r="A24" s="367"/>
      <c r="B24" s="395"/>
      <c r="C24" s="386"/>
      <c r="D24" s="387"/>
      <c r="E24" s="1747"/>
      <c r="F24" s="388"/>
      <c r="G24" s="1746"/>
      <c r="H24" s="387"/>
      <c r="I24" s="1747"/>
      <c r="J24" s="387"/>
      <c r="K24" s="541"/>
      <c r="L24" s="2485"/>
      <c r="M24" s="2480"/>
      <c r="N24" s="2480"/>
      <c r="O24" s="2480"/>
      <c r="P24" s="3427"/>
      <c r="Q24" s="1258"/>
      <c r="R24" s="666"/>
      <c r="S24" s="667"/>
      <c r="T24" s="666"/>
      <c r="U24" s="667"/>
      <c r="V24" s="666"/>
      <c r="W24" s="667"/>
      <c r="X24" s="1260"/>
      <c r="Y24" s="3420"/>
      <c r="Z24" s="1259"/>
      <c r="AA24" s="1259">
        <v>1</v>
      </c>
      <c r="AB24" s="1259">
        <v>1</v>
      </c>
      <c r="AC24" s="1259">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27"/>
      <c r="Q25" s="1258" t="str">
        <f t="shared" ref="Q25:Q46" si="11">B25</f>
        <v>临街状况</v>
      </c>
      <c r="R25" s="666" t="s">
        <v>14</v>
      </c>
      <c r="S25" s="667">
        <f>F25</f>
        <v>100</v>
      </c>
      <c r="T25" s="666" t="s">
        <v>14</v>
      </c>
      <c r="U25" s="667">
        <f>H25</f>
        <v>100</v>
      </c>
      <c r="V25" s="666" t="s">
        <v>14</v>
      </c>
      <c r="W25" s="667">
        <f>J25</f>
        <v>100</v>
      </c>
      <c r="X25" s="1260"/>
      <c r="Y25" s="3420"/>
      <c r="Z25" s="1259" t="str">
        <f>Q25</f>
        <v>临街状况</v>
      </c>
      <c r="AA25" s="1259">
        <f t="shared" si="3"/>
        <v>1</v>
      </c>
      <c r="AB25" s="1259">
        <f t="shared" si="4"/>
        <v>1</v>
      </c>
      <c r="AC25" s="1259">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27"/>
      <c r="Q26" s="1258" t="str">
        <f t="shared" si="11"/>
        <v>平面位置/可视性</v>
      </c>
      <c r="R26" s="666" t="s">
        <v>14</v>
      </c>
      <c r="S26" s="667">
        <f>F26</f>
        <v>100</v>
      </c>
      <c r="T26" s="666" t="s">
        <v>14</v>
      </c>
      <c r="U26" s="667">
        <f>H26</f>
        <v>100</v>
      </c>
      <c r="V26" s="666" t="s">
        <v>14</v>
      </c>
      <c r="W26" s="667">
        <f>J26</f>
        <v>100</v>
      </c>
      <c r="X26" s="1260"/>
      <c r="Y26" s="3420"/>
      <c r="Z26" s="1259" t="str">
        <f>Q26</f>
        <v>平面位置/可视性</v>
      </c>
      <c r="AA26" s="1259">
        <f t="shared" si="3"/>
        <v>1</v>
      </c>
      <c r="AB26" s="1259">
        <f t="shared" si="4"/>
        <v>1</v>
      </c>
      <c r="AC26" s="1259">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8"/>
      <c r="L27" s="2481"/>
      <c r="M27" s="2433"/>
      <c r="N27" s="2433"/>
      <c r="O27" s="2433"/>
      <c r="P27" s="3427"/>
      <c r="Q27" s="530" t="str">
        <f t="shared" si="11"/>
        <v>人流量</v>
      </c>
      <c r="R27" s="663" t="s">
        <v>14</v>
      </c>
      <c r="S27" s="664">
        <f>F27</f>
        <v>100</v>
      </c>
      <c r="T27" s="663" t="s">
        <v>14</v>
      </c>
      <c r="U27" s="664">
        <f>H27</f>
        <v>100</v>
      </c>
      <c r="V27" s="663" t="s">
        <v>14</v>
      </c>
      <c r="W27" s="664">
        <f>J27</f>
        <v>100</v>
      </c>
      <c r="X27" s="665"/>
      <c r="Y27" s="3420"/>
      <c r="Z27" s="50" t="str">
        <f>Q27</f>
        <v>人流量</v>
      </c>
      <c r="AA27" s="1259">
        <f>D27/F27</f>
        <v>1</v>
      </c>
      <c r="AB27" s="1259">
        <f>D27/H27</f>
        <v>1</v>
      </c>
      <c r="AC27" s="1259">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27"/>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420"/>
      <c r="Z28" s="1259" t="str">
        <f t="shared" ref="Z28:Z46" si="15">Q28</f>
        <v>楼层</v>
      </c>
      <c r="AA28" s="1259">
        <f t="shared" si="3"/>
        <v>1</v>
      </c>
      <c r="AB28" s="1259">
        <f t="shared" si="4"/>
        <v>1</v>
      </c>
      <c r="AC28" s="1259">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27"/>
      <c r="Q29" s="1258">
        <f t="shared" si="11"/>
        <v>111</v>
      </c>
      <c r="R29" s="666" t="s">
        <v>14</v>
      </c>
      <c r="S29" s="667">
        <f t="shared" si="12"/>
        <v>100</v>
      </c>
      <c r="T29" s="666" t="s">
        <v>14</v>
      </c>
      <c r="U29" s="667">
        <f t="shared" si="13"/>
        <v>100</v>
      </c>
      <c r="V29" s="666" t="s">
        <v>14</v>
      </c>
      <c r="W29" s="667">
        <f t="shared" si="14"/>
        <v>100</v>
      </c>
      <c r="X29" s="1260"/>
      <c r="Y29" s="3420"/>
      <c r="Z29" s="1259">
        <f t="shared" si="15"/>
        <v>111</v>
      </c>
      <c r="AA29" s="1259">
        <f t="shared" si="3"/>
        <v>1</v>
      </c>
      <c r="AB29" s="1259">
        <f t="shared" si="4"/>
        <v>1</v>
      </c>
      <c r="AC29" s="1259">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27"/>
      <c r="Q30" s="1258">
        <f t="shared" si="11"/>
        <v>111</v>
      </c>
      <c r="R30" s="666" t="s">
        <v>14</v>
      </c>
      <c r="S30" s="667">
        <f t="shared" si="12"/>
        <v>100</v>
      </c>
      <c r="T30" s="666" t="s">
        <v>14</v>
      </c>
      <c r="U30" s="667">
        <f t="shared" si="13"/>
        <v>100</v>
      </c>
      <c r="V30" s="666" t="s">
        <v>14</v>
      </c>
      <c r="W30" s="667">
        <f t="shared" si="14"/>
        <v>100</v>
      </c>
      <c r="X30" s="1260"/>
      <c r="Y30" s="3420"/>
      <c r="Z30" s="1259">
        <f t="shared" si="15"/>
        <v>111</v>
      </c>
      <c r="AA30" s="1259">
        <f t="shared" si="3"/>
        <v>1</v>
      </c>
      <c r="AB30" s="1259">
        <f t="shared" si="4"/>
        <v>1</v>
      </c>
      <c r="AC30" s="1259">
        <f t="shared" si="5"/>
        <v>1</v>
      </c>
    </row>
    <row r="31" spans="1:29" ht="15.6"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27"/>
      <c r="Q31" s="1258">
        <f t="shared" si="11"/>
        <v>111</v>
      </c>
      <c r="R31" s="666" t="s">
        <v>14</v>
      </c>
      <c r="S31" s="667">
        <f t="shared" si="12"/>
        <v>100</v>
      </c>
      <c r="T31" s="666" t="s">
        <v>14</v>
      </c>
      <c r="U31" s="667">
        <f t="shared" si="13"/>
        <v>100</v>
      </c>
      <c r="V31" s="666" t="s">
        <v>14</v>
      </c>
      <c r="W31" s="667">
        <f t="shared" si="14"/>
        <v>100</v>
      </c>
      <c r="X31" s="1260"/>
      <c r="Y31" s="3420"/>
      <c r="Z31" s="1259">
        <f t="shared" si="15"/>
        <v>111</v>
      </c>
      <c r="AA31" s="1259">
        <f t="shared" si="3"/>
        <v>1</v>
      </c>
      <c r="AB31" s="1259">
        <f t="shared" si="4"/>
        <v>1</v>
      </c>
      <c r="AC31" s="1259">
        <f t="shared" si="5"/>
        <v>1</v>
      </c>
    </row>
    <row r="32" spans="1:29" ht="15">
      <c r="A32" s="379" t="s">
        <v>1694</v>
      </c>
      <c r="B32" s="60" t="s">
        <v>1784</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5"/>
      <c r="M32" s="2480"/>
      <c r="N32" s="2480"/>
      <c r="O32" s="2480"/>
      <c r="P32" s="3421" t="s">
        <v>1696</v>
      </c>
      <c r="Q32" s="1258" t="str">
        <f t="shared" si="11"/>
        <v>商业类型</v>
      </c>
      <c r="R32" s="666" t="s">
        <v>14</v>
      </c>
      <c r="S32" s="667">
        <f t="shared" si="12"/>
        <v>100</v>
      </c>
      <c r="T32" s="666" t="s">
        <v>14</v>
      </c>
      <c r="U32" s="667">
        <f t="shared" si="13"/>
        <v>100</v>
      </c>
      <c r="V32" s="666" t="s">
        <v>14</v>
      </c>
      <c r="W32" s="667">
        <f t="shared" si="14"/>
        <v>100</v>
      </c>
      <c r="X32" s="1260"/>
      <c r="Y32" s="3424" t="s">
        <v>1696</v>
      </c>
      <c r="Z32" s="1259" t="str">
        <f t="shared" si="15"/>
        <v>商业类型</v>
      </c>
      <c r="AA32" s="1259">
        <f t="shared" si="3"/>
        <v>1</v>
      </c>
      <c r="AB32" s="1259">
        <f t="shared" si="4"/>
        <v>1</v>
      </c>
      <c r="AC32" s="1259">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22"/>
      <c r="Q33" s="531" t="str">
        <f t="shared" si="11"/>
        <v>项目建筑规模</v>
      </c>
      <c r="R33" s="668" t="s">
        <v>14</v>
      </c>
      <c r="S33" s="669" t="e">
        <f t="shared" si="12"/>
        <v>#N/A</v>
      </c>
      <c r="T33" s="668" t="s">
        <v>14</v>
      </c>
      <c r="U33" s="669" t="e">
        <f t="shared" si="13"/>
        <v>#N/A</v>
      </c>
      <c r="V33" s="668" t="s">
        <v>14</v>
      </c>
      <c r="W33" s="669" t="e">
        <f t="shared" si="14"/>
        <v>#N/A</v>
      </c>
      <c r="X33" s="670"/>
      <c r="Y33" s="3424"/>
      <c r="Z33" s="671" t="str">
        <f t="shared" si="15"/>
        <v>项目建筑规模</v>
      </c>
      <c r="AA33" s="1259" t="e">
        <f t="shared" si="3"/>
        <v>#N/A</v>
      </c>
      <c r="AB33" s="1259" t="e">
        <f t="shared" si="4"/>
        <v>#N/A</v>
      </c>
      <c r="AC33" s="1259"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22"/>
      <c r="Q34" s="1258" t="str">
        <f t="shared" si="11"/>
        <v>建筑结构</v>
      </c>
      <c r="R34" s="666" t="s">
        <v>14</v>
      </c>
      <c r="S34" s="667">
        <f t="shared" si="12"/>
        <v>100</v>
      </c>
      <c r="T34" s="666" t="s">
        <v>14</v>
      </c>
      <c r="U34" s="667">
        <f t="shared" si="13"/>
        <v>100</v>
      </c>
      <c r="V34" s="666" t="s">
        <v>14</v>
      </c>
      <c r="W34" s="667">
        <f t="shared" si="14"/>
        <v>100</v>
      </c>
      <c r="X34" s="1260"/>
      <c r="Y34" s="3424"/>
      <c r="Z34" s="1259" t="str">
        <f t="shared" si="15"/>
        <v>建筑结构</v>
      </c>
      <c r="AA34" s="1259">
        <f t="shared" si="3"/>
        <v>1</v>
      </c>
      <c r="AB34" s="1259">
        <f t="shared" si="4"/>
        <v>1</v>
      </c>
      <c r="AC34" s="1259">
        <f t="shared" si="5"/>
        <v>1</v>
      </c>
    </row>
    <row r="35" spans="1:29" ht="15">
      <c r="A35" s="409"/>
      <c r="B35" s="364" t="s">
        <v>1785</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5"/>
      <c r="M35" s="2480"/>
      <c r="N35" s="2480"/>
      <c r="O35" s="2480"/>
      <c r="P35" s="3422"/>
      <c r="Q35" s="1258" t="str">
        <f t="shared" si="11"/>
        <v>公共部分装修</v>
      </c>
      <c r="R35" s="666" t="s">
        <v>14</v>
      </c>
      <c r="S35" s="667">
        <f t="shared" si="12"/>
        <v>100</v>
      </c>
      <c r="T35" s="666" t="s">
        <v>14</v>
      </c>
      <c r="U35" s="667">
        <f t="shared" si="13"/>
        <v>100</v>
      </c>
      <c r="V35" s="666" t="s">
        <v>14</v>
      </c>
      <c r="W35" s="667">
        <f t="shared" si="14"/>
        <v>100</v>
      </c>
      <c r="X35" s="1260"/>
      <c r="Y35" s="3424"/>
      <c r="Z35" s="1259" t="str">
        <f t="shared" si="15"/>
        <v>公共部分装修</v>
      </c>
      <c r="AA35" s="1259">
        <f t="shared" si="3"/>
        <v>1</v>
      </c>
      <c r="AB35" s="1259">
        <f t="shared" si="4"/>
        <v>1</v>
      </c>
      <c r="AC35" s="1259">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22"/>
      <c r="Q36" s="1258" t="str">
        <f t="shared" si="11"/>
        <v>成新度</v>
      </c>
      <c r="R36" s="666" t="s">
        <v>14</v>
      </c>
      <c r="S36" s="667" t="e">
        <f t="shared" si="12"/>
        <v>#N/A</v>
      </c>
      <c r="T36" s="666" t="s">
        <v>14</v>
      </c>
      <c r="U36" s="667" t="e">
        <f t="shared" si="13"/>
        <v>#N/A</v>
      </c>
      <c r="V36" s="666" t="s">
        <v>14</v>
      </c>
      <c r="W36" s="667" t="e">
        <f t="shared" si="14"/>
        <v>#N/A</v>
      </c>
      <c r="X36" s="1260"/>
      <c r="Y36" s="3424"/>
      <c r="Z36" s="1259" t="str">
        <f t="shared" si="15"/>
        <v>成新度</v>
      </c>
      <c r="AA36" s="1259" t="e">
        <f t="shared" si="3"/>
        <v>#N/A</v>
      </c>
      <c r="AB36" s="1259" t="e">
        <f t="shared" si="4"/>
        <v>#N/A</v>
      </c>
      <c r="AC36" s="1259" t="e">
        <f t="shared" si="5"/>
        <v>#N/A</v>
      </c>
    </row>
    <row r="37" spans="1:29" s="102" customFormat="1" ht="15">
      <c r="A37" s="410"/>
      <c r="B37" s="364" t="s">
        <v>1787</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1"/>
      <c r="M37" s="2433"/>
      <c r="N37" s="2433"/>
      <c r="O37" s="2433"/>
      <c r="P37" s="3422"/>
      <c r="Q37" s="530" t="str">
        <f t="shared" si="11"/>
        <v>市政基础设施</v>
      </c>
      <c r="R37" s="663" t="s">
        <v>14</v>
      </c>
      <c r="S37" s="664">
        <f t="shared" si="12"/>
        <v>100</v>
      </c>
      <c r="T37" s="663" t="s">
        <v>14</v>
      </c>
      <c r="U37" s="664">
        <f t="shared" si="13"/>
        <v>100</v>
      </c>
      <c r="V37" s="663" t="s">
        <v>14</v>
      </c>
      <c r="W37" s="664">
        <f t="shared" si="14"/>
        <v>100</v>
      </c>
      <c r="X37" s="665"/>
      <c r="Y37" s="3424"/>
      <c r="Z37" s="50" t="str">
        <f t="shared" si="15"/>
        <v>市政基础设施</v>
      </c>
      <c r="AA37" s="50">
        <f t="shared" si="3"/>
        <v>1</v>
      </c>
      <c r="AB37" s="50">
        <f t="shared" si="4"/>
        <v>1</v>
      </c>
      <c r="AC37" s="50">
        <f t="shared" si="5"/>
        <v>1</v>
      </c>
    </row>
    <row r="38" spans="1:29" ht="15">
      <c r="A38" s="409"/>
      <c r="B38" s="364" t="s">
        <v>1788</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5"/>
      <c r="M38" s="2480"/>
      <c r="N38" s="2480"/>
      <c r="O38" s="2480"/>
      <c r="P38" s="3422" t="s">
        <v>1696</v>
      </c>
      <c r="Q38" s="1258" t="str">
        <f t="shared" si="11"/>
        <v>业态</v>
      </c>
      <c r="R38" s="666" t="s">
        <v>14</v>
      </c>
      <c r="S38" s="667">
        <f t="shared" si="12"/>
        <v>100</v>
      </c>
      <c r="T38" s="666" t="s">
        <v>14</v>
      </c>
      <c r="U38" s="667">
        <f t="shared" si="13"/>
        <v>100</v>
      </c>
      <c r="V38" s="666" t="s">
        <v>14</v>
      </c>
      <c r="W38" s="667">
        <f t="shared" si="14"/>
        <v>100</v>
      </c>
      <c r="X38" s="1260"/>
      <c r="Y38" s="3424" t="s">
        <v>1696</v>
      </c>
      <c r="Z38" s="1259" t="str">
        <f t="shared" si="15"/>
        <v>业态</v>
      </c>
      <c r="AA38" s="1259">
        <f t="shared" si="3"/>
        <v>1</v>
      </c>
      <c r="AB38" s="1259">
        <f t="shared" si="4"/>
        <v>1</v>
      </c>
      <c r="AC38" s="1259">
        <f t="shared" si="5"/>
        <v>1</v>
      </c>
    </row>
    <row r="39" spans="1:29" ht="15">
      <c r="A39" s="409"/>
      <c r="B39" s="364" t="s">
        <v>1789</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5"/>
      <c r="M39" s="2480"/>
      <c r="N39" s="2480"/>
      <c r="O39" s="2480"/>
      <c r="P39" s="3422"/>
      <c r="Q39" s="1258" t="str">
        <f t="shared" si="11"/>
        <v>层高</v>
      </c>
      <c r="R39" s="666" t="s">
        <v>14</v>
      </c>
      <c r="S39" s="667">
        <f t="shared" si="12"/>
        <v>100</v>
      </c>
      <c r="T39" s="666" t="s">
        <v>14</v>
      </c>
      <c r="U39" s="667">
        <f t="shared" si="13"/>
        <v>100</v>
      </c>
      <c r="V39" s="666" t="s">
        <v>14</v>
      </c>
      <c r="W39" s="667">
        <f t="shared" si="14"/>
        <v>100</v>
      </c>
      <c r="X39" s="1260"/>
      <c r="Y39" s="3424"/>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22"/>
      <c r="Q40" s="1258" t="str">
        <f t="shared" si="11"/>
        <v>单套建筑面积</v>
      </c>
      <c r="R40" s="666" t="s">
        <v>14</v>
      </c>
      <c r="S40" s="667">
        <f t="shared" si="12"/>
        <v>100</v>
      </c>
      <c r="T40" s="666" t="s">
        <v>14</v>
      </c>
      <c r="U40" s="667">
        <f t="shared" si="13"/>
        <v>100</v>
      </c>
      <c r="V40" s="666" t="s">
        <v>14</v>
      </c>
      <c r="W40" s="667">
        <f t="shared" si="14"/>
        <v>100</v>
      </c>
      <c r="X40" s="1260"/>
      <c r="Y40" s="3424"/>
      <c r="Z40" s="1259" t="str">
        <f t="shared" si="15"/>
        <v>单套建筑面积</v>
      </c>
      <c r="AA40" s="1259">
        <f t="shared" si="3"/>
        <v>1</v>
      </c>
      <c r="AB40" s="1259">
        <f t="shared" si="4"/>
        <v>1</v>
      </c>
      <c r="AC40" s="1259">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22"/>
      <c r="Q41" s="531" t="str">
        <f t="shared" si="11"/>
        <v>进深比</v>
      </c>
      <c r="R41" s="668" t="s">
        <v>14</v>
      </c>
      <c r="S41" s="669">
        <f t="shared" si="12"/>
        <v>100</v>
      </c>
      <c r="T41" s="668" t="s">
        <v>14</v>
      </c>
      <c r="U41" s="669">
        <f t="shared" si="13"/>
        <v>100</v>
      </c>
      <c r="V41" s="668" t="s">
        <v>14</v>
      </c>
      <c r="W41" s="669">
        <f t="shared" si="14"/>
        <v>100</v>
      </c>
      <c r="X41" s="670"/>
      <c r="Y41" s="3424"/>
      <c r="Z41" s="671" t="str">
        <f t="shared" si="15"/>
        <v>进深比</v>
      </c>
      <c r="AA41" s="1259">
        <f t="shared" si="3"/>
        <v>1</v>
      </c>
      <c r="AB41" s="1259">
        <f t="shared" si="4"/>
        <v>1</v>
      </c>
      <c r="AC41" s="1259">
        <f t="shared" si="5"/>
        <v>1</v>
      </c>
    </row>
    <row r="42" spans="1:29" ht="15">
      <c r="A42" s="409"/>
      <c r="B42" s="364" t="s">
        <v>1792</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5"/>
      <c r="M42" s="2480"/>
      <c r="N42" s="2480"/>
      <c r="O42" s="2480"/>
      <c r="P42" s="3422"/>
      <c r="Q42" s="1258" t="str">
        <f t="shared" si="11"/>
        <v>内部装修</v>
      </c>
      <c r="R42" s="666" t="s">
        <v>14</v>
      </c>
      <c r="S42" s="667">
        <f t="shared" si="12"/>
        <v>100</v>
      </c>
      <c r="T42" s="666" t="s">
        <v>14</v>
      </c>
      <c r="U42" s="667">
        <f t="shared" si="13"/>
        <v>100</v>
      </c>
      <c r="V42" s="666" t="s">
        <v>14</v>
      </c>
      <c r="W42" s="667">
        <f t="shared" si="14"/>
        <v>100</v>
      </c>
      <c r="X42" s="1260"/>
      <c r="Y42" s="3424"/>
      <c r="Z42" s="1259" t="str">
        <f t="shared" si="15"/>
        <v>内部装修</v>
      </c>
      <c r="AA42" s="1259">
        <f t="shared" si="3"/>
        <v>1</v>
      </c>
      <c r="AB42" s="1259">
        <f t="shared" si="4"/>
        <v>1</v>
      </c>
      <c r="AC42" s="1259">
        <f t="shared" si="5"/>
        <v>1</v>
      </c>
    </row>
    <row r="43" spans="1:29" ht="28.8">
      <c r="A43" s="409"/>
      <c r="B43" s="364" t="s">
        <v>1707</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5"/>
      <c r="M43" s="2480"/>
      <c r="N43" s="2480"/>
      <c r="O43" s="2480"/>
      <c r="P43" s="3422"/>
      <c r="Q43" s="1258" t="str">
        <f t="shared" si="11"/>
        <v>内部装修维护情况</v>
      </c>
      <c r="R43" s="666" t="s">
        <v>14</v>
      </c>
      <c r="S43" s="667">
        <f t="shared" si="12"/>
        <v>100</v>
      </c>
      <c r="T43" s="666" t="s">
        <v>14</v>
      </c>
      <c r="U43" s="667">
        <f t="shared" si="13"/>
        <v>100</v>
      </c>
      <c r="V43" s="666" t="s">
        <v>14</v>
      </c>
      <c r="W43" s="667">
        <f t="shared" si="14"/>
        <v>100</v>
      </c>
      <c r="X43" s="1260"/>
      <c r="Y43" s="3424"/>
      <c r="Z43" s="1259" t="str">
        <f t="shared" si="15"/>
        <v>内部装修维护情况</v>
      </c>
      <c r="AA43" s="1259">
        <f t="shared" si="3"/>
        <v>1</v>
      </c>
      <c r="AB43" s="1259">
        <f t="shared" si="4"/>
        <v>1</v>
      </c>
      <c r="AC43" s="1259">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22"/>
      <c r="Q44" s="530">
        <f t="shared" si="11"/>
        <v>111</v>
      </c>
      <c r="R44" s="663" t="s">
        <v>14</v>
      </c>
      <c r="S44" s="664">
        <f t="shared" si="12"/>
        <v>100</v>
      </c>
      <c r="T44" s="663" t="s">
        <v>14</v>
      </c>
      <c r="U44" s="664">
        <f t="shared" si="13"/>
        <v>100</v>
      </c>
      <c r="V44" s="663" t="s">
        <v>14</v>
      </c>
      <c r="W44" s="664">
        <f t="shared" si="14"/>
        <v>100</v>
      </c>
      <c r="X44" s="665"/>
      <c r="Y44" s="3424"/>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22"/>
      <c r="Q45" s="1258">
        <f t="shared" si="11"/>
        <v>111</v>
      </c>
      <c r="R45" s="666" t="s">
        <v>14</v>
      </c>
      <c r="S45" s="667">
        <f t="shared" si="12"/>
        <v>100</v>
      </c>
      <c r="T45" s="666" t="s">
        <v>14</v>
      </c>
      <c r="U45" s="667">
        <f t="shared" si="13"/>
        <v>100</v>
      </c>
      <c r="V45" s="666" t="s">
        <v>14</v>
      </c>
      <c r="W45" s="667">
        <f t="shared" si="14"/>
        <v>100</v>
      </c>
      <c r="X45" s="1260"/>
      <c r="Y45" s="3424"/>
      <c r="Z45" s="1259">
        <f t="shared" si="15"/>
        <v>111</v>
      </c>
      <c r="AA45" s="1259">
        <f t="shared" si="3"/>
        <v>1</v>
      </c>
      <c r="AB45" s="1259">
        <f t="shared" si="4"/>
        <v>1</v>
      </c>
      <c r="AC45" s="1259">
        <f t="shared" si="5"/>
        <v>1</v>
      </c>
    </row>
    <row r="46" spans="1:29" ht="15.6"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23"/>
      <c r="Q46" s="1258">
        <f t="shared" si="11"/>
        <v>111</v>
      </c>
      <c r="R46" s="666" t="s">
        <v>14</v>
      </c>
      <c r="S46" s="667">
        <f t="shared" si="12"/>
        <v>100</v>
      </c>
      <c r="T46" s="666" t="s">
        <v>14</v>
      </c>
      <c r="U46" s="667">
        <f t="shared" si="13"/>
        <v>100</v>
      </c>
      <c r="V46" s="666" t="s">
        <v>14</v>
      </c>
      <c r="W46" s="667">
        <f t="shared" si="14"/>
        <v>100</v>
      </c>
      <c r="X46" s="1260"/>
      <c r="Y46" s="3425"/>
      <c r="Z46" s="1259">
        <f t="shared" si="15"/>
        <v>111</v>
      </c>
      <c r="AA46" s="1259">
        <f t="shared" si="3"/>
        <v>1</v>
      </c>
      <c r="AB46" s="1259">
        <f t="shared" si="4"/>
        <v>1</v>
      </c>
      <c r="AC46" s="1259">
        <f t="shared" si="5"/>
        <v>1</v>
      </c>
    </row>
    <row r="47" spans="1:29" ht="14.4">
      <c r="A47" s="416" t="s">
        <v>1708</v>
      </c>
      <c r="B47" s="417"/>
      <c r="C47" s="1078" t="s">
        <v>0</v>
      </c>
      <c r="D47" s="418"/>
      <c r="E47" s="419"/>
      <c r="F47" s="420"/>
      <c r="G47" s="421"/>
      <c r="H47" s="422"/>
      <c r="I47" s="419"/>
      <c r="J47" s="422"/>
      <c r="K47" s="673"/>
      <c r="L47" s="2487"/>
      <c r="M47" s="2480"/>
      <c r="N47" s="2480"/>
      <c r="O47" s="2480"/>
      <c r="P47" s="3418" t="str">
        <f>A47</f>
        <v>成交单价（元/平方米）</v>
      </c>
      <c r="Q47" s="3418"/>
      <c r="R47" s="3413">
        <f>E47</f>
        <v>0</v>
      </c>
      <c r="S47" s="3413"/>
      <c r="T47" s="3413">
        <f>G47</f>
        <v>0</v>
      </c>
      <c r="U47" s="3413"/>
      <c r="V47" s="3413">
        <f>I47</f>
        <v>0</v>
      </c>
      <c r="W47" s="3413"/>
      <c r="X47" s="385"/>
      <c r="Y47" s="672"/>
      <c r="Z47" s="385"/>
      <c r="AA47" s="385"/>
      <c r="AB47" s="385"/>
      <c r="AC47" s="385"/>
    </row>
    <row r="48" spans="1:29" ht="15" thickBot="1">
      <c r="A48" s="423" t="s">
        <v>1793</v>
      </c>
      <c r="B48" s="424"/>
      <c r="C48" s="1079" t="e">
        <f>R49</f>
        <v>#DIV/0!</v>
      </c>
      <c r="D48" s="2136" t="s">
        <v>2133</v>
      </c>
      <c r="E48" s="1080" t="e">
        <f>R48</f>
        <v>#DIV/0!</v>
      </c>
      <c r="F48" s="2137"/>
      <c r="G48" s="1079" t="e">
        <f>T48</f>
        <v>#DIV/0!</v>
      </c>
      <c r="H48" s="2137"/>
      <c r="I48" s="1080" t="e">
        <f>V48</f>
        <v>#DIV/0!</v>
      </c>
      <c r="J48" s="2137"/>
      <c r="K48" s="2139">
        <f>F48+H48+J48</f>
        <v>0</v>
      </c>
      <c r="L48" s="2487"/>
      <c r="M48" s="2480"/>
      <c r="N48" s="2480"/>
      <c r="O48" s="2480"/>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 thickBot="1">
      <c r="A49" s="427" t="s">
        <v>1794</v>
      </c>
      <c r="B49" s="428"/>
      <c r="C49" s="351" t="e">
        <f>R49</f>
        <v>#DIV/0!</v>
      </c>
      <c r="D49" s="351"/>
      <c r="E49" s="351"/>
      <c r="F49" s="351"/>
      <c r="G49" s="351"/>
      <c r="H49" s="351"/>
      <c r="I49" s="351"/>
      <c r="J49" s="351"/>
      <c r="K49" s="674"/>
      <c r="L49" s="2487"/>
      <c r="M49" s="2480"/>
      <c r="N49" s="2480"/>
      <c r="O49" s="2480"/>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7" t="s">
        <v>1798</v>
      </c>
      <c r="B57" s="385"/>
      <c r="C57" s="658"/>
      <c r="D57" s="658"/>
      <c r="E57" s="658"/>
      <c r="F57" s="659"/>
      <c r="G57" s="659"/>
      <c r="H57" s="658"/>
      <c r="I57" s="658"/>
      <c r="J57" s="658"/>
      <c r="K57" s="660"/>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2502"/>
      <c r="Q58" s="2503"/>
      <c r="R58" s="2503"/>
      <c r="S58" s="2503"/>
      <c r="T58" s="2503"/>
      <c r="U58" s="2503"/>
      <c r="V58" s="2503"/>
      <c r="W58" s="2503"/>
      <c r="X58" s="2503"/>
      <c r="Y58" s="2503"/>
      <c r="Z58" s="2503"/>
      <c r="AA58" s="2503"/>
      <c r="AB58" s="2503"/>
      <c r="AC58" s="2503"/>
    </row>
    <row r="59" spans="1:29" s="102" customFormat="1">
      <c r="A59" s="443"/>
      <c r="B59" s="444"/>
      <c r="C59" s="1099">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1779</v>
      </c>
      <c r="C82" s="581" t="s">
        <v>1799</v>
      </c>
      <c r="D82" s="581" t="s">
        <v>1800</v>
      </c>
      <c r="E82" s="581" t="s">
        <v>1801</v>
      </c>
      <c r="F82" s="581" t="s">
        <v>1802</v>
      </c>
      <c r="G82" s="581" t="s">
        <v>1803</v>
      </c>
      <c r="H82" s="470"/>
      <c r="I82" s="470"/>
      <c r="J82" s="470"/>
      <c r="K82" s="470"/>
      <c r="L82" s="470"/>
      <c r="M82" s="1060"/>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1804</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5"/>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3" t="s">
        <v>1810</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121.97</v>
      </c>
      <c r="E3" s="1800"/>
      <c r="F3" s="854"/>
      <c r="G3" s="853"/>
      <c r="H3" s="853"/>
      <c r="I3" s="853"/>
      <c r="J3" s="853"/>
      <c r="K3" s="855"/>
      <c r="L3" s="2496"/>
      <c r="M3" s="2497"/>
      <c r="N3" s="2497"/>
      <c r="O3" s="2497"/>
      <c r="P3" s="341"/>
      <c r="Q3" s="341"/>
      <c r="R3" s="341"/>
      <c r="S3" s="341"/>
      <c r="T3" s="341"/>
      <c r="U3" s="341"/>
      <c r="V3" s="341"/>
      <c r="W3" s="341"/>
      <c r="X3" s="341"/>
      <c r="Y3" s="341"/>
      <c r="Z3" s="341"/>
      <c r="AA3" s="341"/>
      <c r="AB3" s="341"/>
      <c r="AC3" s="662"/>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34" t="s">
        <v>1775</v>
      </c>
      <c r="Q4" s="3435"/>
      <c r="R4" s="3429" t="s">
        <v>1771</v>
      </c>
      <c r="S4" s="3430"/>
      <c r="T4" s="3429" t="s">
        <v>1772</v>
      </c>
      <c r="U4" s="3430"/>
      <c r="V4" s="3438" t="s">
        <v>1773</v>
      </c>
      <c r="W4" s="3438"/>
      <c r="X4" s="1804"/>
      <c r="Y4" s="3429" t="s">
        <v>1775</v>
      </c>
      <c r="Z4" s="3430"/>
      <c r="AA4" s="3428" t="s">
        <v>1771</v>
      </c>
      <c r="AB4" s="3428" t="s">
        <v>1772</v>
      </c>
      <c r="AC4" s="3431" t="s">
        <v>1773</v>
      </c>
    </row>
    <row r="5" spans="1:29">
      <c r="A5" s="348"/>
      <c r="B5" s="349"/>
      <c r="C5" s="3397" t="s">
        <v>1673</v>
      </c>
      <c r="D5" s="3394"/>
      <c r="E5" s="3391" t="s">
        <v>1674</v>
      </c>
      <c r="F5" s="3392"/>
      <c r="G5" s="3397" t="s">
        <v>1675</v>
      </c>
      <c r="H5" s="3394"/>
      <c r="I5" s="3397" t="s">
        <v>1676</v>
      </c>
      <c r="J5" s="3394"/>
      <c r="K5" s="537"/>
      <c r="L5" s="2479"/>
      <c r="M5" s="2480"/>
      <c r="N5" s="2480"/>
      <c r="O5" s="2480"/>
      <c r="P5" s="3436"/>
      <c r="Q5" s="3408"/>
      <c r="R5" s="3389"/>
      <c r="S5" s="3390"/>
      <c r="T5" s="3389"/>
      <c r="U5" s="3390"/>
      <c r="V5" s="3413"/>
      <c r="W5" s="3413"/>
      <c r="X5" s="1260"/>
      <c r="Y5" s="3389"/>
      <c r="Z5" s="3390"/>
      <c r="AA5" s="3383"/>
      <c r="AB5" s="3383"/>
      <c r="AC5" s="3432"/>
    </row>
    <row r="6" spans="1:29" ht="15" thickBot="1">
      <c r="A6" s="350"/>
      <c r="B6" s="351"/>
      <c r="C6" s="3395" t="s">
        <v>1677</v>
      </c>
      <c r="D6" s="3396"/>
      <c r="E6" s="3398" t="s">
        <v>1677</v>
      </c>
      <c r="F6" s="3399"/>
      <c r="G6" s="3395" t="s">
        <v>1677</v>
      </c>
      <c r="H6" s="3396"/>
      <c r="I6" s="3395" t="s">
        <v>1677</v>
      </c>
      <c r="J6" s="3396"/>
      <c r="K6" s="537" t="s">
        <v>1678</v>
      </c>
      <c r="L6" s="2479"/>
      <c r="M6" s="2480"/>
      <c r="N6" s="2480"/>
      <c r="O6" s="2480"/>
      <c r="P6" s="3437"/>
      <c r="Q6" s="3410"/>
      <c r="R6" s="3389"/>
      <c r="S6" s="3390"/>
      <c r="T6" s="3411"/>
      <c r="U6" s="3412"/>
      <c r="V6" s="3413"/>
      <c r="W6" s="3413"/>
      <c r="X6" s="1260"/>
      <c r="Y6" s="3411"/>
      <c r="Z6" s="3412"/>
      <c r="AA6" s="3384"/>
      <c r="AB6" s="3384"/>
      <c r="AC6" s="3433"/>
    </row>
    <row r="7" spans="1:29" s="102" customFormat="1" ht="15" thickBot="1">
      <c r="A7" s="352" t="s">
        <v>1679</v>
      </c>
      <c r="B7" s="353"/>
      <c r="C7" s="354">
        <f>'数据-取费表'!B2</f>
        <v>45555</v>
      </c>
      <c r="D7" s="355">
        <v>100</v>
      </c>
      <c r="E7" s="356"/>
      <c r="F7" s="357">
        <f>SUMIF(59:59,YEAR(E7)&amp;"-"&amp;MONTH(E7),60:60)</f>
        <v>0</v>
      </c>
      <c r="G7" s="356"/>
      <c r="H7" s="355">
        <f>SUMIF(59:59,YEAR(G7)&amp;"-"&amp;MONTH(G7),60:60)</f>
        <v>0</v>
      </c>
      <c r="I7" s="356"/>
      <c r="J7" s="355">
        <f>SUMIF(59:59,YEAR(I7)&amp;"-"&amp;MONTH(I7),60:60)</f>
        <v>0</v>
      </c>
      <c r="K7" s="38"/>
      <c r="L7" s="2481"/>
      <c r="M7" s="2433"/>
      <c r="N7" s="2433"/>
      <c r="O7" s="2433"/>
      <c r="P7" s="3439" t="s">
        <v>1680</v>
      </c>
      <c r="Q7" s="3414"/>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39" t="s">
        <v>1683</v>
      </c>
      <c r="Q8" s="3386"/>
      <c r="R8" s="663" t="s">
        <v>14</v>
      </c>
      <c r="S8" s="664">
        <f t="shared" si="0"/>
        <v>100</v>
      </c>
      <c r="T8" s="663" t="s">
        <v>14</v>
      </c>
      <c r="U8" s="664">
        <f t="shared" si="1"/>
        <v>100</v>
      </c>
      <c r="V8" s="663" t="s">
        <v>14</v>
      </c>
      <c r="W8" s="664">
        <f t="shared" si="2"/>
        <v>100</v>
      </c>
      <c r="X8" s="665"/>
      <c r="Y8" s="3385" t="s">
        <v>1683</v>
      </c>
      <c r="Z8" s="3386"/>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00"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801">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00"/>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00"/>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1"/>
      <c r="M12" s="2433"/>
      <c r="N12" s="2433"/>
      <c r="O12" s="2433"/>
      <c r="P12" s="3400"/>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5"/>
      <c r="M13" s="2480"/>
      <c r="N13" s="2480"/>
      <c r="O13" s="2480"/>
      <c r="P13" s="3400"/>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801">
        <f t="shared" si="5"/>
        <v>1</v>
      </c>
    </row>
    <row r="14" spans="1:29" ht="15.6"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5"/>
      <c r="M14" s="2480"/>
      <c r="N14" s="2480"/>
      <c r="O14" s="2480"/>
      <c r="P14" s="3400"/>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801">
        <f t="shared" si="5"/>
        <v>1</v>
      </c>
    </row>
    <row r="15" spans="1:29" ht="69">
      <c r="A15" s="379" t="s">
        <v>1690</v>
      </c>
      <c r="B15" s="554" t="s">
        <v>1811</v>
      </c>
      <c r="C15" s="1806"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26" t="s">
        <v>1691</v>
      </c>
      <c r="Q15" s="1258" t="str">
        <f t="shared" si="6"/>
        <v>办公集聚程度</v>
      </c>
      <c r="R15" s="666" t="s">
        <v>14</v>
      </c>
      <c r="S15" s="667">
        <f t="shared" si="0"/>
        <v>100</v>
      </c>
      <c r="T15" s="666" t="s">
        <v>14</v>
      </c>
      <c r="U15" s="667">
        <f t="shared" si="1"/>
        <v>100</v>
      </c>
      <c r="V15" s="666" t="s">
        <v>14</v>
      </c>
      <c r="W15" s="667">
        <f t="shared" si="2"/>
        <v>100</v>
      </c>
      <c r="X15" s="1260"/>
      <c r="Y15" s="3419"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5"/>
      <c r="M16" s="2480"/>
      <c r="N16" s="2480"/>
      <c r="O16" s="2480"/>
      <c r="P16" s="3427"/>
      <c r="Q16" s="1258"/>
      <c r="R16" s="666"/>
      <c r="S16" s="667"/>
      <c r="T16" s="666"/>
      <c r="U16" s="667"/>
      <c r="V16" s="666"/>
      <c r="W16" s="667"/>
      <c r="X16" s="1260"/>
      <c r="Y16" s="3420"/>
      <c r="Z16" s="1259"/>
      <c r="AA16" s="1259">
        <v>1</v>
      </c>
      <c r="AB16" s="1259">
        <v>1</v>
      </c>
      <c r="AC16" s="1807">
        <v>1</v>
      </c>
    </row>
    <row r="17" spans="1:29" ht="82.8">
      <c r="A17" s="367"/>
      <c r="B17" s="556" t="s">
        <v>1259</v>
      </c>
      <c r="C17" s="1808"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27"/>
      <c r="Q17" s="1258" t="str">
        <f>B17</f>
        <v>交通便捷度</v>
      </c>
      <c r="R17" s="666" t="s">
        <v>14</v>
      </c>
      <c r="S17" s="667">
        <f>F17</f>
        <v>100</v>
      </c>
      <c r="T17" s="666" t="s">
        <v>14</v>
      </c>
      <c r="U17" s="667">
        <f>H17</f>
        <v>100</v>
      </c>
      <c r="V17" s="666" t="s">
        <v>14</v>
      </c>
      <c r="W17" s="667">
        <f>J17</f>
        <v>100</v>
      </c>
      <c r="X17" s="1260"/>
      <c r="Y17" s="3420"/>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5"/>
      <c r="M18" s="2480"/>
      <c r="N18" s="2480"/>
      <c r="O18" s="2480"/>
      <c r="P18" s="3427"/>
      <c r="Q18" s="1258"/>
      <c r="R18" s="666"/>
      <c r="S18" s="667"/>
      <c r="T18" s="666"/>
      <c r="U18" s="667"/>
      <c r="V18" s="666"/>
      <c r="W18" s="667"/>
      <c r="X18" s="1260"/>
      <c r="Y18" s="3420"/>
      <c r="Z18" s="1259"/>
      <c r="AA18" s="1259">
        <v>1</v>
      </c>
      <c r="AB18" s="1259">
        <v>1</v>
      </c>
      <c r="AC18" s="1807">
        <v>1</v>
      </c>
    </row>
    <row r="19" spans="1:29" ht="41.4">
      <c r="A19" s="367"/>
      <c r="B19" s="556" t="s">
        <v>1812</v>
      </c>
      <c r="C19" s="1808"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27"/>
      <c r="Q19" s="1258" t="str">
        <f>B19</f>
        <v>公共配套设施</v>
      </c>
      <c r="R19" s="666" t="s">
        <v>14</v>
      </c>
      <c r="S19" s="667">
        <f>F19</f>
        <v>100</v>
      </c>
      <c r="T19" s="666" t="s">
        <v>14</v>
      </c>
      <c r="U19" s="667">
        <f>H19</f>
        <v>100</v>
      </c>
      <c r="V19" s="666" t="s">
        <v>14</v>
      </c>
      <c r="W19" s="667">
        <f>J19</f>
        <v>100</v>
      </c>
      <c r="X19" s="1260"/>
      <c r="Y19" s="3420"/>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5"/>
      <c r="M20" s="2480"/>
      <c r="N20" s="2480"/>
      <c r="O20" s="2480"/>
      <c r="P20" s="3427"/>
      <c r="Q20" s="1258"/>
      <c r="R20" s="666"/>
      <c r="S20" s="667"/>
      <c r="T20" s="666"/>
      <c r="U20" s="667"/>
      <c r="V20" s="666"/>
      <c r="W20" s="667"/>
      <c r="X20" s="1260"/>
      <c r="Y20" s="3420"/>
      <c r="Z20" s="1259"/>
      <c r="AA20" s="1259">
        <v>1</v>
      </c>
      <c r="AB20" s="1259">
        <v>1</v>
      </c>
      <c r="AC20" s="1807">
        <v>1</v>
      </c>
    </row>
    <row r="21" spans="1:29" ht="27.6">
      <c r="A21" s="367"/>
      <c r="B21" s="557" t="s">
        <v>1813</v>
      </c>
      <c r="C21" s="1808"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27"/>
      <c r="Q21" s="1258" t="str">
        <f>B21</f>
        <v>基础设施水平</v>
      </c>
      <c r="R21" s="666" t="s">
        <v>14</v>
      </c>
      <c r="S21" s="667">
        <f>F21</f>
        <v>100</v>
      </c>
      <c r="T21" s="666" t="s">
        <v>14</v>
      </c>
      <c r="U21" s="667">
        <f>H21</f>
        <v>100</v>
      </c>
      <c r="V21" s="666" t="s">
        <v>14</v>
      </c>
      <c r="W21" s="667">
        <f>J21</f>
        <v>100</v>
      </c>
      <c r="X21" s="1260"/>
      <c r="Y21" s="3420"/>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1"/>
      <c r="L22" s="2485"/>
      <c r="M22" s="2480"/>
      <c r="N22" s="2480"/>
      <c r="O22" s="2480"/>
      <c r="P22" s="3427"/>
      <c r="Q22" s="1258"/>
      <c r="R22" s="666"/>
      <c r="S22" s="667"/>
      <c r="T22" s="666"/>
      <c r="U22" s="667"/>
      <c r="V22" s="666"/>
      <c r="W22" s="667"/>
      <c r="X22" s="1260"/>
      <c r="Y22" s="3420"/>
      <c r="Z22" s="1259"/>
      <c r="AA22" s="1259">
        <v>1</v>
      </c>
      <c r="AB22" s="1259">
        <v>1</v>
      </c>
      <c r="AC22" s="1807">
        <v>1</v>
      </c>
    </row>
    <row r="23" spans="1:29" ht="55.2">
      <c r="A23" s="367"/>
      <c r="B23" s="556" t="s">
        <v>1814</v>
      </c>
      <c r="C23" s="1808"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27"/>
      <c r="Q23" s="1258" t="str">
        <f>B23</f>
        <v>环境质量</v>
      </c>
      <c r="R23" s="666" t="s">
        <v>14</v>
      </c>
      <c r="S23" s="667">
        <f>F23</f>
        <v>100</v>
      </c>
      <c r="T23" s="666" t="s">
        <v>14</v>
      </c>
      <c r="U23" s="667">
        <f>H23</f>
        <v>100</v>
      </c>
      <c r="V23" s="666" t="s">
        <v>14</v>
      </c>
      <c r="W23" s="667">
        <f>J23</f>
        <v>100</v>
      </c>
      <c r="X23" s="1260"/>
      <c r="Y23" s="3420"/>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5"/>
      <c r="M24" s="2480"/>
      <c r="N24" s="2480"/>
      <c r="O24" s="2480"/>
      <c r="P24" s="3427"/>
      <c r="Q24" s="1258"/>
      <c r="R24" s="666"/>
      <c r="S24" s="667"/>
      <c r="T24" s="666"/>
      <c r="U24" s="667"/>
      <c r="V24" s="666"/>
      <c r="W24" s="667"/>
      <c r="X24" s="1260"/>
      <c r="Y24" s="3420"/>
      <c r="Z24" s="1259"/>
      <c r="AA24" s="1259">
        <v>1</v>
      </c>
      <c r="AB24" s="1259">
        <v>1</v>
      </c>
      <c r="AC24" s="1807">
        <v>1</v>
      </c>
    </row>
    <row r="25" spans="1:29" ht="28.8">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5"/>
      <c r="M25" s="2480"/>
      <c r="N25" s="2480"/>
      <c r="O25" s="2480"/>
      <c r="P25" s="3427"/>
      <c r="Q25" s="1258" t="str">
        <f>B25</f>
        <v>毗邻道路的类型与等级</v>
      </c>
      <c r="R25" s="666" t="s">
        <v>14</v>
      </c>
      <c r="S25" s="667">
        <f>F25</f>
        <v>100</v>
      </c>
      <c r="T25" s="666" t="s">
        <v>14</v>
      </c>
      <c r="U25" s="667">
        <f>H25</f>
        <v>100</v>
      </c>
      <c r="V25" s="666" t="s">
        <v>14</v>
      </c>
      <c r="W25" s="667">
        <f>J25</f>
        <v>100</v>
      </c>
      <c r="X25" s="1260"/>
      <c r="Y25" s="3420"/>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5"/>
      <c r="M26" s="2480"/>
      <c r="N26" s="2480"/>
      <c r="O26" s="2480"/>
      <c r="P26" s="3427"/>
      <c r="Q26" s="1258"/>
      <c r="R26" s="666"/>
      <c r="S26" s="667"/>
      <c r="T26" s="666"/>
      <c r="U26" s="667"/>
      <c r="V26" s="666"/>
      <c r="W26" s="667"/>
      <c r="X26" s="1260"/>
      <c r="Y26" s="3420"/>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27"/>
      <c r="Q27" s="1258" t="str">
        <f t="shared" ref="Q27:Q47" si="11">B27</f>
        <v>楼层</v>
      </c>
      <c r="R27" s="666" t="s">
        <v>14</v>
      </c>
      <c r="S27" s="667">
        <f>F27</f>
        <v>100</v>
      </c>
      <c r="T27" s="666" t="s">
        <v>14</v>
      </c>
      <c r="U27" s="667">
        <f>H27</f>
        <v>100</v>
      </c>
      <c r="V27" s="666" t="s">
        <v>14</v>
      </c>
      <c r="W27" s="667">
        <f>J27</f>
        <v>100</v>
      </c>
      <c r="X27" s="1260"/>
      <c r="Y27" s="3420"/>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81"/>
      <c r="M28" s="2433"/>
      <c r="N28" s="2433"/>
      <c r="O28" s="2433"/>
      <c r="P28" s="3427"/>
      <c r="Q28" s="530" t="str">
        <f t="shared" si="11"/>
        <v>朝向</v>
      </c>
      <c r="R28" s="663" t="s">
        <v>14</v>
      </c>
      <c r="S28" s="664">
        <f>F28</f>
        <v>100</v>
      </c>
      <c r="T28" s="663" t="s">
        <v>14</v>
      </c>
      <c r="U28" s="664">
        <f>H28</f>
        <v>100</v>
      </c>
      <c r="V28" s="663" t="s">
        <v>14</v>
      </c>
      <c r="W28" s="664">
        <f>J28</f>
        <v>100</v>
      </c>
      <c r="X28" s="665"/>
      <c r="Y28" s="3420"/>
      <c r="Z28" s="50" t="str">
        <f>Q28</f>
        <v>朝向</v>
      </c>
      <c r="AA28" s="1259">
        <f>D28/F28</f>
        <v>1</v>
      </c>
      <c r="AB28" s="1259">
        <f>D28/H28</f>
        <v>1</v>
      </c>
      <c r="AC28" s="1807">
        <f>D28/J28</f>
        <v>1</v>
      </c>
    </row>
    <row r="29" spans="1:29" ht="15">
      <c r="A29" s="367"/>
      <c r="B29" s="1096">
        <v>111</v>
      </c>
      <c r="C29" s="1757"/>
      <c r="D29" s="374">
        <v>100</v>
      </c>
      <c r="E29" s="371"/>
      <c r="F29" s="374">
        <f>SUMIF(93:93,E29,94:94)-SUMIF(93:93,C29,94:94)+100</f>
        <v>100</v>
      </c>
      <c r="G29" s="1805"/>
      <c r="H29" s="374">
        <f>SUMIF(93:93,G29,94:94)-SUMIF(93:93,C29,94:94)+100</f>
        <v>100</v>
      </c>
      <c r="I29" s="371"/>
      <c r="J29" s="374">
        <f>SUMIF(93:93,I29,94:94)-SUMIF(93:93,C29,94:94)+100</f>
        <v>100</v>
      </c>
      <c r="K29" s="539"/>
      <c r="L29" s="2485"/>
      <c r="M29" s="2480"/>
      <c r="N29" s="2480"/>
      <c r="O29" s="2480"/>
      <c r="P29" s="3427"/>
      <c r="Q29" s="1258">
        <f t="shared" si="11"/>
        <v>111</v>
      </c>
      <c r="R29" s="666" t="s">
        <v>14</v>
      </c>
      <c r="S29" s="667">
        <f t="shared" ref="S29:S47" si="12">F29</f>
        <v>100</v>
      </c>
      <c r="T29" s="666" t="s">
        <v>14</v>
      </c>
      <c r="U29" s="667">
        <f t="shared" ref="U29:U47" si="13">H29</f>
        <v>100</v>
      </c>
      <c r="V29" s="666" t="s">
        <v>14</v>
      </c>
      <c r="W29" s="667">
        <f t="shared" ref="W29:W47" si="14">J29</f>
        <v>100</v>
      </c>
      <c r="X29" s="1260"/>
      <c r="Y29" s="3420"/>
      <c r="Z29" s="1259">
        <f t="shared" ref="Z29:Z47" si="15">Q29</f>
        <v>111</v>
      </c>
      <c r="AA29" s="1259">
        <f t="shared" si="3"/>
        <v>1</v>
      </c>
      <c r="AB29" s="1259">
        <f t="shared" si="4"/>
        <v>1</v>
      </c>
      <c r="AC29" s="1807">
        <f t="shared" si="5"/>
        <v>1</v>
      </c>
    </row>
    <row r="30" spans="1:29" ht="15">
      <c r="A30" s="367"/>
      <c r="B30" s="1096">
        <v>111</v>
      </c>
      <c r="C30" s="1757"/>
      <c r="D30" s="374">
        <v>100</v>
      </c>
      <c r="E30" s="371"/>
      <c r="F30" s="374">
        <f>SUMIF(95:95,E30,96:96)-SUMIF(95:95,C30,96:96)+100</f>
        <v>100</v>
      </c>
      <c r="G30" s="1805"/>
      <c r="H30" s="374">
        <f>SUMIF(95:95,G30,96:96)-SUMIF(95:95,C30,96:96)+100</f>
        <v>100</v>
      </c>
      <c r="I30" s="371"/>
      <c r="J30" s="374">
        <f>SUMIF(95:95,I30,96:96)-SUMIF(95:95,C30,96:96)+100</f>
        <v>100</v>
      </c>
      <c r="K30" s="539"/>
      <c r="L30" s="2485"/>
      <c r="M30" s="2480"/>
      <c r="N30" s="2480"/>
      <c r="O30" s="2480"/>
      <c r="P30" s="3427"/>
      <c r="Q30" s="1258">
        <f t="shared" si="11"/>
        <v>111</v>
      </c>
      <c r="R30" s="666" t="s">
        <v>14</v>
      </c>
      <c r="S30" s="667">
        <f t="shared" si="12"/>
        <v>100</v>
      </c>
      <c r="T30" s="666" t="s">
        <v>14</v>
      </c>
      <c r="U30" s="667">
        <f t="shared" si="13"/>
        <v>100</v>
      </c>
      <c r="V30" s="666" t="s">
        <v>14</v>
      </c>
      <c r="W30" s="667">
        <f t="shared" si="14"/>
        <v>100</v>
      </c>
      <c r="X30" s="1260"/>
      <c r="Y30" s="3420"/>
      <c r="Z30" s="1259">
        <f t="shared" si="15"/>
        <v>111</v>
      </c>
      <c r="AA30" s="1259">
        <f t="shared" si="3"/>
        <v>1</v>
      </c>
      <c r="AB30" s="1259">
        <f t="shared" si="4"/>
        <v>1</v>
      </c>
      <c r="AC30" s="1807">
        <f t="shared" si="5"/>
        <v>1</v>
      </c>
    </row>
    <row r="31" spans="1:29" ht="15">
      <c r="A31" s="367"/>
      <c r="B31" s="1096">
        <v>111</v>
      </c>
      <c r="C31" s="1757"/>
      <c r="D31" s="374">
        <v>100</v>
      </c>
      <c r="E31" s="371"/>
      <c r="F31" s="374">
        <f>SUMIF(97:97,E31,98:98)-SUMIF(97:97,C31,98:98)+100</f>
        <v>100</v>
      </c>
      <c r="G31" s="1805"/>
      <c r="H31" s="374">
        <f>SUMIF(97:97,G31,98:98)-SUMIF(97:97,C31,98:98)+100</f>
        <v>100</v>
      </c>
      <c r="I31" s="371"/>
      <c r="J31" s="374">
        <f>SUMIF(97:97,I31,98:98)-SUMIF(97:97,C31,98:98)+100</f>
        <v>100</v>
      </c>
      <c r="K31" s="539"/>
      <c r="L31" s="2485"/>
      <c r="M31" s="2480"/>
      <c r="N31" s="2480"/>
      <c r="O31" s="2480"/>
      <c r="P31" s="3427"/>
      <c r="Q31" s="1258">
        <f t="shared" si="11"/>
        <v>111</v>
      </c>
      <c r="R31" s="666" t="s">
        <v>14</v>
      </c>
      <c r="S31" s="667">
        <f t="shared" si="12"/>
        <v>100</v>
      </c>
      <c r="T31" s="666" t="s">
        <v>14</v>
      </c>
      <c r="U31" s="667">
        <f t="shared" si="13"/>
        <v>100</v>
      </c>
      <c r="V31" s="666" t="s">
        <v>14</v>
      </c>
      <c r="W31" s="667">
        <f t="shared" si="14"/>
        <v>100</v>
      </c>
      <c r="X31" s="1260"/>
      <c r="Y31" s="3420"/>
      <c r="Z31" s="1259">
        <f t="shared" si="15"/>
        <v>111</v>
      </c>
      <c r="AA31" s="1259">
        <f t="shared" si="3"/>
        <v>1</v>
      </c>
      <c r="AB31" s="1259">
        <f t="shared" si="4"/>
        <v>1</v>
      </c>
      <c r="AC31" s="1807">
        <f t="shared" si="5"/>
        <v>1</v>
      </c>
    </row>
    <row r="32" spans="1:29" ht="15.6"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5"/>
      <c r="M32" s="2480"/>
      <c r="N32" s="2480"/>
      <c r="O32" s="2480"/>
      <c r="P32" s="3427"/>
      <c r="Q32" s="1258">
        <f t="shared" si="11"/>
        <v>111</v>
      </c>
      <c r="R32" s="666" t="s">
        <v>14</v>
      </c>
      <c r="S32" s="667">
        <f t="shared" si="12"/>
        <v>100</v>
      </c>
      <c r="T32" s="666" t="s">
        <v>14</v>
      </c>
      <c r="U32" s="667">
        <f t="shared" si="13"/>
        <v>100</v>
      </c>
      <c r="V32" s="666" t="s">
        <v>14</v>
      </c>
      <c r="W32" s="667">
        <f t="shared" si="14"/>
        <v>100</v>
      </c>
      <c r="X32" s="1260"/>
      <c r="Y32" s="3420"/>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5"/>
      <c r="M33" s="2480"/>
      <c r="N33" s="2480"/>
      <c r="O33" s="2480"/>
      <c r="P33" s="3421" t="s">
        <v>1696</v>
      </c>
      <c r="Q33" s="1258" t="str">
        <f t="shared" si="11"/>
        <v>建筑类型</v>
      </c>
      <c r="R33" s="666" t="s">
        <v>14</v>
      </c>
      <c r="S33" s="667">
        <f t="shared" si="12"/>
        <v>100</v>
      </c>
      <c r="T33" s="666" t="s">
        <v>14</v>
      </c>
      <c r="U33" s="667">
        <f t="shared" si="13"/>
        <v>100</v>
      </c>
      <c r="V33" s="666" t="s">
        <v>14</v>
      </c>
      <c r="W33" s="667">
        <f t="shared" si="14"/>
        <v>100</v>
      </c>
      <c r="X33" s="1260"/>
      <c r="Y33" s="3424"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22"/>
      <c r="Q34" s="531" t="str">
        <f t="shared" si="11"/>
        <v>项目建筑规模</v>
      </c>
      <c r="R34" s="668" t="s">
        <v>14</v>
      </c>
      <c r="S34" s="669" t="e">
        <f t="shared" si="12"/>
        <v>#N/A</v>
      </c>
      <c r="T34" s="668" t="s">
        <v>14</v>
      </c>
      <c r="U34" s="669" t="e">
        <f t="shared" si="13"/>
        <v>#N/A</v>
      </c>
      <c r="V34" s="668" t="s">
        <v>14</v>
      </c>
      <c r="W34" s="669" t="e">
        <f t="shared" si="14"/>
        <v>#N/A</v>
      </c>
      <c r="X34" s="670"/>
      <c r="Y34" s="3424"/>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22"/>
      <c r="Q35" s="1258" t="str">
        <f t="shared" si="11"/>
        <v>建筑结构</v>
      </c>
      <c r="R35" s="666" t="s">
        <v>14</v>
      </c>
      <c r="S35" s="667">
        <f t="shared" si="12"/>
        <v>100</v>
      </c>
      <c r="T35" s="666" t="s">
        <v>14</v>
      </c>
      <c r="U35" s="667">
        <f t="shared" si="13"/>
        <v>100</v>
      </c>
      <c r="V35" s="666" t="s">
        <v>14</v>
      </c>
      <c r="W35" s="667">
        <f t="shared" si="14"/>
        <v>100</v>
      </c>
      <c r="X35" s="1260"/>
      <c r="Y35" s="3424"/>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22"/>
      <c r="Q36" s="1258" t="str">
        <f t="shared" si="11"/>
        <v>公共部分装修</v>
      </c>
      <c r="R36" s="666" t="s">
        <v>14</v>
      </c>
      <c r="S36" s="667">
        <f t="shared" si="12"/>
        <v>100</v>
      </c>
      <c r="T36" s="666" t="s">
        <v>14</v>
      </c>
      <c r="U36" s="667">
        <f t="shared" si="13"/>
        <v>100</v>
      </c>
      <c r="V36" s="666" t="s">
        <v>14</v>
      </c>
      <c r="W36" s="667">
        <f t="shared" si="14"/>
        <v>100</v>
      </c>
      <c r="X36" s="1260"/>
      <c r="Y36" s="3424"/>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22"/>
      <c r="Q37" s="1258" t="str">
        <f t="shared" si="11"/>
        <v>成新度</v>
      </c>
      <c r="R37" s="666" t="s">
        <v>14</v>
      </c>
      <c r="S37" s="667" t="e">
        <f t="shared" si="12"/>
        <v>#N/A</v>
      </c>
      <c r="T37" s="666" t="s">
        <v>14</v>
      </c>
      <c r="U37" s="667" t="e">
        <f t="shared" si="13"/>
        <v>#N/A</v>
      </c>
      <c r="V37" s="666" t="s">
        <v>14</v>
      </c>
      <c r="W37" s="667" t="e">
        <f t="shared" si="14"/>
        <v>#N/A</v>
      </c>
      <c r="X37" s="1260"/>
      <c r="Y37" s="3424"/>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22"/>
      <c r="Q38" s="530" t="str">
        <f t="shared" si="11"/>
        <v>写字楼等级</v>
      </c>
      <c r="R38" s="663" t="s">
        <v>14</v>
      </c>
      <c r="S38" s="664">
        <f t="shared" si="12"/>
        <v>100</v>
      </c>
      <c r="T38" s="663" t="s">
        <v>14</v>
      </c>
      <c r="U38" s="664">
        <f t="shared" si="13"/>
        <v>100</v>
      </c>
      <c r="V38" s="663" t="s">
        <v>14</v>
      </c>
      <c r="W38" s="664">
        <f t="shared" si="14"/>
        <v>100</v>
      </c>
      <c r="X38" s="665"/>
      <c r="Y38" s="342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22" t="s">
        <v>1696</v>
      </c>
      <c r="Q39" s="1258" t="str">
        <f t="shared" si="11"/>
        <v>物业管理</v>
      </c>
      <c r="R39" s="666" t="s">
        <v>14</v>
      </c>
      <c r="S39" s="667">
        <f t="shared" si="12"/>
        <v>100</v>
      </c>
      <c r="T39" s="666" t="s">
        <v>14</v>
      </c>
      <c r="U39" s="667">
        <f t="shared" si="13"/>
        <v>100</v>
      </c>
      <c r="V39" s="666" t="s">
        <v>14</v>
      </c>
      <c r="W39" s="667">
        <f t="shared" si="14"/>
        <v>100</v>
      </c>
      <c r="X39" s="1260"/>
      <c r="Y39" s="3424"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22"/>
      <c r="Q40" s="1258" t="str">
        <f t="shared" si="11"/>
        <v>市政基础设施</v>
      </c>
      <c r="R40" s="666" t="s">
        <v>14</v>
      </c>
      <c r="S40" s="667">
        <f t="shared" si="12"/>
        <v>100</v>
      </c>
      <c r="T40" s="666" t="s">
        <v>14</v>
      </c>
      <c r="U40" s="667">
        <f t="shared" si="13"/>
        <v>100</v>
      </c>
      <c r="V40" s="666" t="s">
        <v>14</v>
      </c>
      <c r="W40" s="667">
        <f t="shared" si="14"/>
        <v>100</v>
      </c>
      <c r="X40" s="1260"/>
      <c r="Y40" s="3424"/>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22"/>
      <c r="Q41" s="1258" t="str">
        <f t="shared" si="11"/>
        <v>层高</v>
      </c>
      <c r="R41" s="666" t="s">
        <v>14</v>
      </c>
      <c r="S41" s="667">
        <f t="shared" si="12"/>
        <v>100</v>
      </c>
      <c r="T41" s="666" t="s">
        <v>14</v>
      </c>
      <c r="U41" s="667">
        <f t="shared" si="13"/>
        <v>100</v>
      </c>
      <c r="V41" s="666" t="s">
        <v>14</v>
      </c>
      <c r="W41" s="667">
        <f t="shared" si="14"/>
        <v>100</v>
      </c>
      <c r="X41" s="1260"/>
      <c r="Y41" s="3424"/>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22"/>
      <c r="Q42" s="531" t="str">
        <f t="shared" si="11"/>
        <v>单套建筑面积</v>
      </c>
      <c r="R42" s="668" t="s">
        <v>14</v>
      </c>
      <c r="S42" s="669">
        <f t="shared" si="12"/>
        <v>100</v>
      </c>
      <c r="T42" s="668" t="s">
        <v>14</v>
      </c>
      <c r="U42" s="669">
        <f t="shared" si="13"/>
        <v>100</v>
      </c>
      <c r="V42" s="668" t="s">
        <v>14</v>
      </c>
      <c r="W42" s="669">
        <f t="shared" si="14"/>
        <v>100</v>
      </c>
      <c r="X42" s="670"/>
      <c r="Y42" s="3424"/>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22"/>
      <c r="Q43" s="1258" t="str">
        <f t="shared" si="11"/>
        <v>内部装修</v>
      </c>
      <c r="R43" s="666" t="s">
        <v>14</v>
      </c>
      <c r="S43" s="667">
        <f t="shared" si="12"/>
        <v>100</v>
      </c>
      <c r="T43" s="666" t="s">
        <v>14</v>
      </c>
      <c r="U43" s="667">
        <f t="shared" si="13"/>
        <v>100</v>
      </c>
      <c r="V43" s="666" t="s">
        <v>14</v>
      </c>
      <c r="W43" s="667">
        <f t="shared" si="14"/>
        <v>100</v>
      </c>
      <c r="X43" s="1260"/>
      <c r="Y43" s="3424"/>
      <c r="Z43" s="1259" t="str">
        <f t="shared" si="15"/>
        <v>内部装修</v>
      </c>
      <c r="AA43" s="1259">
        <f t="shared" si="3"/>
        <v>1</v>
      </c>
      <c r="AB43" s="1259">
        <f t="shared" si="4"/>
        <v>1</v>
      </c>
      <c r="AC43" s="1807">
        <f t="shared" si="5"/>
        <v>1</v>
      </c>
    </row>
    <row r="44" spans="1:29" ht="28.8">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5"/>
      <c r="M44" s="2480"/>
      <c r="N44" s="2480"/>
      <c r="O44" s="2480"/>
      <c r="P44" s="3422"/>
      <c r="Q44" s="1258" t="str">
        <f t="shared" si="11"/>
        <v>内部装修维护情况</v>
      </c>
      <c r="R44" s="666" t="s">
        <v>14</v>
      </c>
      <c r="S44" s="667">
        <f t="shared" si="12"/>
        <v>100</v>
      </c>
      <c r="T44" s="666" t="s">
        <v>14</v>
      </c>
      <c r="U44" s="667">
        <f t="shared" si="13"/>
        <v>100</v>
      </c>
      <c r="V44" s="666" t="s">
        <v>14</v>
      </c>
      <c r="W44" s="667">
        <f t="shared" si="14"/>
        <v>100</v>
      </c>
      <c r="X44" s="1260"/>
      <c r="Y44" s="3424"/>
      <c r="Z44" s="1259" t="str">
        <f t="shared" si="15"/>
        <v>内部装修维护情况</v>
      </c>
      <c r="AA44" s="1259">
        <f t="shared" si="3"/>
        <v>1</v>
      </c>
      <c r="AB44" s="1259">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22"/>
      <c r="Q45" s="530">
        <f t="shared" si="11"/>
        <v>111</v>
      </c>
      <c r="R45" s="663" t="s">
        <v>14</v>
      </c>
      <c r="S45" s="664">
        <f t="shared" si="12"/>
        <v>100</v>
      </c>
      <c r="T45" s="663" t="s">
        <v>14</v>
      </c>
      <c r="U45" s="664">
        <f t="shared" si="13"/>
        <v>100</v>
      </c>
      <c r="V45" s="663" t="s">
        <v>14</v>
      </c>
      <c r="W45" s="664">
        <f t="shared" si="14"/>
        <v>100</v>
      </c>
      <c r="X45" s="665"/>
      <c r="Y45" s="3424"/>
      <c r="Z45" s="50">
        <f t="shared" si="15"/>
        <v>111</v>
      </c>
      <c r="AA45" s="50">
        <f t="shared" si="3"/>
        <v>1</v>
      </c>
      <c r="AB45" s="50">
        <f t="shared" si="4"/>
        <v>1</v>
      </c>
      <c r="AC45" s="801">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22"/>
      <c r="Q46" s="1258">
        <f t="shared" si="11"/>
        <v>111</v>
      </c>
      <c r="R46" s="666" t="s">
        <v>14</v>
      </c>
      <c r="S46" s="667">
        <f t="shared" si="12"/>
        <v>100</v>
      </c>
      <c r="T46" s="666" t="s">
        <v>14</v>
      </c>
      <c r="U46" s="667">
        <f t="shared" si="13"/>
        <v>100</v>
      </c>
      <c r="V46" s="666" t="s">
        <v>14</v>
      </c>
      <c r="W46" s="667">
        <f t="shared" si="14"/>
        <v>100</v>
      </c>
      <c r="X46" s="1260"/>
      <c r="Y46" s="3424"/>
      <c r="Z46" s="1259">
        <f t="shared" si="15"/>
        <v>111</v>
      </c>
      <c r="AA46" s="1259">
        <f t="shared" si="3"/>
        <v>1</v>
      </c>
      <c r="AB46" s="1259">
        <f t="shared" si="4"/>
        <v>1</v>
      </c>
      <c r="AC46" s="1807">
        <f t="shared" si="5"/>
        <v>1</v>
      </c>
    </row>
    <row r="47" spans="1:29" ht="15.6"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23"/>
      <c r="Q47" s="1258">
        <f t="shared" si="11"/>
        <v>111</v>
      </c>
      <c r="R47" s="666" t="s">
        <v>14</v>
      </c>
      <c r="S47" s="667">
        <f t="shared" si="12"/>
        <v>100</v>
      </c>
      <c r="T47" s="666" t="s">
        <v>14</v>
      </c>
      <c r="U47" s="667">
        <f t="shared" si="13"/>
        <v>100</v>
      </c>
      <c r="V47" s="666" t="s">
        <v>14</v>
      </c>
      <c r="W47" s="667">
        <f t="shared" si="14"/>
        <v>100</v>
      </c>
      <c r="X47" s="1260"/>
      <c r="Y47" s="3425"/>
      <c r="Z47" s="1259">
        <f t="shared" si="15"/>
        <v>111</v>
      </c>
      <c r="AA47" s="1259">
        <f t="shared" si="3"/>
        <v>1</v>
      </c>
      <c r="AB47" s="1259">
        <f t="shared" si="4"/>
        <v>1</v>
      </c>
      <c r="AC47" s="1807">
        <f t="shared" si="5"/>
        <v>1</v>
      </c>
    </row>
    <row r="48" spans="1:29" ht="14.4">
      <c r="A48" s="416" t="s">
        <v>1708</v>
      </c>
      <c r="B48" s="417"/>
      <c r="C48" s="1078" t="s">
        <v>0</v>
      </c>
      <c r="D48" s="418"/>
      <c r="E48" s="419"/>
      <c r="F48" s="420"/>
      <c r="G48" s="421"/>
      <c r="H48" s="422"/>
      <c r="I48" s="419"/>
      <c r="J48" s="422"/>
      <c r="K48" s="673"/>
      <c r="L48" s="2487"/>
      <c r="M48" s="2480"/>
      <c r="N48" s="2480"/>
      <c r="O48" s="2480"/>
      <c r="P48" s="3400" t="str">
        <f>A48</f>
        <v>成交单价（元/平方米）</v>
      </c>
      <c r="Q48" s="3418"/>
      <c r="R48" s="3413">
        <f>E48</f>
        <v>0</v>
      </c>
      <c r="S48" s="3413"/>
      <c r="T48" s="3413">
        <f>G48</f>
        <v>0</v>
      </c>
      <c r="U48" s="3413"/>
      <c r="V48" s="3413">
        <f>I48</f>
        <v>0</v>
      </c>
      <c r="W48" s="3413"/>
      <c r="X48" s="385"/>
      <c r="Y48" s="672"/>
      <c r="Z48" s="385"/>
      <c r="AA48" s="385"/>
      <c r="AB48" s="385"/>
      <c r="AC48" s="555"/>
    </row>
    <row r="49" spans="1:29" ht="15" thickBot="1">
      <c r="A49" s="423" t="s">
        <v>1793</v>
      </c>
      <c r="B49" s="424"/>
      <c r="C49" s="1079" t="e">
        <f>R50</f>
        <v>#DIV/0!</v>
      </c>
      <c r="D49" s="2136" t="s">
        <v>2133</v>
      </c>
      <c r="E49" s="1080" t="e">
        <f>R49</f>
        <v>#DIV/0!</v>
      </c>
      <c r="F49" s="2137"/>
      <c r="G49" s="1079" t="e">
        <f>T49</f>
        <v>#DIV/0!</v>
      </c>
      <c r="H49" s="2137"/>
      <c r="I49" s="1080" t="e">
        <f>V49</f>
        <v>#DIV/0!</v>
      </c>
      <c r="J49" s="2137"/>
      <c r="K49" s="2139">
        <f>F49+H49+J49</f>
        <v>0</v>
      </c>
      <c r="L49" s="2487"/>
      <c r="M49" s="2480"/>
      <c r="N49" s="2480"/>
      <c r="O49" s="2480"/>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 thickBot="1">
      <c r="A50" s="427" t="s">
        <v>1794</v>
      </c>
      <c r="B50" s="428"/>
      <c r="C50" s="351" t="e">
        <f>R50</f>
        <v>#DIV/0!</v>
      </c>
      <c r="D50" s="351"/>
      <c r="E50" s="351"/>
      <c r="F50" s="351"/>
      <c r="G50" s="351"/>
      <c r="H50" s="351"/>
      <c r="I50" s="351"/>
      <c r="J50" s="429"/>
      <c r="K50" s="674"/>
      <c r="L50" s="2487"/>
      <c r="M50" s="2480"/>
      <c r="N50" s="2480"/>
      <c r="O50" s="2480"/>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7" t="s">
        <v>1798</v>
      </c>
      <c r="B58" s="385"/>
      <c r="C58" s="658"/>
      <c r="D58" s="658"/>
      <c r="E58" s="658"/>
      <c r="F58" s="659"/>
      <c r="G58" s="659"/>
      <c r="H58" s="658"/>
      <c r="I58" s="658"/>
      <c r="J58" s="658"/>
      <c r="K58" s="660"/>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0"/>
      <c r="Q59" s="2503"/>
      <c r="R59" s="2503"/>
      <c r="S59" s="2503"/>
      <c r="T59" s="2503"/>
      <c r="U59" s="2503"/>
      <c r="V59" s="2503"/>
      <c r="W59" s="2503"/>
      <c r="X59" s="2503"/>
      <c r="Y59" s="2503"/>
      <c r="Z59" s="2503"/>
      <c r="AA59" s="2503"/>
      <c r="AB59" s="2503"/>
      <c r="AC59" s="2503"/>
    </row>
    <row r="60" spans="1:29" s="102" customFormat="1">
      <c r="A60" s="443"/>
      <c r="B60" s="444"/>
      <c r="C60" s="1099">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1716</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1813</v>
      </c>
      <c r="C83" s="581" t="s">
        <v>1799</v>
      </c>
      <c r="D83" s="581" t="s">
        <v>1800</v>
      </c>
      <c r="E83" s="581" t="s">
        <v>1801</v>
      </c>
      <c r="F83" s="581" t="s">
        <v>1802</v>
      </c>
      <c r="G83" s="581" t="s">
        <v>1803</v>
      </c>
      <c r="H83" s="470"/>
      <c r="I83" s="470"/>
      <c r="J83" s="470"/>
      <c r="K83" s="470"/>
      <c r="L83" s="470"/>
      <c r="M83" s="1060"/>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1823</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5"/>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3" t="s">
        <v>1826</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3"/>
      <c r="L2" s="856"/>
      <c r="M2" s="857"/>
      <c r="N2" s="857"/>
      <c r="O2" s="857"/>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121.97</v>
      </c>
      <c r="E3" s="853"/>
      <c r="F3" s="854"/>
      <c r="G3" s="853"/>
      <c r="H3" s="853"/>
      <c r="I3" s="853"/>
      <c r="J3" s="853"/>
      <c r="K3" s="855"/>
      <c r="L3" s="856"/>
      <c r="M3" s="857"/>
      <c r="N3" s="857"/>
      <c r="O3" s="857"/>
      <c r="P3" s="341"/>
      <c r="Q3" s="341"/>
      <c r="R3" s="341"/>
      <c r="S3" s="341"/>
      <c r="T3" s="341"/>
      <c r="U3" s="341"/>
      <c r="V3" s="341"/>
      <c r="W3" s="341"/>
      <c r="X3" s="341"/>
      <c r="Y3" s="341"/>
      <c r="Z3" s="341"/>
      <c r="AA3" s="341"/>
      <c r="AB3" s="675"/>
      <c r="AC3" s="662"/>
    </row>
    <row r="4" spans="1:29" ht="14.4">
      <c r="A4" s="345" t="s">
        <v>1769</v>
      </c>
      <c r="B4" s="346"/>
      <c r="C4" s="3401" t="s">
        <v>1770</v>
      </c>
      <c r="D4" s="3402"/>
      <c r="E4" s="3403" t="s">
        <v>1771</v>
      </c>
      <c r="F4" s="3404"/>
      <c r="G4" s="3401" t="s">
        <v>1772</v>
      </c>
      <c r="H4" s="3402"/>
      <c r="I4" s="3401" t="s">
        <v>1773</v>
      </c>
      <c r="J4" s="3402"/>
      <c r="K4" s="537" t="s">
        <v>1774</v>
      </c>
      <c r="L4" s="858"/>
      <c r="M4" s="859"/>
      <c r="N4" s="859"/>
      <c r="O4" s="859"/>
      <c r="P4" s="3405" t="s">
        <v>1775</v>
      </c>
      <c r="Q4" s="3406"/>
      <c r="R4" s="3387" t="s">
        <v>1771</v>
      </c>
      <c r="S4" s="3388"/>
      <c r="T4" s="3387" t="s">
        <v>1772</v>
      </c>
      <c r="U4" s="3388"/>
      <c r="V4" s="3413" t="s">
        <v>1773</v>
      </c>
      <c r="W4" s="3413"/>
      <c r="X4" s="1260"/>
      <c r="Y4" s="3387" t="s">
        <v>1775</v>
      </c>
      <c r="Z4" s="3388"/>
      <c r="AA4" s="3382" t="s">
        <v>1771</v>
      </c>
      <c r="AB4" s="3383" t="s">
        <v>1772</v>
      </c>
      <c r="AC4" s="3382" t="s">
        <v>1773</v>
      </c>
    </row>
    <row r="5" spans="1:29">
      <c r="A5" s="348"/>
      <c r="B5" s="349"/>
      <c r="C5" s="3397" t="s">
        <v>1673</v>
      </c>
      <c r="D5" s="3394"/>
      <c r="E5" s="3391" t="s">
        <v>1674</v>
      </c>
      <c r="F5" s="3392"/>
      <c r="G5" s="3397" t="s">
        <v>1675</v>
      </c>
      <c r="H5" s="3394"/>
      <c r="I5" s="3397" t="s">
        <v>1676</v>
      </c>
      <c r="J5" s="3394"/>
      <c r="K5" s="537"/>
      <c r="L5" s="858"/>
      <c r="M5" s="859"/>
      <c r="N5" s="859"/>
      <c r="O5" s="859"/>
      <c r="P5" s="3407"/>
      <c r="Q5" s="3408"/>
      <c r="R5" s="3389"/>
      <c r="S5" s="3390"/>
      <c r="T5" s="3389"/>
      <c r="U5" s="3390"/>
      <c r="V5" s="3413"/>
      <c r="W5" s="3413"/>
      <c r="X5" s="1260"/>
      <c r="Y5" s="3389"/>
      <c r="Z5" s="3390"/>
      <c r="AA5" s="3383"/>
      <c r="AB5" s="3383"/>
      <c r="AC5" s="3383"/>
    </row>
    <row r="6" spans="1:29" ht="15" thickBot="1">
      <c r="A6" s="350"/>
      <c r="B6" s="351"/>
      <c r="C6" s="3395" t="s">
        <v>1677</v>
      </c>
      <c r="D6" s="3396"/>
      <c r="E6" s="3398" t="s">
        <v>1677</v>
      </c>
      <c r="F6" s="3399"/>
      <c r="G6" s="3395" t="s">
        <v>1677</v>
      </c>
      <c r="H6" s="3396"/>
      <c r="I6" s="3395" t="s">
        <v>1677</v>
      </c>
      <c r="J6" s="3396"/>
      <c r="K6" s="537" t="s">
        <v>1678</v>
      </c>
      <c r="L6" s="858"/>
      <c r="M6" s="859"/>
      <c r="N6" s="859"/>
      <c r="O6" s="859"/>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c r="F7" s="357">
        <f>SUMIF(52:52,YEAR(E7)&amp;"-"&amp;MONTH(E7),53:53)</f>
        <v>0</v>
      </c>
      <c r="G7" s="356"/>
      <c r="H7" s="355">
        <f>SUMIF(52:52,YEAR(G7)&amp;"-"&amp;MONTH(G7),53:53)</f>
        <v>0</v>
      </c>
      <c r="I7" s="356"/>
      <c r="J7" s="355">
        <f>SUMIF(52:52,YEAR(I7)&amp;"-"&amp;MONTH(I7),53:53)</f>
        <v>0</v>
      </c>
      <c r="K7" s="38"/>
      <c r="L7" s="860"/>
      <c r="M7" s="861"/>
      <c r="N7" s="861"/>
      <c r="O7" s="861"/>
      <c r="P7" s="3385" t="s">
        <v>1680</v>
      </c>
      <c r="Q7" s="3414"/>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85" t="s">
        <v>1683</v>
      </c>
      <c r="Q8" s="3386"/>
      <c r="R8" s="663" t="s">
        <v>14</v>
      </c>
      <c r="S8" s="664">
        <f t="shared" si="0"/>
        <v>100</v>
      </c>
      <c r="T8" s="663" t="s">
        <v>14</v>
      </c>
      <c r="U8" s="664">
        <f t="shared" si="1"/>
        <v>100</v>
      </c>
      <c r="V8" s="663" t="s">
        <v>14</v>
      </c>
      <c r="W8" s="664">
        <f t="shared" si="2"/>
        <v>100</v>
      </c>
      <c r="X8" s="665"/>
      <c r="Y8" s="3385" t="s">
        <v>1683</v>
      </c>
      <c r="Z8" s="338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18"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418"/>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18"/>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0"/>
      <c r="M12" s="861"/>
      <c r="N12" s="861"/>
      <c r="O12" s="862"/>
      <c r="P12" s="3418"/>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8"/>
      <c r="M13" s="859"/>
      <c r="N13" s="859"/>
      <c r="O13" s="867"/>
      <c r="P13" s="3418"/>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8"/>
      <c r="M14" s="859"/>
      <c r="N14" s="859"/>
      <c r="O14" s="867"/>
      <c r="P14" s="3418"/>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9" t="s">
        <v>1690</v>
      </c>
      <c r="B15" s="58" t="s">
        <v>1827</v>
      </c>
      <c r="C15" s="181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19" t="s">
        <v>1691</v>
      </c>
      <c r="Q15" s="1258" t="str">
        <f t="shared" si="6"/>
        <v>产业集聚程度</v>
      </c>
      <c r="R15" s="666" t="s">
        <v>14</v>
      </c>
      <c r="S15" s="667">
        <f t="shared" si="0"/>
        <v>100</v>
      </c>
      <c r="T15" s="666" t="s">
        <v>14</v>
      </c>
      <c r="U15" s="667">
        <f t="shared" si="1"/>
        <v>100</v>
      </c>
      <c r="V15" s="666" t="s">
        <v>14</v>
      </c>
      <c r="W15" s="667">
        <f t="shared" si="2"/>
        <v>100</v>
      </c>
      <c r="X15" s="1260"/>
      <c r="Y15" s="3419"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8"/>
      <c r="M16" s="859"/>
      <c r="N16" s="859"/>
      <c r="O16" s="867"/>
      <c r="P16" s="3420"/>
      <c r="Q16" s="1258"/>
      <c r="R16" s="666"/>
      <c r="S16" s="667"/>
      <c r="T16" s="666"/>
      <c r="U16" s="667"/>
      <c r="V16" s="666"/>
      <c r="W16" s="667"/>
      <c r="X16" s="1260"/>
      <c r="Y16" s="3420"/>
      <c r="Z16" s="1259"/>
      <c r="AA16" s="1259">
        <v>1</v>
      </c>
      <c r="AB16" s="1259">
        <v>1</v>
      </c>
      <c r="AC16" s="1259">
        <v>1</v>
      </c>
    </row>
    <row r="17" spans="1:29" ht="96.6">
      <c r="A17" s="367"/>
      <c r="B17" s="390" t="s">
        <v>1259</v>
      </c>
      <c r="C17" s="174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0"/>
      <c r="Q17" s="1258" t="str">
        <f>B17</f>
        <v>交通便捷度</v>
      </c>
      <c r="R17" s="666" t="s">
        <v>14</v>
      </c>
      <c r="S17" s="667">
        <f>F17</f>
        <v>100</v>
      </c>
      <c r="T17" s="666" t="s">
        <v>14</v>
      </c>
      <c r="U17" s="667">
        <f>H17</f>
        <v>100</v>
      </c>
      <c r="V17" s="666" t="s">
        <v>14</v>
      </c>
      <c r="W17" s="667">
        <f>J17</f>
        <v>100</v>
      </c>
      <c r="X17" s="1260"/>
      <c r="Y17" s="3420"/>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8"/>
      <c r="M18" s="859"/>
      <c r="N18" s="859"/>
      <c r="O18" s="867"/>
      <c r="P18" s="3420"/>
      <c r="Q18" s="1258"/>
      <c r="R18" s="666"/>
      <c r="S18" s="667"/>
      <c r="T18" s="666"/>
      <c r="U18" s="667"/>
      <c r="V18" s="666"/>
      <c r="W18" s="667"/>
      <c r="X18" s="1260"/>
      <c r="Y18" s="3420"/>
      <c r="Z18" s="1259"/>
      <c r="AA18" s="1259">
        <v>1</v>
      </c>
      <c r="AB18" s="1259">
        <v>1</v>
      </c>
      <c r="AC18" s="1259">
        <v>1</v>
      </c>
    </row>
    <row r="19" spans="1:29" ht="41.4">
      <c r="A19" s="367"/>
      <c r="B19" s="390" t="s">
        <v>1812</v>
      </c>
      <c r="C19" s="174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0"/>
      <c r="Q19" s="1258" t="str">
        <f>B19</f>
        <v>公共配套设施</v>
      </c>
      <c r="R19" s="666" t="s">
        <v>14</v>
      </c>
      <c r="S19" s="667">
        <f>F19</f>
        <v>100</v>
      </c>
      <c r="T19" s="666" t="s">
        <v>14</v>
      </c>
      <c r="U19" s="667">
        <f>H19</f>
        <v>100</v>
      </c>
      <c r="V19" s="666" t="s">
        <v>14</v>
      </c>
      <c r="W19" s="667">
        <f>J19</f>
        <v>100</v>
      </c>
      <c r="X19" s="1260"/>
      <c r="Y19" s="3420"/>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8"/>
      <c r="M20" s="859"/>
      <c r="N20" s="859"/>
      <c r="O20" s="867"/>
      <c r="P20" s="3420"/>
      <c r="Q20" s="1258"/>
      <c r="R20" s="666"/>
      <c r="S20" s="667"/>
      <c r="T20" s="666"/>
      <c r="U20" s="667"/>
      <c r="V20" s="666"/>
      <c r="W20" s="667"/>
      <c r="X20" s="1260"/>
      <c r="Y20" s="3420"/>
      <c r="Z20" s="1259"/>
      <c r="AA20" s="1259">
        <v>1</v>
      </c>
      <c r="AB20" s="1259">
        <v>1</v>
      </c>
      <c r="AC20" s="1259">
        <v>1</v>
      </c>
    </row>
    <row r="21" spans="1:29" ht="41.4">
      <c r="A21" s="367"/>
      <c r="B21" s="586" t="s">
        <v>1813</v>
      </c>
      <c r="C21" s="174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0"/>
      <c r="Q21" s="1258" t="str">
        <f>B21</f>
        <v>基础设施水平</v>
      </c>
      <c r="R21" s="666" t="s">
        <v>14</v>
      </c>
      <c r="S21" s="667">
        <f>F21</f>
        <v>100</v>
      </c>
      <c r="T21" s="666" t="s">
        <v>14</v>
      </c>
      <c r="U21" s="667">
        <f>H21</f>
        <v>100</v>
      </c>
      <c r="V21" s="666" t="s">
        <v>14</v>
      </c>
      <c r="W21" s="667">
        <f>J21</f>
        <v>100</v>
      </c>
      <c r="X21" s="1260"/>
      <c r="Y21" s="3420"/>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868"/>
      <c r="M22" s="859"/>
      <c r="N22" s="859"/>
      <c r="O22" s="867"/>
      <c r="P22" s="3420"/>
      <c r="Q22" s="1258"/>
      <c r="R22" s="666"/>
      <c r="S22" s="667"/>
      <c r="T22" s="666"/>
      <c r="U22" s="667"/>
      <c r="V22" s="666"/>
      <c r="W22" s="667"/>
      <c r="X22" s="1260"/>
      <c r="Y22" s="3420"/>
      <c r="Z22" s="1259"/>
      <c r="AA22" s="1259">
        <v>1</v>
      </c>
      <c r="AB22" s="1259">
        <v>1</v>
      </c>
      <c r="AC22" s="1259">
        <v>1</v>
      </c>
    </row>
    <row r="23" spans="1:29" ht="82.8">
      <c r="A23" s="367"/>
      <c r="B23" s="390" t="s">
        <v>1814</v>
      </c>
      <c r="C23" s="174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0"/>
      <c r="Q23" s="1258" t="str">
        <f>B23</f>
        <v>环境质量</v>
      </c>
      <c r="R23" s="666" t="s">
        <v>14</v>
      </c>
      <c r="S23" s="667">
        <f>F23</f>
        <v>100</v>
      </c>
      <c r="T23" s="666" t="s">
        <v>14</v>
      </c>
      <c r="U23" s="667">
        <f>H23</f>
        <v>100</v>
      </c>
      <c r="V23" s="666" t="s">
        <v>14</v>
      </c>
      <c r="W23" s="667">
        <f>J23</f>
        <v>100</v>
      </c>
      <c r="X23" s="1260"/>
      <c r="Y23" s="3420"/>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8"/>
      <c r="M24" s="859"/>
      <c r="N24" s="859"/>
      <c r="O24" s="867"/>
      <c r="P24" s="3420"/>
      <c r="Q24" s="1258"/>
      <c r="R24" s="666"/>
      <c r="S24" s="667"/>
      <c r="T24" s="666"/>
      <c r="U24" s="667"/>
      <c r="V24" s="666"/>
      <c r="W24" s="667"/>
      <c r="X24" s="1260"/>
      <c r="Y24" s="3420"/>
      <c r="Z24" s="1259"/>
      <c r="AA24" s="1259">
        <v>1</v>
      </c>
      <c r="AB24" s="1259">
        <v>1</v>
      </c>
      <c r="AC24" s="1259">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0"/>
      <c r="Q25" s="1258">
        <f>B25</f>
        <v>111</v>
      </c>
      <c r="R25" s="666" t="s">
        <v>14</v>
      </c>
      <c r="S25" s="667">
        <f>F25</f>
        <v>100</v>
      </c>
      <c r="T25" s="666" t="s">
        <v>14</v>
      </c>
      <c r="U25" s="667">
        <f>H25</f>
        <v>100</v>
      </c>
      <c r="V25" s="666" t="s">
        <v>14</v>
      </c>
      <c r="W25" s="667">
        <f>J25</f>
        <v>100</v>
      </c>
      <c r="X25" s="1260"/>
      <c r="Y25" s="3420"/>
      <c r="Z25" s="1259">
        <f>Q25</f>
        <v>111</v>
      </c>
      <c r="AA25" s="1259">
        <f t="shared" si="3"/>
        <v>1</v>
      </c>
      <c r="AB25" s="1259">
        <f t="shared" si="4"/>
        <v>1</v>
      </c>
      <c r="AC25" s="1259">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0"/>
      <c r="Q26" s="1258">
        <f t="shared" ref="Q26:Q40" si="11">B26</f>
        <v>111</v>
      </c>
      <c r="R26" s="666" t="s">
        <v>14</v>
      </c>
      <c r="S26" s="667">
        <f>F26</f>
        <v>100</v>
      </c>
      <c r="T26" s="666" t="s">
        <v>14</v>
      </c>
      <c r="U26" s="667">
        <f>H26</f>
        <v>100</v>
      </c>
      <c r="V26" s="666" t="s">
        <v>14</v>
      </c>
      <c r="W26" s="667">
        <f>J26</f>
        <v>100</v>
      </c>
      <c r="X26" s="1260"/>
      <c r="Y26" s="3420"/>
      <c r="Z26" s="1259">
        <f>Q26</f>
        <v>111</v>
      </c>
      <c r="AA26" s="1259">
        <f t="shared" si="3"/>
        <v>1</v>
      </c>
      <c r="AB26" s="1259">
        <f t="shared" si="4"/>
        <v>1</v>
      </c>
      <c r="AC26" s="1259">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0"/>
      <c r="Q27" s="530">
        <f t="shared" si="11"/>
        <v>111</v>
      </c>
      <c r="R27" s="663" t="s">
        <v>14</v>
      </c>
      <c r="S27" s="664">
        <f>F27</f>
        <v>100</v>
      </c>
      <c r="T27" s="663" t="s">
        <v>14</v>
      </c>
      <c r="U27" s="664">
        <f>H27</f>
        <v>100</v>
      </c>
      <c r="V27" s="663" t="s">
        <v>14</v>
      </c>
      <c r="W27" s="664">
        <f>J27</f>
        <v>100</v>
      </c>
      <c r="X27" s="665"/>
      <c r="Y27" s="3420"/>
      <c r="Z27" s="50">
        <f>Q27</f>
        <v>111</v>
      </c>
      <c r="AA27" s="1259">
        <f>D27/F27</f>
        <v>1</v>
      </c>
      <c r="AB27" s="1259">
        <f>D27/H27</f>
        <v>1</v>
      </c>
      <c r="AC27" s="1259">
        <f>D27/J27</f>
        <v>1</v>
      </c>
    </row>
    <row r="28" spans="1:29" ht="15.6"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0"/>
      <c r="Q28" s="1258">
        <f t="shared" si="11"/>
        <v>111</v>
      </c>
      <c r="R28" s="666" t="s">
        <v>14</v>
      </c>
      <c r="S28" s="667">
        <f t="shared" ref="S28:S40" si="12">F28</f>
        <v>100</v>
      </c>
      <c r="T28" s="666" t="s">
        <v>14</v>
      </c>
      <c r="U28" s="667">
        <f t="shared" ref="U28:U40" si="13">H28</f>
        <v>100</v>
      </c>
      <c r="V28" s="666" t="s">
        <v>14</v>
      </c>
      <c r="W28" s="667">
        <f t="shared" ref="W28:W40" si="14">J28</f>
        <v>100</v>
      </c>
      <c r="X28" s="1260"/>
      <c r="Y28" s="3420"/>
      <c r="Z28" s="1259">
        <f t="shared" ref="Z28:Z40" si="15">Q28</f>
        <v>111</v>
      </c>
      <c r="AA28" s="1259">
        <f t="shared" si="3"/>
        <v>1</v>
      </c>
      <c r="AB28" s="1259">
        <f t="shared" si="4"/>
        <v>1</v>
      </c>
      <c r="AC28" s="1259">
        <f t="shared" si="5"/>
        <v>1</v>
      </c>
    </row>
    <row r="29" spans="1:29" ht="30">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8"/>
      <c r="M29" s="859"/>
      <c r="N29" s="859"/>
      <c r="O29" s="867"/>
      <c r="P29" s="3443" t="s">
        <v>1696</v>
      </c>
      <c r="Q29" s="1258" t="str">
        <f t="shared" si="11"/>
        <v>建筑类型</v>
      </c>
      <c r="R29" s="666" t="s">
        <v>14</v>
      </c>
      <c r="S29" s="667">
        <f t="shared" si="12"/>
        <v>100</v>
      </c>
      <c r="T29" s="666" t="s">
        <v>14</v>
      </c>
      <c r="U29" s="667">
        <f t="shared" si="13"/>
        <v>100</v>
      </c>
      <c r="V29" s="666" t="s">
        <v>14</v>
      </c>
      <c r="W29" s="667">
        <f t="shared" si="14"/>
        <v>100</v>
      </c>
      <c r="X29" s="1260"/>
      <c r="Y29" s="3424"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24"/>
      <c r="Q30" s="531" t="str">
        <f t="shared" si="11"/>
        <v>项目建筑规模</v>
      </c>
      <c r="R30" s="668" t="s">
        <v>14</v>
      </c>
      <c r="S30" s="669" t="e">
        <f t="shared" si="12"/>
        <v>#N/A</v>
      </c>
      <c r="T30" s="668" t="s">
        <v>14</v>
      </c>
      <c r="U30" s="669" t="e">
        <f t="shared" si="13"/>
        <v>#N/A</v>
      </c>
      <c r="V30" s="668" t="s">
        <v>14</v>
      </c>
      <c r="W30" s="669" t="e">
        <f t="shared" si="14"/>
        <v>#N/A</v>
      </c>
      <c r="X30" s="670"/>
      <c r="Y30" s="3424"/>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24"/>
      <c r="Q31" s="1258" t="str">
        <f t="shared" si="11"/>
        <v>建筑结构</v>
      </c>
      <c r="R31" s="666" t="s">
        <v>14</v>
      </c>
      <c r="S31" s="667">
        <f t="shared" si="12"/>
        <v>100</v>
      </c>
      <c r="T31" s="666" t="s">
        <v>14</v>
      </c>
      <c r="U31" s="667">
        <f t="shared" si="13"/>
        <v>100</v>
      </c>
      <c r="V31" s="666" t="s">
        <v>14</v>
      </c>
      <c r="W31" s="667">
        <f t="shared" si="14"/>
        <v>100</v>
      </c>
      <c r="X31" s="1260"/>
      <c r="Y31" s="3424"/>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24"/>
      <c r="Q32" s="1258" t="str">
        <f t="shared" si="11"/>
        <v>公共部分装修</v>
      </c>
      <c r="R32" s="666" t="s">
        <v>14</v>
      </c>
      <c r="S32" s="667">
        <f t="shared" si="12"/>
        <v>100</v>
      </c>
      <c r="T32" s="666" t="s">
        <v>14</v>
      </c>
      <c r="U32" s="667">
        <f t="shared" si="13"/>
        <v>100</v>
      </c>
      <c r="V32" s="666" t="s">
        <v>14</v>
      </c>
      <c r="W32" s="667">
        <f t="shared" si="14"/>
        <v>100</v>
      </c>
      <c r="X32" s="1260"/>
      <c r="Y32" s="3424"/>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24"/>
      <c r="Q33" s="1258" t="str">
        <f t="shared" si="11"/>
        <v>成新度</v>
      </c>
      <c r="R33" s="666" t="s">
        <v>14</v>
      </c>
      <c r="S33" s="667" t="e">
        <f t="shared" si="12"/>
        <v>#N/A</v>
      </c>
      <c r="T33" s="666" t="s">
        <v>14</v>
      </c>
      <c r="U33" s="667" t="e">
        <f t="shared" si="13"/>
        <v>#N/A</v>
      </c>
      <c r="V33" s="666" t="s">
        <v>14</v>
      </c>
      <c r="W33" s="667" t="e">
        <f t="shared" si="14"/>
        <v>#N/A</v>
      </c>
      <c r="X33" s="1260"/>
      <c r="Y33" s="3424"/>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24"/>
      <c r="Q34" s="530" t="str">
        <f t="shared" si="11"/>
        <v>物业管理</v>
      </c>
      <c r="R34" s="663" t="s">
        <v>14</v>
      </c>
      <c r="S34" s="664">
        <f t="shared" si="12"/>
        <v>100</v>
      </c>
      <c r="T34" s="663" t="s">
        <v>14</v>
      </c>
      <c r="U34" s="664">
        <f t="shared" si="13"/>
        <v>100</v>
      </c>
      <c r="V34" s="663" t="s">
        <v>14</v>
      </c>
      <c r="W34" s="664">
        <f t="shared" si="14"/>
        <v>100</v>
      </c>
      <c r="X34" s="665"/>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24" t="s">
        <v>1696</v>
      </c>
      <c r="Q35" s="1258" t="str">
        <f t="shared" si="11"/>
        <v>市政基础设施</v>
      </c>
      <c r="R35" s="666" t="s">
        <v>14</v>
      </c>
      <c r="S35" s="667">
        <f t="shared" si="12"/>
        <v>100</v>
      </c>
      <c r="T35" s="666" t="s">
        <v>14</v>
      </c>
      <c r="U35" s="667">
        <f t="shared" si="13"/>
        <v>100</v>
      </c>
      <c r="V35" s="666" t="s">
        <v>14</v>
      </c>
      <c r="W35" s="667">
        <f t="shared" si="14"/>
        <v>100</v>
      </c>
      <c r="X35" s="1260"/>
      <c r="Y35" s="3424"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24"/>
      <c r="Q36" s="1258" t="str">
        <f t="shared" si="11"/>
        <v>内部装修</v>
      </c>
      <c r="R36" s="666" t="s">
        <v>14</v>
      </c>
      <c r="S36" s="667">
        <f t="shared" si="12"/>
        <v>100</v>
      </c>
      <c r="T36" s="666" t="s">
        <v>14</v>
      </c>
      <c r="U36" s="667">
        <f t="shared" si="13"/>
        <v>100</v>
      </c>
      <c r="V36" s="666" t="s">
        <v>14</v>
      </c>
      <c r="W36" s="667">
        <f t="shared" si="14"/>
        <v>100</v>
      </c>
      <c r="X36" s="1260"/>
      <c r="Y36" s="3424"/>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24"/>
      <c r="Q37" s="1258" t="str">
        <f t="shared" si="11"/>
        <v>内部装修状况</v>
      </c>
      <c r="R37" s="666" t="s">
        <v>14</v>
      </c>
      <c r="S37" s="667">
        <f t="shared" si="12"/>
        <v>100</v>
      </c>
      <c r="T37" s="666" t="s">
        <v>14</v>
      </c>
      <c r="U37" s="667">
        <f t="shared" si="13"/>
        <v>100</v>
      </c>
      <c r="V37" s="666" t="s">
        <v>14</v>
      </c>
      <c r="W37" s="667">
        <f t="shared" si="14"/>
        <v>100</v>
      </c>
      <c r="X37" s="1260"/>
      <c r="Y37" s="3424"/>
      <c r="Z37" s="1259" t="str">
        <f t="shared" si="15"/>
        <v>内部装修状况</v>
      </c>
      <c r="AA37" s="1259">
        <f t="shared" si="3"/>
        <v>1</v>
      </c>
      <c r="AB37" s="1259">
        <f t="shared" si="4"/>
        <v>1</v>
      </c>
      <c r="AC37" s="1259">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24"/>
      <c r="Q38" s="531">
        <f t="shared" si="11"/>
        <v>111</v>
      </c>
      <c r="R38" s="668" t="s">
        <v>14</v>
      </c>
      <c r="S38" s="669">
        <f t="shared" si="12"/>
        <v>100</v>
      </c>
      <c r="T38" s="668" t="s">
        <v>14</v>
      </c>
      <c r="U38" s="669">
        <f t="shared" si="13"/>
        <v>100</v>
      </c>
      <c r="V38" s="668" t="s">
        <v>14</v>
      </c>
      <c r="W38" s="669">
        <f t="shared" si="14"/>
        <v>100</v>
      </c>
      <c r="X38" s="670"/>
      <c r="Y38" s="3424"/>
      <c r="Z38" s="671">
        <f t="shared" si="15"/>
        <v>111</v>
      </c>
      <c r="AA38" s="1259">
        <f t="shared" si="3"/>
        <v>1</v>
      </c>
      <c r="AB38" s="1259">
        <f t="shared" si="4"/>
        <v>1</v>
      </c>
      <c r="AC38" s="1259">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24"/>
      <c r="Q39" s="1258">
        <f t="shared" si="11"/>
        <v>111</v>
      </c>
      <c r="R39" s="666" t="s">
        <v>14</v>
      </c>
      <c r="S39" s="667">
        <f t="shared" si="12"/>
        <v>100</v>
      </c>
      <c r="T39" s="666" t="s">
        <v>14</v>
      </c>
      <c r="U39" s="667">
        <f t="shared" si="13"/>
        <v>100</v>
      </c>
      <c r="V39" s="666" t="s">
        <v>14</v>
      </c>
      <c r="W39" s="667">
        <f t="shared" si="14"/>
        <v>100</v>
      </c>
      <c r="X39" s="1260"/>
      <c r="Y39" s="3424"/>
      <c r="Z39" s="1259">
        <f t="shared" si="15"/>
        <v>111</v>
      </c>
      <c r="AA39" s="1259">
        <f t="shared" si="3"/>
        <v>1</v>
      </c>
      <c r="AB39" s="1259">
        <f t="shared" si="4"/>
        <v>1</v>
      </c>
      <c r="AC39" s="1259">
        <f t="shared" si="5"/>
        <v>1</v>
      </c>
    </row>
    <row r="40" spans="1:29" ht="15.6"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25"/>
      <c r="Q40" s="1258">
        <f t="shared" si="11"/>
        <v>111</v>
      </c>
      <c r="R40" s="666" t="s">
        <v>14</v>
      </c>
      <c r="S40" s="667">
        <f t="shared" si="12"/>
        <v>100</v>
      </c>
      <c r="T40" s="666" t="s">
        <v>14</v>
      </c>
      <c r="U40" s="667">
        <f t="shared" si="13"/>
        <v>100</v>
      </c>
      <c r="V40" s="666" t="s">
        <v>14</v>
      </c>
      <c r="W40" s="667">
        <f t="shared" si="14"/>
        <v>100</v>
      </c>
      <c r="X40" s="1260"/>
      <c r="Y40" s="3425"/>
      <c r="Z40" s="1259">
        <f t="shared" si="15"/>
        <v>111</v>
      </c>
      <c r="AA40" s="1259">
        <f t="shared" si="3"/>
        <v>1</v>
      </c>
      <c r="AB40" s="1259">
        <f t="shared" si="4"/>
        <v>1</v>
      </c>
      <c r="AC40" s="1259">
        <f t="shared" si="5"/>
        <v>1</v>
      </c>
    </row>
    <row r="41" spans="1:29" ht="14.4">
      <c r="A41" s="416" t="s">
        <v>1708</v>
      </c>
      <c r="B41" s="417"/>
      <c r="C41" s="1078" t="s">
        <v>0</v>
      </c>
      <c r="D41" s="418"/>
      <c r="E41" s="419"/>
      <c r="F41" s="420"/>
      <c r="G41" s="421"/>
      <c r="H41" s="422"/>
      <c r="I41" s="419"/>
      <c r="J41" s="422"/>
      <c r="K41" s="673"/>
      <c r="L41" s="871"/>
      <c r="M41" s="859"/>
      <c r="N41" s="859"/>
      <c r="O41" s="859"/>
      <c r="P41" s="3418" t="str">
        <f>A41</f>
        <v>成交单价（元/平方米）</v>
      </c>
      <c r="Q41" s="3418"/>
      <c r="R41" s="3413">
        <f>E41</f>
        <v>0</v>
      </c>
      <c r="S41" s="3413"/>
      <c r="T41" s="3413">
        <f>G41</f>
        <v>0</v>
      </c>
      <c r="U41" s="3413"/>
      <c r="V41" s="3413">
        <f>I41</f>
        <v>0</v>
      </c>
      <c r="W41" s="3413"/>
      <c r="X41" s="385"/>
      <c r="Y41" s="672"/>
      <c r="Z41" s="385"/>
      <c r="AA41" s="385"/>
      <c r="AB41" s="385"/>
      <c r="AC41" s="385"/>
    </row>
    <row r="42" spans="1:29" ht="15" thickBot="1">
      <c r="A42" s="423" t="s">
        <v>1793</v>
      </c>
      <c r="B42" s="424"/>
      <c r="C42" s="1079" t="e">
        <f>R43</f>
        <v>#DIV/0!</v>
      </c>
      <c r="D42" s="2136" t="s">
        <v>2133</v>
      </c>
      <c r="E42" s="1080" t="e">
        <f>R42</f>
        <v>#DIV/0!</v>
      </c>
      <c r="F42" s="2137"/>
      <c r="G42" s="1079" t="e">
        <f>T42</f>
        <v>#DIV/0!</v>
      </c>
      <c r="H42" s="2137"/>
      <c r="I42" s="1080" t="e">
        <f>V42</f>
        <v>#DIV/0!</v>
      </c>
      <c r="J42" s="2137"/>
      <c r="K42" s="2139">
        <f>F42+H42+J42</f>
        <v>0</v>
      </c>
      <c r="L42" s="871"/>
      <c r="M42" s="859"/>
      <c r="N42" s="859"/>
      <c r="O42" s="859"/>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1"/>
      <c r="M43" s="859"/>
      <c r="N43" s="859"/>
      <c r="O43" s="859"/>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0"/>
      <c r="B44" s="2480"/>
      <c r="C44" s="2480"/>
      <c r="D44" s="2480"/>
      <c r="E44" s="2480"/>
      <c r="F44" s="2480"/>
      <c r="G44" s="2491"/>
      <c r="H44" s="2480"/>
      <c r="I44" s="2480"/>
      <c r="J44" s="2480"/>
      <c r="K44" s="2492"/>
      <c r="L44" s="835"/>
      <c r="M44" s="859"/>
      <c r="N44" s="859"/>
      <c r="O44" s="859"/>
    </row>
    <row r="45" spans="1:29">
      <c r="A45" s="2480"/>
      <c r="B45" s="2480"/>
      <c r="C45" s="2480"/>
      <c r="D45" s="2480"/>
      <c r="E45" s="2480"/>
      <c r="F45" s="2480"/>
      <c r="G45" s="2480"/>
      <c r="H45" s="2480"/>
      <c r="I45" s="2480"/>
      <c r="J45" s="2480"/>
      <c r="K45" s="2492"/>
      <c r="L45" s="835"/>
      <c r="M45" s="859"/>
      <c r="N45" s="859"/>
      <c r="O45" s="859"/>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5"/>
      <c r="M46" s="859"/>
      <c r="N46" s="859"/>
      <c r="O46" s="859"/>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5"/>
      <c r="M47" s="859"/>
      <c r="N47" s="859"/>
      <c r="O47" s="859"/>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5"/>
      <c r="M50" s="859"/>
      <c r="N50" s="859"/>
      <c r="O50" s="859"/>
    </row>
    <row r="51" spans="1:17" ht="22.2" thickBot="1">
      <c r="A51" s="657" t="s">
        <v>1798</v>
      </c>
      <c r="B51" s="385"/>
      <c r="C51" s="658"/>
      <c r="D51" s="658"/>
      <c r="E51" s="658"/>
      <c r="F51" s="659"/>
      <c r="G51" s="659"/>
      <c r="H51" s="658"/>
      <c r="I51" s="658"/>
      <c r="J51" s="658"/>
      <c r="K51" s="885"/>
      <c r="L51" s="886"/>
      <c r="M51" s="884"/>
      <c r="N51" s="884"/>
      <c r="O51" s="884"/>
      <c r="P51" s="438"/>
      <c r="Q51" s="439"/>
    </row>
    <row r="52" spans="1:17" s="442" customFormat="1" ht="14.4">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1"/>
      <c r="O54" s="2532"/>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0"/>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3330</v>
      </c>
      <c r="C1" s="1138" t="s">
        <v>1662</v>
      </c>
      <c r="D1" s="1139"/>
      <c r="E1" s="3124"/>
      <c r="F1" s="1730"/>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5"/>
      <c r="AC3" s="662"/>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05" t="s">
        <v>1775</v>
      </c>
      <c r="Q4" s="3406"/>
      <c r="R4" s="3387" t="s">
        <v>1771</v>
      </c>
      <c r="S4" s="3388"/>
      <c r="T4" s="3387" t="s">
        <v>1772</v>
      </c>
      <c r="U4" s="3388"/>
      <c r="V4" s="3413" t="s">
        <v>1773</v>
      </c>
      <c r="W4" s="3413"/>
      <c r="X4" s="1260"/>
      <c r="Y4" s="3387" t="s">
        <v>1775</v>
      </c>
      <c r="Z4" s="3388"/>
      <c r="AA4" s="3382" t="s">
        <v>1771</v>
      </c>
      <c r="AB4" s="3383" t="s">
        <v>1772</v>
      </c>
      <c r="AC4" s="3382" t="s">
        <v>1773</v>
      </c>
    </row>
    <row r="5" spans="1:29">
      <c r="A5" s="348"/>
      <c r="B5" s="349"/>
      <c r="C5" s="3397" t="s">
        <v>1673</v>
      </c>
      <c r="D5" s="3394"/>
      <c r="E5" s="3391" t="s">
        <v>1674</v>
      </c>
      <c r="F5" s="3392"/>
      <c r="G5" s="3397" t="s">
        <v>1675</v>
      </c>
      <c r="H5" s="3394"/>
      <c r="I5" s="3397" t="s">
        <v>1676</v>
      </c>
      <c r="J5" s="3394"/>
      <c r="K5" s="537"/>
      <c r="L5" s="2479"/>
      <c r="M5" s="2480"/>
      <c r="N5" s="2480"/>
      <c r="O5" s="2480"/>
      <c r="P5" s="3407"/>
      <c r="Q5" s="3408"/>
      <c r="R5" s="3389"/>
      <c r="S5" s="3390"/>
      <c r="T5" s="3389"/>
      <c r="U5" s="3390"/>
      <c r="V5" s="3413"/>
      <c r="W5" s="3413"/>
      <c r="X5" s="1260"/>
      <c r="Y5" s="3389"/>
      <c r="Z5" s="3390"/>
      <c r="AA5" s="3383"/>
      <c r="AB5" s="3383"/>
      <c r="AC5" s="3383"/>
    </row>
    <row r="6" spans="1:29" ht="15" thickBot="1">
      <c r="A6" s="350"/>
      <c r="B6" s="351"/>
      <c r="C6" s="3395" t="s">
        <v>1677</v>
      </c>
      <c r="D6" s="3396"/>
      <c r="E6" s="3398" t="s">
        <v>1677</v>
      </c>
      <c r="F6" s="3399"/>
      <c r="G6" s="3395" t="s">
        <v>1677</v>
      </c>
      <c r="H6" s="3396"/>
      <c r="I6" s="3395" t="s">
        <v>1677</v>
      </c>
      <c r="J6" s="3396"/>
      <c r="K6" s="537" t="s">
        <v>1678</v>
      </c>
      <c r="L6" s="2479"/>
      <c r="M6" s="2480"/>
      <c r="N6" s="2480"/>
      <c r="O6" s="2480"/>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c r="F7" s="357">
        <f>SUMIF(48:48,YEAR(E7)&amp;"-"&amp;MONTH(E7),49:49)</f>
        <v>0</v>
      </c>
      <c r="G7" s="356"/>
      <c r="H7" s="355">
        <f>SUMIF(48:48,YEAR(G7)&amp;"-"&amp;MONTH(G7),49:49)</f>
        <v>0</v>
      </c>
      <c r="I7" s="356"/>
      <c r="J7" s="355">
        <f>SUMIF(48:48,YEAR(I7)&amp;"-"&amp;MONTH(I7),49:49)</f>
        <v>0</v>
      </c>
      <c r="K7" s="38"/>
      <c r="L7" s="2481"/>
      <c r="M7" s="2433"/>
      <c r="N7" s="2433"/>
      <c r="O7" s="2433"/>
      <c r="P7" s="3385" t="s">
        <v>1680</v>
      </c>
      <c r="Q7" s="3414"/>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385" t="s">
        <v>1683</v>
      </c>
      <c r="Q8" s="3386"/>
      <c r="R8" s="663" t="s">
        <v>14</v>
      </c>
      <c r="S8" s="664">
        <f t="shared" si="0"/>
        <v>100</v>
      </c>
      <c r="T8" s="663" t="s">
        <v>14</v>
      </c>
      <c r="U8" s="664">
        <f t="shared" si="1"/>
        <v>100</v>
      </c>
      <c r="V8" s="663" t="s">
        <v>14</v>
      </c>
      <c r="W8" s="664">
        <f t="shared" si="2"/>
        <v>100</v>
      </c>
      <c r="X8" s="665"/>
      <c r="Y8" s="3385" t="s">
        <v>1683</v>
      </c>
      <c r="Z8" s="338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418" t="s">
        <v>1686</v>
      </c>
      <c r="Q9" s="530" t="str">
        <f t="shared" ref="Q9:Q14" si="6">B9</f>
        <v>用途</v>
      </c>
      <c r="R9" s="663" t="s">
        <v>14</v>
      </c>
      <c r="S9" s="664">
        <f t="shared" si="0"/>
        <v>100</v>
      </c>
      <c r="T9" s="663" t="s">
        <v>14</v>
      </c>
      <c r="U9" s="664">
        <f t="shared" si="1"/>
        <v>100</v>
      </c>
      <c r="V9" s="663" t="s">
        <v>14</v>
      </c>
      <c r="W9" s="664">
        <f t="shared" si="2"/>
        <v>100</v>
      </c>
      <c r="X9" s="665"/>
      <c r="Y9" s="3329" t="s">
        <v>1687</v>
      </c>
      <c r="Z9" s="50" t="str">
        <f t="shared" ref="Z9:Z14" si="7">Q9</f>
        <v>用途</v>
      </c>
      <c r="AA9" s="50">
        <f t="shared" si="3"/>
        <v>1</v>
      </c>
      <c r="AB9" s="50">
        <f t="shared" si="4"/>
        <v>1</v>
      </c>
      <c r="AC9" s="50">
        <f t="shared" si="5"/>
        <v>1</v>
      </c>
    </row>
    <row r="10" spans="1:29" s="366" customFormat="1" ht="28.8">
      <c r="A10" s="565"/>
      <c r="B10" s="566"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18"/>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18"/>
      <c r="Q11" s="530">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18"/>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18"/>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96.6">
      <c r="A14" s="345" t="s">
        <v>1690</v>
      </c>
      <c r="B14" s="554" t="s">
        <v>1833</v>
      </c>
      <c r="C14" s="1814"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19" t="s">
        <v>1691</v>
      </c>
      <c r="Q14" s="1258" t="str">
        <f t="shared" si="6"/>
        <v>交通便捷度</v>
      </c>
      <c r="R14" s="666" t="s">
        <v>14</v>
      </c>
      <c r="S14" s="667">
        <f t="shared" si="0"/>
        <v>100</v>
      </c>
      <c r="T14" s="666" t="s">
        <v>14</v>
      </c>
      <c r="U14" s="667">
        <f t="shared" si="1"/>
        <v>100</v>
      </c>
      <c r="V14" s="666" t="s">
        <v>14</v>
      </c>
      <c r="W14" s="667">
        <f t="shared" si="2"/>
        <v>100</v>
      </c>
      <c r="X14" s="1260"/>
      <c r="Y14" s="3419"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5"/>
      <c r="M15" s="2480"/>
      <c r="N15" s="2480"/>
      <c r="O15" s="2480"/>
      <c r="P15" s="3420"/>
      <c r="Q15" s="1258"/>
      <c r="R15" s="666"/>
      <c r="S15" s="667"/>
      <c r="T15" s="666"/>
      <c r="U15" s="667"/>
      <c r="V15" s="666"/>
      <c r="W15" s="667"/>
      <c r="X15" s="1260"/>
      <c r="Y15" s="3420"/>
      <c r="Z15" s="1259"/>
      <c r="AA15" s="1259">
        <v>1</v>
      </c>
      <c r="AB15" s="1259">
        <v>1</v>
      </c>
      <c r="AC15" s="1259">
        <v>1</v>
      </c>
    </row>
    <row r="16" spans="1:29" ht="41.4">
      <c r="A16" s="348"/>
      <c r="B16" s="556" t="s">
        <v>1812</v>
      </c>
      <c r="C16" s="174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20"/>
      <c r="Q16" s="1258" t="str">
        <f>B16</f>
        <v>公共配套设施</v>
      </c>
      <c r="R16" s="666" t="s">
        <v>14</v>
      </c>
      <c r="S16" s="667">
        <f>F16</f>
        <v>100</v>
      </c>
      <c r="T16" s="666" t="s">
        <v>14</v>
      </c>
      <c r="U16" s="667">
        <f>H16</f>
        <v>100</v>
      </c>
      <c r="V16" s="666" t="s">
        <v>14</v>
      </c>
      <c r="W16" s="667">
        <f>J16</f>
        <v>100</v>
      </c>
      <c r="X16" s="1260"/>
      <c r="Y16" s="3420"/>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5"/>
      <c r="M17" s="2480"/>
      <c r="N17" s="2480"/>
      <c r="O17" s="2480"/>
      <c r="P17" s="3420"/>
      <c r="Q17" s="1258"/>
      <c r="R17" s="666"/>
      <c r="S17" s="667"/>
      <c r="T17" s="666"/>
      <c r="U17" s="667"/>
      <c r="V17" s="666"/>
      <c r="W17" s="667"/>
      <c r="X17" s="1260"/>
      <c r="Y17" s="3420"/>
      <c r="Z17" s="1259"/>
      <c r="AA17" s="1259">
        <v>1</v>
      </c>
      <c r="AB17" s="1259">
        <v>1</v>
      </c>
      <c r="AC17" s="1259">
        <v>1</v>
      </c>
    </row>
    <row r="18" spans="1:29" ht="41.4">
      <c r="A18" s="348"/>
      <c r="B18" s="557" t="s">
        <v>1813</v>
      </c>
      <c r="C18" s="174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20"/>
      <c r="Q18" s="1258" t="str">
        <f>B18</f>
        <v>基础设施水平</v>
      </c>
      <c r="R18" s="666" t="s">
        <v>14</v>
      </c>
      <c r="S18" s="667">
        <f>F18</f>
        <v>100</v>
      </c>
      <c r="T18" s="666" t="s">
        <v>14</v>
      </c>
      <c r="U18" s="667">
        <f>H18</f>
        <v>100</v>
      </c>
      <c r="V18" s="666" t="s">
        <v>14</v>
      </c>
      <c r="W18" s="667">
        <f>J18</f>
        <v>100</v>
      </c>
      <c r="X18" s="1260"/>
      <c r="Y18" s="3420"/>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1"/>
      <c r="L19" s="2485"/>
      <c r="M19" s="2480"/>
      <c r="N19" s="2480"/>
      <c r="O19" s="2480"/>
      <c r="P19" s="3420"/>
      <c r="Q19" s="1258"/>
      <c r="R19" s="666"/>
      <c r="S19" s="667"/>
      <c r="T19" s="666"/>
      <c r="U19" s="667"/>
      <c r="V19" s="666"/>
      <c r="W19" s="667"/>
      <c r="X19" s="1260"/>
      <c r="Y19" s="3420"/>
      <c r="Z19" s="1259"/>
      <c r="AA19" s="1259">
        <v>1</v>
      </c>
      <c r="AB19" s="1259">
        <v>1</v>
      </c>
      <c r="AC19" s="1259">
        <v>1</v>
      </c>
    </row>
    <row r="20" spans="1:29" ht="55.2">
      <c r="A20" s="348"/>
      <c r="B20" s="556" t="s">
        <v>1834</v>
      </c>
      <c r="C20" s="174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20"/>
      <c r="Q20" s="1258" t="str">
        <f>B20</f>
        <v>自然及人文环境</v>
      </c>
      <c r="R20" s="666" t="s">
        <v>14</v>
      </c>
      <c r="S20" s="667">
        <f>F20</f>
        <v>100</v>
      </c>
      <c r="T20" s="666" t="s">
        <v>14</v>
      </c>
      <c r="U20" s="667">
        <f>H20</f>
        <v>100</v>
      </c>
      <c r="V20" s="666" t="s">
        <v>14</v>
      </c>
      <c r="W20" s="667">
        <f>J20</f>
        <v>100</v>
      </c>
      <c r="X20" s="1260"/>
      <c r="Y20" s="3420"/>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5"/>
      <c r="M21" s="2480"/>
      <c r="N21" s="2480"/>
      <c r="O21" s="2480"/>
      <c r="P21" s="3420"/>
      <c r="Q21" s="1258"/>
      <c r="R21" s="666"/>
      <c r="S21" s="667"/>
      <c r="T21" s="666"/>
      <c r="U21" s="667"/>
      <c r="V21" s="666"/>
      <c r="W21" s="667"/>
      <c r="X21" s="1260"/>
      <c r="Y21" s="3420"/>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20"/>
      <c r="Q22" s="1258" t="str">
        <f>B22</f>
        <v>楼层</v>
      </c>
      <c r="R22" s="666" t="s">
        <v>14</v>
      </c>
      <c r="S22" s="667">
        <f>F22</f>
        <v>100</v>
      </c>
      <c r="T22" s="666" t="s">
        <v>14</v>
      </c>
      <c r="U22" s="667">
        <f>H22</f>
        <v>100</v>
      </c>
      <c r="V22" s="666" t="s">
        <v>14</v>
      </c>
      <c r="W22" s="667">
        <f>J22</f>
        <v>100</v>
      </c>
      <c r="X22" s="1260"/>
      <c r="Y22" s="3420"/>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20"/>
      <c r="Q23" s="1258">
        <f>B23</f>
        <v>111</v>
      </c>
      <c r="R23" s="666" t="s">
        <v>14</v>
      </c>
      <c r="S23" s="667">
        <f>F23</f>
        <v>100</v>
      </c>
      <c r="T23" s="666" t="s">
        <v>14</v>
      </c>
      <c r="U23" s="667">
        <f>H23</f>
        <v>100</v>
      </c>
      <c r="V23" s="666" t="s">
        <v>14</v>
      </c>
      <c r="W23" s="667">
        <f>J23</f>
        <v>100</v>
      </c>
      <c r="X23" s="1260"/>
      <c r="Y23" s="3420"/>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20"/>
      <c r="Q24" s="1258">
        <f t="shared" ref="Q24:Q36" si="11">B24</f>
        <v>111</v>
      </c>
      <c r="R24" s="666" t="s">
        <v>14</v>
      </c>
      <c r="S24" s="667">
        <f>F24</f>
        <v>100</v>
      </c>
      <c r="T24" s="666" t="s">
        <v>14</v>
      </c>
      <c r="U24" s="667">
        <f>H24</f>
        <v>100</v>
      </c>
      <c r="V24" s="666" t="s">
        <v>14</v>
      </c>
      <c r="W24" s="667">
        <f>J24</f>
        <v>100</v>
      </c>
      <c r="X24" s="1260"/>
      <c r="Y24" s="3420"/>
      <c r="Z24" s="1259">
        <f>Q24</f>
        <v>111</v>
      </c>
      <c r="AA24" s="1259">
        <f t="shared" si="3"/>
        <v>1</v>
      </c>
      <c r="AB24" s="1259">
        <f t="shared" si="4"/>
        <v>1</v>
      </c>
      <c r="AC24" s="1259">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420"/>
      <c r="Q25" s="530">
        <f t="shared" si="11"/>
        <v>111</v>
      </c>
      <c r="R25" s="663" t="s">
        <v>14</v>
      </c>
      <c r="S25" s="664">
        <f>F25</f>
        <v>100</v>
      </c>
      <c r="T25" s="663" t="s">
        <v>14</v>
      </c>
      <c r="U25" s="664">
        <f>H25</f>
        <v>100</v>
      </c>
      <c r="V25" s="663" t="s">
        <v>14</v>
      </c>
      <c r="W25" s="664">
        <f>J25</f>
        <v>100</v>
      </c>
      <c r="X25" s="665"/>
      <c r="Y25" s="3420"/>
      <c r="Z25" s="50">
        <f>Q25</f>
        <v>111</v>
      </c>
      <c r="AA25" s="1259">
        <f>D25/F25</f>
        <v>1</v>
      </c>
      <c r="AB25" s="1259">
        <f>D25/H25</f>
        <v>1</v>
      </c>
      <c r="AC25" s="1259">
        <f>D25/J25</f>
        <v>1</v>
      </c>
    </row>
    <row r="26" spans="1:29" ht="30">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43"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424"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24"/>
      <c r="Q27" s="531" t="str">
        <f t="shared" si="11"/>
        <v>项目停车位配比</v>
      </c>
      <c r="R27" s="668" t="s">
        <v>14</v>
      </c>
      <c r="S27" s="669">
        <f t="shared" si="12"/>
        <v>100</v>
      </c>
      <c r="T27" s="668" t="s">
        <v>14</v>
      </c>
      <c r="U27" s="669">
        <f t="shared" si="13"/>
        <v>100</v>
      </c>
      <c r="V27" s="668" t="s">
        <v>14</v>
      </c>
      <c r="W27" s="669">
        <f t="shared" si="14"/>
        <v>100</v>
      </c>
      <c r="X27" s="670"/>
      <c r="Y27" s="3424"/>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24"/>
      <c r="Q28" s="1258" t="str">
        <f t="shared" si="11"/>
        <v>公共部分装修</v>
      </c>
      <c r="R28" s="666" t="s">
        <v>14</v>
      </c>
      <c r="S28" s="667">
        <f t="shared" si="12"/>
        <v>100</v>
      </c>
      <c r="T28" s="666" t="s">
        <v>14</v>
      </c>
      <c r="U28" s="667">
        <f t="shared" si="13"/>
        <v>100</v>
      </c>
      <c r="V28" s="666" t="s">
        <v>14</v>
      </c>
      <c r="W28" s="667">
        <f t="shared" si="14"/>
        <v>100</v>
      </c>
      <c r="X28" s="1260"/>
      <c r="Y28" s="3424"/>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24"/>
      <c r="Q29" s="1258" t="str">
        <f t="shared" si="11"/>
        <v>成新率</v>
      </c>
      <c r="R29" s="666" t="s">
        <v>14</v>
      </c>
      <c r="S29" s="667" t="e">
        <f t="shared" si="12"/>
        <v>#N/A</v>
      </c>
      <c r="T29" s="666" t="s">
        <v>14</v>
      </c>
      <c r="U29" s="667" t="e">
        <f t="shared" si="13"/>
        <v>#N/A</v>
      </c>
      <c r="V29" s="666" t="s">
        <v>14</v>
      </c>
      <c r="W29" s="667" t="e">
        <f t="shared" si="14"/>
        <v>#N/A</v>
      </c>
      <c r="X29" s="1260"/>
      <c r="Y29" s="3424"/>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24"/>
      <c r="Q30" s="1258" t="str">
        <f t="shared" si="11"/>
        <v>物业等级</v>
      </c>
      <c r="R30" s="666" t="s">
        <v>14</v>
      </c>
      <c r="S30" s="667">
        <f t="shared" si="12"/>
        <v>100</v>
      </c>
      <c r="T30" s="666" t="s">
        <v>14</v>
      </c>
      <c r="U30" s="667">
        <f t="shared" si="13"/>
        <v>100</v>
      </c>
      <c r="V30" s="666" t="s">
        <v>14</v>
      </c>
      <c r="W30" s="667">
        <f t="shared" si="14"/>
        <v>100</v>
      </c>
      <c r="X30" s="1260"/>
      <c r="Y30" s="3424"/>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424"/>
      <c r="Q31" s="530" t="str">
        <f t="shared" si="11"/>
        <v>停车位面积</v>
      </c>
      <c r="R31" s="663" t="s">
        <v>14</v>
      </c>
      <c r="S31" s="664" t="e">
        <f t="shared" si="12"/>
        <v>#N/A</v>
      </c>
      <c r="T31" s="663" t="s">
        <v>14</v>
      </c>
      <c r="U31" s="664" t="e">
        <f t="shared" si="13"/>
        <v>#N/A</v>
      </c>
      <c r="V31" s="663" t="s">
        <v>14</v>
      </c>
      <c r="W31" s="664" t="e">
        <f t="shared" si="14"/>
        <v>#N/A</v>
      </c>
      <c r="X31" s="665"/>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24" t="s">
        <v>1696</v>
      </c>
      <c r="Q32" s="1258" t="str">
        <f t="shared" si="11"/>
        <v>车位类型</v>
      </c>
      <c r="R32" s="666" t="s">
        <v>14</v>
      </c>
      <c r="S32" s="667">
        <f t="shared" si="12"/>
        <v>100</v>
      </c>
      <c r="T32" s="666" t="s">
        <v>14</v>
      </c>
      <c r="U32" s="667">
        <f t="shared" si="13"/>
        <v>100</v>
      </c>
      <c r="V32" s="666" t="s">
        <v>14</v>
      </c>
      <c r="W32" s="667">
        <f t="shared" si="14"/>
        <v>100</v>
      </c>
      <c r="X32" s="1260"/>
      <c r="Y32" s="3424"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24"/>
      <c r="Q33" s="1258" t="str">
        <f t="shared" si="11"/>
        <v>是否直接入户</v>
      </c>
      <c r="R33" s="666" t="s">
        <v>14</v>
      </c>
      <c r="S33" s="667">
        <f t="shared" si="12"/>
        <v>100</v>
      </c>
      <c r="T33" s="666" t="s">
        <v>14</v>
      </c>
      <c r="U33" s="667">
        <f t="shared" si="13"/>
        <v>100</v>
      </c>
      <c r="V33" s="666" t="s">
        <v>14</v>
      </c>
      <c r="W33" s="667">
        <f t="shared" si="14"/>
        <v>100</v>
      </c>
      <c r="X33" s="1260"/>
      <c r="Y33" s="3424"/>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24"/>
      <c r="Q34" s="1258">
        <f t="shared" si="11"/>
        <v>111</v>
      </c>
      <c r="R34" s="666" t="s">
        <v>14</v>
      </c>
      <c r="S34" s="667">
        <f t="shared" si="12"/>
        <v>100</v>
      </c>
      <c r="T34" s="666" t="s">
        <v>14</v>
      </c>
      <c r="U34" s="667">
        <f t="shared" si="13"/>
        <v>100</v>
      </c>
      <c r="V34" s="666" t="s">
        <v>14</v>
      </c>
      <c r="W34" s="667">
        <f t="shared" si="14"/>
        <v>100</v>
      </c>
      <c r="X34" s="1260"/>
      <c r="Y34" s="3424"/>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24"/>
      <c r="Q35" s="531">
        <f t="shared" si="11"/>
        <v>111</v>
      </c>
      <c r="R35" s="668" t="s">
        <v>14</v>
      </c>
      <c r="S35" s="669">
        <f t="shared" si="12"/>
        <v>100</v>
      </c>
      <c r="T35" s="668" t="s">
        <v>14</v>
      </c>
      <c r="U35" s="669">
        <f t="shared" si="13"/>
        <v>100</v>
      </c>
      <c r="V35" s="668" t="s">
        <v>14</v>
      </c>
      <c r="W35" s="669">
        <f t="shared" si="14"/>
        <v>100</v>
      </c>
      <c r="X35" s="670"/>
      <c r="Y35" s="3424"/>
      <c r="Z35" s="671">
        <f t="shared" si="15"/>
        <v>111</v>
      </c>
      <c r="AA35" s="1259">
        <f t="shared" si="3"/>
        <v>1</v>
      </c>
      <c r="AB35" s="1259">
        <f t="shared" si="4"/>
        <v>1</v>
      </c>
      <c r="AC35" s="1259">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24"/>
      <c r="Q36" s="1258">
        <f t="shared" si="11"/>
        <v>111</v>
      </c>
      <c r="R36" s="666" t="s">
        <v>14</v>
      </c>
      <c r="S36" s="667">
        <f t="shared" si="12"/>
        <v>100</v>
      </c>
      <c r="T36" s="666" t="s">
        <v>14</v>
      </c>
      <c r="U36" s="667">
        <f t="shared" si="13"/>
        <v>100</v>
      </c>
      <c r="V36" s="666" t="s">
        <v>14</v>
      </c>
      <c r="W36" s="667">
        <f t="shared" si="14"/>
        <v>100</v>
      </c>
      <c r="X36" s="1260"/>
      <c r="Y36" s="3424"/>
      <c r="Z36" s="1259">
        <f t="shared" si="15"/>
        <v>111</v>
      </c>
      <c r="AA36" s="1259">
        <f t="shared" si="3"/>
        <v>1</v>
      </c>
      <c r="AB36" s="1259">
        <f t="shared" si="4"/>
        <v>1</v>
      </c>
      <c r="AC36" s="1259">
        <f t="shared" si="5"/>
        <v>1</v>
      </c>
    </row>
    <row r="37" spans="1:29" ht="14.4">
      <c r="A37" s="416" t="s">
        <v>1844</v>
      </c>
      <c r="B37" s="1816" t="s">
        <v>3351</v>
      </c>
      <c r="C37" s="1078" t="s">
        <v>0</v>
      </c>
      <c r="D37" s="418"/>
      <c r="E37" s="419"/>
      <c r="F37" s="420"/>
      <c r="G37" s="421"/>
      <c r="H37" s="422"/>
      <c r="I37" s="419"/>
      <c r="J37" s="422"/>
      <c r="K37" s="545"/>
      <c r="L37" s="2487"/>
      <c r="M37" s="2480"/>
      <c r="N37" s="2480"/>
      <c r="O37" s="2480"/>
      <c r="P37" s="3418" t="str">
        <f>A37</f>
        <v>成交单价</v>
      </c>
      <c r="Q37" s="3418"/>
      <c r="R37" s="3413">
        <f>E37</f>
        <v>0</v>
      </c>
      <c r="S37" s="3413"/>
      <c r="T37" s="3413">
        <f>G37</f>
        <v>0</v>
      </c>
      <c r="U37" s="3413"/>
      <c r="V37" s="3413">
        <f>I37</f>
        <v>0</v>
      </c>
      <c r="W37" s="3413"/>
      <c r="X37" s="385"/>
      <c r="Y37" s="672"/>
      <c r="Z37" s="385"/>
      <c r="AA37" s="385"/>
      <c r="AB37" s="385"/>
      <c r="AC37" s="385"/>
    </row>
    <row r="38" spans="1:29" ht="15" thickBot="1">
      <c r="A38" s="423" t="s">
        <v>1845</v>
      </c>
      <c r="B38" s="424" t="str">
        <f>B37</f>
        <v>元/平方米</v>
      </c>
      <c r="C38" s="1079" t="e">
        <f>R39</f>
        <v>#DIV/0!</v>
      </c>
      <c r="D38" s="2136" t="s">
        <v>2133</v>
      </c>
      <c r="E38" s="1080" t="e">
        <f>R38</f>
        <v>#DIV/0!</v>
      </c>
      <c r="F38" s="2137"/>
      <c r="G38" s="1079" t="e">
        <f>T38</f>
        <v>#DIV/0!</v>
      </c>
      <c r="H38" s="2137"/>
      <c r="I38" s="1080" t="e">
        <f>V38</f>
        <v>#DIV/0!</v>
      </c>
      <c r="J38" s="2137"/>
      <c r="K38" s="2139">
        <f>F38+H38+J38</f>
        <v>0</v>
      </c>
      <c r="L38" s="2487"/>
      <c r="M38" s="2480"/>
      <c r="N38" s="2480"/>
      <c r="O38" s="2480"/>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7"/>
      <c r="M39" s="2480"/>
      <c r="N39" s="2480"/>
      <c r="O39" s="2480"/>
      <c r="P39" s="3415" t="str">
        <f>A39</f>
        <v>估价对象XX用房的比较价值（楼面单价，元/平方米）</v>
      </c>
      <c r="Q39" s="3416"/>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4" t="s">
        <v>1850</v>
      </c>
      <c r="B47" s="859"/>
      <c r="C47" s="884"/>
      <c r="D47" s="884"/>
      <c r="E47" s="884"/>
      <c r="F47" s="1085"/>
      <c r="G47" s="1085"/>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0"/>
      <c r="Q48" s="2503"/>
      <c r="R48" s="2503"/>
      <c r="S48" s="2503"/>
      <c r="T48" s="2503"/>
      <c r="U48" s="2503"/>
      <c r="V48" s="2503"/>
      <c r="W48" s="2503"/>
      <c r="X48" s="2503"/>
      <c r="Y48" s="2503"/>
      <c r="Z48" s="2503"/>
      <c r="AA48" s="2503"/>
      <c r="AB48" s="2503"/>
      <c r="AC48" s="2503"/>
    </row>
    <row r="49" spans="1:29" s="102" customFormat="1">
      <c r="A49" s="443"/>
      <c r="B49" s="444"/>
      <c r="C49" s="1094">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1813</v>
      </c>
      <c r="C67" s="581" t="s">
        <v>1799</v>
      </c>
      <c r="D67" s="581" t="s">
        <v>1800</v>
      </c>
      <c r="E67" s="581" t="s">
        <v>1801</v>
      </c>
      <c r="F67" s="581" t="s">
        <v>1802</v>
      </c>
      <c r="G67" s="581" t="s">
        <v>1803</v>
      </c>
      <c r="H67" s="470"/>
      <c r="I67" s="470"/>
      <c r="J67" s="470"/>
      <c r="K67" s="470"/>
      <c r="L67" s="470"/>
      <c r="M67" s="1060"/>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3331</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05" t="s">
        <v>1775</v>
      </c>
      <c r="Q4" s="3406"/>
      <c r="R4" s="3387" t="s">
        <v>1771</v>
      </c>
      <c r="S4" s="3388"/>
      <c r="T4" s="3387" t="s">
        <v>1772</v>
      </c>
      <c r="U4" s="3388"/>
      <c r="V4" s="3413" t="s">
        <v>1773</v>
      </c>
      <c r="W4" s="3413"/>
      <c r="X4" s="1260"/>
      <c r="Y4" s="3387" t="s">
        <v>1775</v>
      </c>
      <c r="Z4" s="3388"/>
      <c r="AA4" s="3382" t="s">
        <v>1771</v>
      </c>
      <c r="AB4" s="3383" t="s">
        <v>1772</v>
      </c>
      <c r="AC4" s="3382" t="s">
        <v>1773</v>
      </c>
    </row>
    <row r="5" spans="1:29">
      <c r="A5" s="348"/>
      <c r="B5" s="349"/>
      <c r="C5" s="3397" t="s">
        <v>1673</v>
      </c>
      <c r="D5" s="3394"/>
      <c r="E5" s="3391" t="s">
        <v>1674</v>
      </c>
      <c r="F5" s="3392"/>
      <c r="G5" s="3397" t="s">
        <v>1675</v>
      </c>
      <c r="H5" s="3394"/>
      <c r="I5" s="3397" t="s">
        <v>1676</v>
      </c>
      <c r="J5" s="3394"/>
      <c r="K5" s="537"/>
      <c r="L5" s="2479"/>
      <c r="M5" s="2480"/>
      <c r="N5" s="2480"/>
      <c r="O5" s="2480"/>
      <c r="P5" s="3407"/>
      <c r="Q5" s="3408"/>
      <c r="R5" s="3389"/>
      <c r="S5" s="3390"/>
      <c r="T5" s="3389"/>
      <c r="U5" s="3390"/>
      <c r="V5" s="3413"/>
      <c r="W5" s="3413"/>
      <c r="X5" s="1260"/>
      <c r="Y5" s="3389"/>
      <c r="Z5" s="3390"/>
      <c r="AA5" s="3383"/>
      <c r="AB5" s="3383"/>
      <c r="AC5" s="3383"/>
    </row>
    <row r="6" spans="1:29" ht="15" thickBot="1">
      <c r="A6" s="350"/>
      <c r="B6" s="351"/>
      <c r="C6" s="3395" t="s">
        <v>1677</v>
      </c>
      <c r="D6" s="3396"/>
      <c r="E6" s="3398" t="s">
        <v>1677</v>
      </c>
      <c r="F6" s="3399"/>
      <c r="G6" s="3395" t="s">
        <v>1677</v>
      </c>
      <c r="H6" s="3396"/>
      <c r="I6" s="3395" t="s">
        <v>1677</v>
      </c>
      <c r="J6" s="3396"/>
      <c r="K6" s="537" t="s">
        <v>1678</v>
      </c>
      <c r="L6" s="2479"/>
      <c r="M6" s="2480"/>
      <c r="N6" s="2480"/>
      <c r="O6" s="2480"/>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c r="F7" s="357">
        <f>SUMIF(46:46,YEAR(E7)&amp;"-"&amp;MONTH(E7),47:47)</f>
        <v>0</v>
      </c>
      <c r="G7" s="1817"/>
      <c r="H7" s="355">
        <f>SUMIF(46:46,YEAR(G7)&amp;"-"&amp;MONTH(G7),47:47)</f>
        <v>0</v>
      </c>
      <c r="I7" s="356"/>
      <c r="J7" s="355">
        <f>SUMIF(46:46,YEAR(I7)&amp;"-"&amp;MONTH(I7),47:47)</f>
        <v>0</v>
      </c>
      <c r="K7" s="38"/>
      <c r="L7" s="2481"/>
      <c r="M7" s="2433"/>
      <c r="N7" s="2433"/>
      <c r="O7" s="2433"/>
      <c r="P7" s="3385" t="s">
        <v>1680</v>
      </c>
      <c r="Q7" s="3414"/>
      <c r="R7" s="663" t="s">
        <v>14</v>
      </c>
      <c r="S7" s="664">
        <f t="shared" ref="S7:S14" si="0">F7</f>
        <v>0</v>
      </c>
      <c r="T7" s="663" t="s">
        <v>14</v>
      </c>
      <c r="U7" s="664">
        <f t="shared" ref="U7:U14" si="1">H7</f>
        <v>0</v>
      </c>
      <c r="V7" s="663" t="s">
        <v>14</v>
      </c>
      <c r="W7" s="664">
        <f t="shared" ref="W7:W14" si="2">J7</f>
        <v>0</v>
      </c>
      <c r="X7" s="665"/>
      <c r="Y7" s="3385" t="s">
        <v>1680</v>
      </c>
      <c r="Z7" s="338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85" t="s">
        <v>1683</v>
      </c>
      <c r="Q8" s="3386"/>
      <c r="R8" s="663" t="s">
        <v>14</v>
      </c>
      <c r="S8" s="664">
        <f t="shared" si="0"/>
        <v>100</v>
      </c>
      <c r="T8" s="663" t="s">
        <v>14</v>
      </c>
      <c r="U8" s="664">
        <f t="shared" si="1"/>
        <v>100</v>
      </c>
      <c r="V8" s="663" t="s">
        <v>14</v>
      </c>
      <c r="W8" s="664">
        <f t="shared" si="2"/>
        <v>100</v>
      </c>
      <c r="X8" s="665"/>
      <c r="Y8" s="3385" t="s">
        <v>1683</v>
      </c>
      <c r="Z8" s="338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18" t="s">
        <v>1686</v>
      </c>
      <c r="Q9" s="530" t="str">
        <f t="shared" ref="Q9:Q14" si="6">B9</f>
        <v>用途</v>
      </c>
      <c r="R9" s="663" t="s">
        <v>14</v>
      </c>
      <c r="S9" s="664">
        <f t="shared" si="0"/>
        <v>100</v>
      </c>
      <c r="T9" s="663" t="s">
        <v>14</v>
      </c>
      <c r="U9" s="664">
        <f t="shared" si="1"/>
        <v>100</v>
      </c>
      <c r="V9" s="663" t="s">
        <v>14</v>
      </c>
      <c r="W9" s="664">
        <f t="shared" si="2"/>
        <v>100</v>
      </c>
      <c r="X9" s="665"/>
      <c r="Y9" s="3329"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18"/>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18"/>
      <c r="Q11" s="530">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18"/>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5"/>
      <c r="M13" s="2480"/>
      <c r="N13" s="2480"/>
      <c r="O13" s="2535"/>
      <c r="P13" s="3418"/>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96.6">
      <c r="A14" s="379" t="s">
        <v>1690</v>
      </c>
      <c r="B14" s="58" t="s">
        <v>1833</v>
      </c>
      <c r="C14" s="1814"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19" t="s">
        <v>1691</v>
      </c>
      <c r="Q14" s="1258" t="str">
        <f t="shared" si="6"/>
        <v>交通便捷度</v>
      </c>
      <c r="R14" s="666" t="s">
        <v>14</v>
      </c>
      <c r="S14" s="667">
        <f t="shared" si="0"/>
        <v>100</v>
      </c>
      <c r="T14" s="666" t="s">
        <v>14</v>
      </c>
      <c r="U14" s="667">
        <f t="shared" si="1"/>
        <v>100</v>
      </c>
      <c r="V14" s="666" t="s">
        <v>14</v>
      </c>
      <c r="W14" s="667">
        <f t="shared" si="2"/>
        <v>100</v>
      </c>
      <c r="X14" s="1260"/>
      <c r="Y14" s="3419"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5"/>
      <c r="M15" s="2480"/>
      <c r="N15" s="2480"/>
      <c r="O15" s="2535"/>
      <c r="P15" s="3420"/>
      <c r="Q15" s="1258"/>
      <c r="R15" s="666"/>
      <c r="S15" s="667"/>
      <c r="T15" s="666"/>
      <c r="U15" s="667"/>
      <c r="V15" s="666"/>
      <c r="W15" s="667"/>
      <c r="X15" s="1260"/>
      <c r="Y15" s="3420"/>
      <c r="Z15" s="1259"/>
      <c r="AA15" s="1259">
        <v>1</v>
      </c>
      <c r="AB15" s="1259">
        <v>1</v>
      </c>
      <c r="AC15" s="1259">
        <v>1</v>
      </c>
    </row>
    <row r="16" spans="1:29" ht="41.4">
      <c r="A16" s="367"/>
      <c r="B16" s="390" t="s">
        <v>1812</v>
      </c>
      <c r="C16" s="174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20"/>
      <c r="Q16" s="1258" t="str">
        <f>B16</f>
        <v>公共配套设施</v>
      </c>
      <c r="R16" s="666" t="s">
        <v>14</v>
      </c>
      <c r="S16" s="667">
        <f>F16</f>
        <v>100</v>
      </c>
      <c r="T16" s="666" t="s">
        <v>14</v>
      </c>
      <c r="U16" s="667">
        <f>H16</f>
        <v>100</v>
      </c>
      <c r="V16" s="666" t="s">
        <v>14</v>
      </c>
      <c r="W16" s="667">
        <f>J16</f>
        <v>100</v>
      </c>
      <c r="X16" s="1260"/>
      <c r="Y16" s="3420"/>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5"/>
      <c r="M17" s="2480"/>
      <c r="N17" s="2480"/>
      <c r="O17" s="2535"/>
      <c r="P17" s="3420"/>
      <c r="Q17" s="1258"/>
      <c r="R17" s="666"/>
      <c r="S17" s="667"/>
      <c r="T17" s="666"/>
      <c r="U17" s="667"/>
      <c r="V17" s="666"/>
      <c r="W17" s="667"/>
      <c r="X17" s="1260"/>
      <c r="Y17" s="3420"/>
      <c r="Z17" s="1259"/>
      <c r="AA17" s="1259">
        <v>1</v>
      </c>
      <c r="AB17" s="1259">
        <v>1</v>
      </c>
      <c r="AC17" s="1259">
        <v>1</v>
      </c>
    </row>
    <row r="18" spans="1:29" ht="41.4">
      <c r="A18" s="367"/>
      <c r="B18" s="586" t="s">
        <v>1813</v>
      </c>
      <c r="C18" s="174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20"/>
      <c r="Q18" s="1258" t="str">
        <f>B18</f>
        <v>基础设施水平</v>
      </c>
      <c r="R18" s="666" t="s">
        <v>14</v>
      </c>
      <c r="S18" s="667">
        <f>F18</f>
        <v>100</v>
      </c>
      <c r="T18" s="666" t="s">
        <v>14</v>
      </c>
      <c r="U18" s="667">
        <f>H18</f>
        <v>100</v>
      </c>
      <c r="V18" s="666" t="s">
        <v>14</v>
      </c>
      <c r="W18" s="667">
        <f>J18</f>
        <v>100</v>
      </c>
      <c r="X18" s="1260"/>
      <c r="Y18" s="3420"/>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1"/>
      <c r="L19" s="2485"/>
      <c r="M19" s="2480"/>
      <c r="N19" s="2480"/>
      <c r="O19" s="2535"/>
      <c r="P19" s="3420"/>
      <c r="Q19" s="1258"/>
      <c r="R19" s="666"/>
      <c r="S19" s="667"/>
      <c r="T19" s="666"/>
      <c r="U19" s="667"/>
      <c r="V19" s="666"/>
      <c r="W19" s="667"/>
      <c r="X19" s="1260"/>
      <c r="Y19" s="3420"/>
      <c r="Z19" s="1259"/>
      <c r="AA19" s="1259">
        <v>1</v>
      </c>
      <c r="AB19" s="1259">
        <v>1</v>
      </c>
      <c r="AC19" s="1259">
        <v>1</v>
      </c>
    </row>
    <row r="20" spans="1:29" ht="55.2">
      <c r="A20" s="367"/>
      <c r="B20" s="390" t="s">
        <v>1834</v>
      </c>
      <c r="C20" s="174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20"/>
      <c r="Q20" s="1258" t="str">
        <f>B20</f>
        <v>自然及人文环境</v>
      </c>
      <c r="R20" s="666" t="s">
        <v>14</v>
      </c>
      <c r="S20" s="667">
        <f>F20</f>
        <v>100</v>
      </c>
      <c r="T20" s="666" t="s">
        <v>14</v>
      </c>
      <c r="U20" s="667">
        <f>H20</f>
        <v>100</v>
      </c>
      <c r="V20" s="666" t="s">
        <v>14</v>
      </c>
      <c r="W20" s="667">
        <f>J20</f>
        <v>100</v>
      </c>
      <c r="X20" s="1260"/>
      <c r="Y20" s="3420"/>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5"/>
      <c r="M21" s="2480"/>
      <c r="N21" s="2480"/>
      <c r="O21" s="2535"/>
      <c r="P21" s="3420"/>
      <c r="Q21" s="1258"/>
      <c r="R21" s="666"/>
      <c r="S21" s="667"/>
      <c r="T21" s="666"/>
      <c r="U21" s="667"/>
      <c r="V21" s="666"/>
      <c r="W21" s="667"/>
      <c r="X21" s="1260"/>
      <c r="Y21" s="3420"/>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20"/>
      <c r="Q22" s="1258" t="str">
        <f>B22</f>
        <v>楼层</v>
      </c>
      <c r="R22" s="666" t="s">
        <v>14</v>
      </c>
      <c r="S22" s="667">
        <f>F22</f>
        <v>100</v>
      </c>
      <c r="T22" s="666" t="s">
        <v>14</v>
      </c>
      <c r="U22" s="667">
        <f>H22</f>
        <v>100</v>
      </c>
      <c r="V22" s="666" t="s">
        <v>14</v>
      </c>
      <c r="W22" s="667">
        <f>J22</f>
        <v>100</v>
      </c>
      <c r="X22" s="1260"/>
      <c r="Y22" s="3420"/>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20"/>
      <c r="Q23" s="1258">
        <f>B23</f>
        <v>111</v>
      </c>
      <c r="R23" s="666" t="s">
        <v>14</v>
      </c>
      <c r="S23" s="667">
        <f>F23</f>
        <v>100</v>
      </c>
      <c r="T23" s="666" t="s">
        <v>14</v>
      </c>
      <c r="U23" s="667">
        <f>H23</f>
        <v>100</v>
      </c>
      <c r="V23" s="666" t="s">
        <v>14</v>
      </c>
      <c r="W23" s="667">
        <f>J23</f>
        <v>100</v>
      </c>
      <c r="X23" s="1260"/>
      <c r="Y23" s="3420"/>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20"/>
      <c r="Q24" s="1258">
        <f t="shared" ref="Q24:Q34" si="11">B24</f>
        <v>111</v>
      </c>
      <c r="R24" s="666" t="s">
        <v>14</v>
      </c>
      <c r="S24" s="667">
        <f>F24</f>
        <v>100</v>
      </c>
      <c r="T24" s="666" t="s">
        <v>14</v>
      </c>
      <c r="U24" s="667">
        <f>H24</f>
        <v>100</v>
      </c>
      <c r="V24" s="666" t="s">
        <v>14</v>
      </c>
      <c r="W24" s="667">
        <f>J24</f>
        <v>100</v>
      </c>
      <c r="X24" s="1260"/>
      <c r="Y24" s="3420"/>
      <c r="Z24" s="1259">
        <f>Q24</f>
        <v>111</v>
      </c>
      <c r="AA24" s="1259">
        <f t="shared" si="3"/>
        <v>1</v>
      </c>
      <c r="AB24" s="1259">
        <f t="shared" si="4"/>
        <v>1</v>
      </c>
      <c r="AC24" s="1259">
        <f t="shared" si="5"/>
        <v>1</v>
      </c>
    </row>
    <row r="25" spans="1:29" s="102" customFormat="1" ht="15.6"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1"/>
      <c r="M25" s="2433"/>
      <c r="N25" s="2433"/>
      <c r="O25" s="2533"/>
      <c r="P25" s="3420"/>
      <c r="Q25" s="530">
        <f t="shared" si="11"/>
        <v>111</v>
      </c>
      <c r="R25" s="663" t="s">
        <v>14</v>
      </c>
      <c r="S25" s="664">
        <f>F25</f>
        <v>100</v>
      </c>
      <c r="T25" s="663" t="s">
        <v>14</v>
      </c>
      <c r="U25" s="664">
        <f>H25</f>
        <v>100</v>
      </c>
      <c r="V25" s="663" t="s">
        <v>14</v>
      </c>
      <c r="W25" s="664">
        <f>J25</f>
        <v>100</v>
      </c>
      <c r="X25" s="665"/>
      <c r="Y25" s="3420"/>
      <c r="Z25" s="50">
        <f>Q25</f>
        <v>111</v>
      </c>
      <c r="AA25" s="1259">
        <f>D25/F25</f>
        <v>1</v>
      </c>
      <c r="AB25" s="1259">
        <f>D25/H25</f>
        <v>1</v>
      </c>
      <c r="AC25" s="1259">
        <f>D25/J25</f>
        <v>1</v>
      </c>
    </row>
    <row r="26" spans="1:29" ht="30">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5"/>
      <c r="M26" s="2480"/>
      <c r="N26" s="2480"/>
      <c r="O26" s="2535"/>
      <c r="P26" s="3443"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424"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24"/>
      <c r="Q27" s="531" t="str">
        <f t="shared" si="11"/>
        <v>成新率</v>
      </c>
      <c r="R27" s="668" t="s">
        <v>14</v>
      </c>
      <c r="S27" s="669" t="e">
        <f t="shared" si="12"/>
        <v>#N/A</v>
      </c>
      <c r="T27" s="668" t="s">
        <v>14</v>
      </c>
      <c r="U27" s="669" t="e">
        <f t="shared" si="13"/>
        <v>#N/A</v>
      </c>
      <c r="V27" s="668" t="s">
        <v>14</v>
      </c>
      <c r="W27" s="669" t="e">
        <f t="shared" si="14"/>
        <v>#N/A</v>
      </c>
      <c r="X27" s="670"/>
      <c r="Y27" s="3424"/>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24"/>
      <c r="Q28" s="1258" t="str">
        <f t="shared" si="11"/>
        <v>物业等级</v>
      </c>
      <c r="R28" s="666" t="s">
        <v>14</v>
      </c>
      <c r="S28" s="667">
        <f t="shared" si="12"/>
        <v>100</v>
      </c>
      <c r="T28" s="666" t="s">
        <v>14</v>
      </c>
      <c r="U28" s="667">
        <f t="shared" si="13"/>
        <v>100</v>
      </c>
      <c r="V28" s="666" t="s">
        <v>14</v>
      </c>
      <c r="W28" s="667">
        <f t="shared" si="14"/>
        <v>100</v>
      </c>
      <c r="X28" s="1260"/>
      <c r="Y28" s="3424"/>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24"/>
      <c r="Q29" s="1258" t="str">
        <f t="shared" si="11"/>
        <v>有无电梯</v>
      </c>
      <c r="R29" s="666" t="s">
        <v>14</v>
      </c>
      <c r="S29" s="667">
        <f t="shared" si="12"/>
        <v>100</v>
      </c>
      <c r="T29" s="666" t="s">
        <v>14</v>
      </c>
      <c r="U29" s="667">
        <f t="shared" si="13"/>
        <v>100</v>
      </c>
      <c r="V29" s="666" t="s">
        <v>14</v>
      </c>
      <c r="W29" s="667">
        <f t="shared" si="14"/>
        <v>100</v>
      </c>
      <c r="X29" s="1260"/>
      <c r="Y29" s="3424"/>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24"/>
      <c r="Q30" s="1258" t="str">
        <f t="shared" si="11"/>
        <v>建筑面积</v>
      </c>
      <c r="R30" s="666" t="s">
        <v>14</v>
      </c>
      <c r="S30" s="667" t="e">
        <f t="shared" si="12"/>
        <v>#N/A</v>
      </c>
      <c r="T30" s="666" t="s">
        <v>14</v>
      </c>
      <c r="U30" s="667" t="e">
        <f t="shared" si="13"/>
        <v>#N/A</v>
      </c>
      <c r="V30" s="666" t="s">
        <v>14</v>
      </c>
      <c r="W30" s="667" t="e">
        <f t="shared" si="14"/>
        <v>#N/A</v>
      </c>
      <c r="X30" s="1260"/>
      <c r="Y30" s="3424"/>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424"/>
      <c r="Q31" s="530" t="str">
        <f t="shared" si="11"/>
        <v>是否封闭</v>
      </c>
      <c r="R31" s="663" t="s">
        <v>14</v>
      </c>
      <c r="S31" s="664">
        <f t="shared" si="12"/>
        <v>100</v>
      </c>
      <c r="T31" s="663" t="s">
        <v>14</v>
      </c>
      <c r="U31" s="664">
        <f t="shared" si="13"/>
        <v>100</v>
      </c>
      <c r="V31" s="663" t="s">
        <v>14</v>
      </c>
      <c r="W31" s="664">
        <f t="shared" si="14"/>
        <v>100</v>
      </c>
      <c r="X31" s="665"/>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24" t="s">
        <v>1696</v>
      </c>
      <c r="Q32" s="1258">
        <f t="shared" si="11"/>
        <v>111</v>
      </c>
      <c r="R32" s="666" t="s">
        <v>14</v>
      </c>
      <c r="S32" s="667">
        <f t="shared" si="12"/>
        <v>100</v>
      </c>
      <c r="T32" s="666" t="s">
        <v>14</v>
      </c>
      <c r="U32" s="667">
        <f t="shared" si="13"/>
        <v>100</v>
      </c>
      <c r="V32" s="666" t="s">
        <v>14</v>
      </c>
      <c r="W32" s="667">
        <f t="shared" si="14"/>
        <v>100</v>
      </c>
      <c r="X32" s="1260"/>
      <c r="Y32" s="3424"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24"/>
      <c r="Q33" s="1258">
        <f t="shared" si="11"/>
        <v>111</v>
      </c>
      <c r="R33" s="666" t="s">
        <v>14</v>
      </c>
      <c r="S33" s="667">
        <f t="shared" si="12"/>
        <v>100</v>
      </c>
      <c r="T33" s="666" t="s">
        <v>14</v>
      </c>
      <c r="U33" s="667">
        <f t="shared" si="13"/>
        <v>100</v>
      </c>
      <c r="V33" s="666" t="s">
        <v>14</v>
      </c>
      <c r="W33" s="667">
        <f t="shared" si="14"/>
        <v>100</v>
      </c>
      <c r="X33" s="1260"/>
      <c r="Y33" s="3424"/>
      <c r="Z33" s="1259">
        <f t="shared" si="15"/>
        <v>111</v>
      </c>
      <c r="AA33" s="1259">
        <f t="shared" si="3"/>
        <v>1</v>
      </c>
      <c r="AB33" s="1259">
        <f t="shared" si="4"/>
        <v>1</v>
      </c>
      <c r="AC33" s="1259">
        <f t="shared" si="5"/>
        <v>1</v>
      </c>
    </row>
    <row r="34" spans="1:30" ht="15.6"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5"/>
      <c r="M34" s="2480"/>
      <c r="N34" s="2480"/>
      <c r="O34" s="2535"/>
      <c r="P34" s="3424"/>
      <c r="Q34" s="1258">
        <f t="shared" si="11"/>
        <v>111</v>
      </c>
      <c r="R34" s="666" t="s">
        <v>14</v>
      </c>
      <c r="S34" s="667">
        <f t="shared" si="12"/>
        <v>100</v>
      </c>
      <c r="T34" s="666" t="s">
        <v>14</v>
      </c>
      <c r="U34" s="667">
        <f t="shared" si="13"/>
        <v>100</v>
      </c>
      <c r="V34" s="666" t="s">
        <v>14</v>
      </c>
      <c r="W34" s="667">
        <f t="shared" si="14"/>
        <v>100</v>
      </c>
      <c r="X34" s="1260"/>
      <c r="Y34" s="3424"/>
      <c r="Z34" s="1259">
        <f t="shared" si="15"/>
        <v>111</v>
      </c>
      <c r="AA34" s="1259">
        <f t="shared" si="3"/>
        <v>1</v>
      </c>
      <c r="AB34" s="1259">
        <f t="shared" si="4"/>
        <v>1</v>
      </c>
      <c r="AC34" s="1259">
        <f t="shared" si="5"/>
        <v>1</v>
      </c>
    </row>
    <row r="35" spans="1:30" ht="14.4">
      <c r="A35" s="416" t="s">
        <v>1708</v>
      </c>
      <c r="B35" s="417"/>
      <c r="C35" s="1078" t="s">
        <v>0</v>
      </c>
      <c r="D35" s="418"/>
      <c r="E35" s="419"/>
      <c r="F35" s="420"/>
      <c r="G35" s="421"/>
      <c r="H35" s="422"/>
      <c r="I35" s="419"/>
      <c r="J35" s="422"/>
      <c r="K35" s="673"/>
      <c r="L35" s="2487"/>
      <c r="M35" s="2480"/>
      <c r="N35" s="2480"/>
      <c r="O35" s="2480"/>
      <c r="P35" s="3418" t="str">
        <f>A35</f>
        <v>成交单价（元/平方米）</v>
      </c>
      <c r="Q35" s="3418"/>
      <c r="R35" s="3413">
        <f>E35</f>
        <v>0</v>
      </c>
      <c r="S35" s="3413"/>
      <c r="T35" s="3413">
        <f>G35</f>
        <v>0</v>
      </c>
      <c r="U35" s="3413"/>
      <c r="V35" s="3413">
        <f>I35</f>
        <v>0</v>
      </c>
      <c r="W35" s="3413"/>
      <c r="X35" s="385"/>
      <c r="Y35" s="672"/>
      <c r="Z35" s="385"/>
      <c r="AA35" s="385"/>
      <c r="AB35" s="385"/>
      <c r="AC35" s="385"/>
    </row>
    <row r="36" spans="1:30" ht="15" thickBot="1">
      <c r="A36" s="423" t="s">
        <v>1793</v>
      </c>
      <c r="B36" s="424"/>
      <c r="C36" s="1079" t="e">
        <f>R37</f>
        <v>#DIV/0!</v>
      </c>
      <c r="D36" s="2136" t="s">
        <v>2133</v>
      </c>
      <c r="E36" s="1080" t="e">
        <f>R36</f>
        <v>#DIV/0!</v>
      </c>
      <c r="F36" s="2137"/>
      <c r="G36" s="1079" t="e">
        <f>T36</f>
        <v>#DIV/0!</v>
      </c>
      <c r="H36" s="2137"/>
      <c r="I36" s="1080" t="e">
        <f>V36</f>
        <v>#DIV/0!</v>
      </c>
      <c r="J36" s="2137"/>
      <c r="K36" s="2139">
        <f>F36+H36+J36</f>
        <v>0</v>
      </c>
      <c r="L36" s="2487"/>
      <c r="M36" s="2480"/>
      <c r="N36" s="2480"/>
      <c r="O36" s="2480"/>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87"/>
      <c r="M37" s="2480"/>
      <c r="N37" s="2480"/>
      <c r="O37" s="2480"/>
      <c r="P37" s="3415" t="str">
        <f>A37</f>
        <v>估价对象XX用房的比较价值（楼面单价，元/平方米）</v>
      </c>
      <c r="Q37" s="3416"/>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7" t="s">
        <v>1798</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3"/>
      <c r="Q46" s="2503"/>
      <c r="R46" s="2503"/>
      <c r="S46" s="2503"/>
      <c r="T46" s="2503"/>
      <c r="U46" s="2503"/>
      <c r="V46" s="2503"/>
      <c r="W46" s="2503"/>
      <c r="X46" s="2503"/>
      <c r="Y46" s="2503"/>
      <c r="Z46" s="2503"/>
      <c r="AA46" s="2503"/>
      <c r="AB46" s="2503"/>
      <c r="AC46" s="2503"/>
      <c r="AD46" s="2503"/>
    </row>
    <row r="47" spans="1:30" s="102" customFormat="1">
      <c r="A47" s="443"/>
      <c r="B47" s="444"/>
      <c r="C47" s="1099">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1813</v>
      </c>
      <c r="C65" s="581" t="s">
        <v>1799</v>
      </c>
      <c r="D65" s="581" t="s">
        <v>1800</v>
      </c>
      <c r="E65" s="581" t="s">
        <v>1801</v>
      </c>
      <c r="F65" s="581" t="s">
        <v>1802</v>
      </c>
      <c r="G65" s="581" t="s">
        <v>1803</v>
      </c>
      <c r="H65" s="470"/>
      <c r="I65" s="470"/>
      <c r="J65" s="470"/>
      <c r="K65" s="470"/>
      <c r="L65" s="470"/>
      <c r="M65" s="1060"/>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05" t="s">
        <v>1775</v>
      </c>
      <c r="Q4" s="3406"/>
      <c r="R4" s="3387" t="s">
        <v>1771</v>
      </c>
      <c r="S4" s="3388"/>
      <c r="T4" s="3387" t="s">
        <v>1772</v>
      </c>
      <c r="U4" s="3388"/>
      <c r="V4" s="3413" t="s">
        <v>1773</v>
      </c>
      <c r="W4" s="3413"/>
      <c r="X4" s="1260"/>
      <c r="Y4" s="3387" t="s">
        <v>1775</v>
      </c>
      <c r="Z4" s="3388"/>
      <c r="AA4" s="3382" t="s">
        <v>1771</v>
      </c>
      <c r="AB4" s="3383" t="s">
        <v>1772</v>
      </c>
      <c r="AC4" s="3382" t="s">
        <v>1773</v>
      </c>
    </row>
    <row r="5" spans="1:29">
      <c r="A5" s="348"/>
      <c r="B5" s="349"/>
      <c r="C5" s="3397" t="s">
        <v>1673</v>
      </c>
      <c r="D5" s="3394"/>
      <c r="E5" s="3391" t="s">
        <v>1674</v>
      </c>
      <c r="F5" s="3392"/>
      <c r="G5" s="3397" t="s">
        <v>1675</v>
      </c>
      <c r="H5" s="3394"/>
      <c r="I5" s="3397" t="s">
        <v>1676</v>
      </c>
      <c r="J5" s="3394"/>
      <c r="K5" s="537"/>
      <c r="L5" s="2479"/>
      <c r="M5" s="2480"/>
      <c r="N5" s="2480"/>
      <c r="O5" s="2480"/>
      <c r="P5" s="3407"/>
      <c r="Q5" s="3408"/>
      <c r="R5" s="3389"/>
      <c r="S5" s="3390"/>
      <c r="T5" s="3389"/>
      <c r="U5" s="3390"/>
      <c r="V5" s="3413"/>
      <c r="W5" s="3413"/>
      <c r="X5" s="1260"/>
      <c r="Y5" s="3389"/>
      <c r="Z5" s="3390"/>
      <c r="AA5" s="3383"/>
      <c r="AB5" s="3383"/>
      <c r="AC5" s="3383"/>
    </row>
    <row r="6" spans="1:29" ht="15" thickBot="1">
      <c r="A6" s="350"/>
      <c r="B6" s="351"/>
      <c r="C6" s="3448" t="s">
        <v>1919</v>
      </c>
      <c r="D6" s="3449"/>
      <c r="E6" s="3450" t="s">
        <v>1919</v>
      </c>
      <c r="F6" s="3451"/>
      <c r="G6" s="3448" t="s">
        <v>1919</v>
      </c>
      <c r="H6" s="3449"/>
      <c r="I6" s="3448" t="s">
        <v>1919</v>
      </c>
      <c r="J6" s="3449"/>
      <c r="K6" s="537" t="s">
        <v>1678</v>
      </c>
      <c r="L6" s="2479"/>
      <c r="M6" s="2480"/>
      <c r="N6" s="2480"/>
      <c r="O6" s="2480"/>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c r="F7" s="357">
        <f>SUMIF(65:65,YEAR(E7)&amp;"-"&amp;INT((MONTH(E7)+2)/3),66:66)</f>
        <v>0</v>
      </c>
      <c r="G7" s="1817"/>
      <c r="H7" s="355">
        <f>SUMIF(65:65,YEAR(G7)&amp;"-"&amp;INT((MONTH(G7)+2)/3),66:66)</f>
        <v>0</v>
      </c>
      <c r="I7" s="1817"/>
      <c r="J7" s="355">
        <f>SUMIF(65:65,YEAR(I7)&amp;"-"&amp;INT((MONTH(I7)+2)/3),66:66)</f>
        <v>0</v>
      </c>
      <c r="K7" s="38"/>
      <c r="L7" s="2481"/>
      <c r="M7" s="2433"/>
      <c r="N7" s="2433"/>
      <c r="O7" s="2433"/>
      <c r="P7" s="3385" t="s">
        <v>1680</v>
      </c>
      <c r="Q7" s="3414"/>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85" t="s">
        <v>1683</v>
      </c>
      <c r="Q8" s="3386"/>
      <c r="R8" s="663" t="s">
        <v>14</v>
      </c>
      <c r="S8" s="664">
        <f t="shared" si="0"/>
        <v>0</v>
      </c>
      <c r="T8" s="663" t="s">
        <v>14</v>
      </c>
      <c r="U8" s="664">
        <f t="shared" si="1"/>
        <v>0</v>
      </c>
      <c r="V8" s="663" t="s">
        <v>14</v>
      </c>
      <c r="W8" s="664">
        <f t="shared" si="2"/>
        <v>0</v>
      </c>
      <c r="X8" s="665"/>
      <c r="Y8" s="3385" t="s">
        <v>1683</v>
      </c>
      <c r="Z8" s="3386"/>
      <c r="AA8" s="50" t="e">
        <f t="shared" ref="AA8:AA40" si="3">D8/F8</f>
        <v>#DIV/0!</v>
      </c>
      <c r="AB8" s="50" t="e">
        <f t="shared" ref="AB8:AB40" si="4">D8/H8</f>
        <v>#DIV/0!</v>
      </c>
      <c r="AC8" s="50" t="e">
        <f t="shared" ref="AC8:AC40" si="5">D8/J8</f>
        <v>#DIV/0!</v>
      </c>
    </row>
    <row r="9" spans="1:29" s="102" customFormat="1" ht="14.4">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1"/>
      <c r="M9" s="2433"/>
      <c r="N9" s="2433"/>
      <c r="O9" s="2533"/>
      <c r="P9" s="3418"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105</v>
      </c>
      <c r="G10" s="371"/>
      <c r="H10" s="119">
        <f>ROUND(100/'数据-取费表'!G16,0)</f>
        <v>105</v>
      </c>
      <c r="I10" s="371"/>
      <c r="J10" s="119">
        <f>ROUND(100/'数据-取费表'!G16,0)</f>
        <v>105</v>
      </c>
      <c r="K10" s="592"/>
      <c r="L10" s="2482"/>
      <c r="M10" s="2483"/>
      <c r="N10" s="2483"/>
      <c r="O10" s="2534"/>
      <c r="P10" s="3418"/>
      <c r="Q10" s="530" t="str">
        <f t="shared" si="6"/>
        <v>土地使用年限（年）</v>
      </c>
      <c r="R10" s="663" t="s">
        <v>14</v>
      </c>
      <c r="S10" s="664">
        <f t="shared" si="0"/>
        <v>105</v>
      </c>
      <c r="T10" s="663" t="s">
        <v>14</v>
      </c>
      <c r="U10" s="664">
        <f t="shared" si="1"/>
        <v>105</v>
      </c>
      <c r="V10" s="663" t="s">
        <v>14</v>
      </c>
      <c r="W10" s="664">
        <f t="shared" si="2"/>
        <v>105</v>
      </c>
      <c r="X10" s="665"/>
      <c r="Y10" s="3329"/>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18"/>
      <c r="Q11" s="530"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418"/>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18"/>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6"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18"/>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69">
      <c r="A15" s="379" t="s">
        <v>1690</v>
      </c>
      <c r="B15" s="554" t="s">
        <v>1920</v>
      </c>
      <c r="C15" s="181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19" t="s">
        <v>1691</v>
      </c>
      <c r="Q15" s="1258" t="str">
        <f t="shared" si="6"/>
        <v>产业集聚程度</v>
      </c>
      <c r="R15" s="666" t="s">
        <v>14</v>
      </c>
      <c r="S15" s="667">
        <f t="shared" si="0"/>
        <v>100</v>
      </c>
      <c r="T15" s="666" t="s">
        <v>14</v>
      </c>
      <c r="U15" s="667">
        <f t="shared" si="1"/>
        <v>100</v>
      </c>
      <c r="V15" s="666" t="s">
        <v>14</v>
      </c>
      <c r="W15" s="667">
        <f t="shared" si="2"/>
        <v>100</v>
      </c>
      <c r="X15" s="1260"/>
      <c r="Y15" s="3419"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5"/>
      <c r="M16" s="2480"/>
      <c r="N16" s="2480"/>
      <c r="O16" s="2535"/>
      <c r="P16" s="3420"/>
      <c r="Q16" s="1258"/>
      <c r="R16" s="666"/>
      <c r="S16" s="667"/>
      <c r="T16" s="666"/>
      <c r="U16" s="667"/>
      <c r="V16" s="666"/>
      <c r="W16" s="667"/>
      <c r="X16" s="1260"/>
      <c r="Y16" s="3420"/>
      <c r="Z16" s="1259"/>
      <c r="AA16" s="1259">
        <v>1</v>
      </c>
      <c r="AB16" s="1259">
        <v>1</v>
      </c>
      <c r="AC16" s="1259">
        <v>1</v>
      </c>
    </row>
    <row r="17" spans="1:29" ht="96.6">
      <c r="A17" s="367"/>
      <c r="B17" s="556" t="s">
        <v>1833</v>
      </c>
      <c r="C17" s="174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20"/>
      <c r="Q17" s="1258" t="str">
        <f>B17</f>
        <v>交通便捷度</v>
      </c>
      <c r="R17" s="666" t="s">
        <v>14</v>
      </c>
      <c r="S17" s="667">
        <f>F17</f>
        <v>100</v>
      </c>
      <c r="T17" s="666" t="s">
        <v>14</v>
      </c>
      <c r="U17" s="667">
        <f>H17</f>
        <v>100</v>
      </c>
      <c r="V17" s="666" t="s">
        <v>14</v>
      </c>
      <c r="W17" s="667">
        <f>J17</f>
        <v>100</v>
      </c>
      <c r="X17" s="1260"/>
      <c r="Y17" s="3420"/>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5"/>
      <c r="M18" s="2480"/>
      <c r="N18" s="2480"/>
      <c r="O18" s="2535"/>
      <c r="P18" s="3420"/>
      <c r="Q18" s="1258"/>
      <c r="R18" s="666"/>
      <c r="S18" s="667"/>
      <c r="T18" s="666"/>
      <c r="U18" s="667"/>
      <c r="V18" s="666"/>
      <c r="W18" s="667"/>
      <c r="X18" s="1260"/>
      <c r="Y18" s="3420"/>
      <c r="Z18" s="1259"/>
      <c r="AA18" s="1259">
        <v>1</v>
      </c>
      <c r="AB18" s="1259">
        <v>1</v>
      </c>
      <c r="AC18" s="1259">
        <v>1</v>
      </c>
    </row>
    <row r="19" spans="1:29" ht="28.8">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20"/>
      <c r="Q19" s="1258" t="str">
        <f t="shared" ref="Q19:Q33" si="8">B19</f>
        <v>区域土地利用方向</v>
      </c>
      <c r="R19" s="666" t="s">
        <v>14</v>
      </c>
      <c r="S19" s="667">
        <f>F19</f>
        <v>100</v>
      </c>
      <c r="T19" s="666" t="s">
        <v>14</v>
      </c>
      <c r="U19" s="667">
        <f>H19</f>
        <v>100</v>
      </c>
      <c r="V19" s="666" t="s">
        <v>14</v>
      </c>
      <c r="W19" s="667">
        <f>J19</f>
        <v>100</v>
      </c>
      <c r="X19" s="1260"/>
      <c r="Y19" s="3420"/>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5"/>
      <c r="M20" s="2480"/>
      <c r="N20" s="2480"/>
      <c r="O20" s="2535"/>
      <c r="P20" s="3420"/>
      <c r="Q20" s="1258"/>
      <c r="R20" s="666"/>
      <c r="S20" s="667"/>
      <c r="T20" s="666"/>
      <c r="U20" s="667"/>
      <c r="V20" s="666"/>
      <c r="W20" s="667"/>
      <c r="X20" s="1260"/>
      <c r="Y20" s="3420"/>
      <c r="Z20" s="1259"/>
      <c r="AA20" s="1259"/>
      <c r="AB20" s="1259"/>
      <c r="AC20" s="1259"/>
    </row>
    <row r="21" spans="1:29" ht="82.8">
      <c r="A21" s="348"/>
      <c r="B21" s="556" t="s">
        <v>1921</v>
      </c>
      <c r="C21" s="174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20"/>
      <c r="Q21" s="1258" t="str">
        <f t="shared" si="8"/>
        <v>环境状况</v>
      </c>
      <c r="R21" s="666" t="s">
        <v>14</v>
      </c>
      <c r="S21" s="667">
        <f>F21</f>
        <v>100</v>
      </c>
      <c r="T21" s="666" t="s">
        <v>14</v>
      </c>
      <c r="U21" s="667">
        <f>H21</f>
        <v>100</v>
      </c>
      <c r="V21" s="666" t="s">
        <v>14</v>
      </c>
      <c r="W21" s="667">
        <f>J21</f>
        <v>100</v>
      </c>
      <c r="X21" s="1260"/>
      <c r="Y21" s="3420"/>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5"/>
      <c r="M22" s="2480"/>
      <c r="N22" s="2480"/>
      <c r="O22" s="2535"/>
      <c r="P22" s="3420"/>
      <c r="Q22" s="1258"/>
      <c r="R22" s="666"/>
      <c r="S22" s="667"/>
      <c r="T22" s="666"/>
      <c r="U22" s="667"/>
      <c r="V22" s="666"/>
      <c r="W22" s="667"/>
      <c r="X22" s="1260"/>
      <c r="Y22" s="3420"/>
      <c r="Z22" s="1259"/>
      <c r="AA22" s="1259">
        <v>1</v>
      </c>
      <c r="AB22" s="1259">
        <v>1</v>
      </c>
      <c r="AC22" s="1259">
        <v>1</v>
      </c>
    </row>
    <row r="23" spans="1:29" s="102" customFormat="1" ht="41.4">
      <c r="A23" s="443"/>
      <c r="B23" s="557" t="s">
        <v>1778</v>
      </c>
      <c r="C23" s="174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420"/>
      <c r="Q23" s="530" t="str">
        <f t="shared" si="8"/>
        <v>公共配套设施</v>
      </c>
      <c r="R23" s="663" t="s">
        <v>14</v>
      </c>
      <c r="S23" s="664">
        <f>F23</f>
        <v>100</v>
      </c>
      <c r="T23" s="663" t="s">
        <v>14</v>
      </c>
      <c r="U23" s="664">
        <f>H23</f>
        <v>100</v>
      </c>
      <c r="V23" s="663" t="s">
        <v>14</v>
      </c>
      <c r="W23" s="664">
        <f>J23</f>
        <v>100</v>
      </c>
      <c r="X23" s="665"/>
      <c r="Y23" s="3420"/>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81"/>
      <c r="M24" s="2433"/>
      <c r="N24" s="2433"/>
      <c r="O24" s="2533"/>
      <c r="P24" s="3420"/>
      <c r="Q24" s="530"/>
      <c r="R24" s="663"/>
      <c r="S24" s="664"/>
      <c r="T24" s="663"/>
      <c r="U24" s="664"/>
      <c r="V24" s="663"/>
      <c r="W24" s="664"/>
      <c r="X24" s="665"/>
      <c r="Y24" s="3420"/>
      <c r="Z24" s="50"/>
      <c r="AA24" s="50">
        <v>1</v>
      </c>
      <c r="AB24" s="50">
        <v>1</v>
      </c>
      <c r="AC24" s="50">
        <v>1</v>
      </c>
    </row>
    <row r="25" spans="1:29" s="102" customFormat="1" ht="41.4">
      <c r="A25" s="443"/>
      <c r="B25" s="557" t="s">
        <v>1779</v>
      </c>
      <c r="C25" s="174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420"/>
      <c r="Q25" s="530" t="str">
        <f t="shared" ref="Q25" si="9">B25</f>
        <v>基础设施水平</v>
      </c>
      <c r="R25" s="663" t="s">
        <v>14</v>
      </c>
      <c r="S25" s="664">
        <f>F25</f>
        <v>100</v>
      </c>
      <c r="T25" s="663" t="s">
        <v>14</v>
      </c>
      <c r="U25" s="664">
        <f>H25</f>
        <v>100</v>
      </c>
      <c r="V25" s="663" t="s">
        <v>14</v>
      </c>
      <c r="W25" s="664">
        <f>J25</f>
        <v>100</v>
      </c>
      <c r="X25" s="665"/>
      <c r="Y25" s="3420"/>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81"/>
      <c r="M26" s="2433"/>
      <c r="N26" s="2433"/>
      <c r="O26" s="2533"/>
      <c r="P26" s="3420"/>
      <c r="Q26" s="530"/>
      <c r="R26" s="663"/>
      <c r="S26" s="664"/>
      <c r="T26" s="663"/>
      <c r="U26" s="664"/>
      <c r="V26" s="663"/>
      <c r="W26" s="664"/>
      <c r="X26" s="665"/>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20"/>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420"/>
      <c r="Z27" s="1259" t="str">
        <f t="shared" ref="Z27:Z40" si="13">Q27</f>
        <v>临街状况</v>
      </c>
      <c r="AA27" s="1259">
        <f t="shared" si="3"/>
        <v>1</v>
      </c>
      <c r="AB27" s="1259">
        <f t="shared" si="4"/>
        <v>1</v>
      </c>
      <c r="AC27" s="1259">
        <f t="shared" si="5"/>
        <v>1</v>
      </c>
    </row>
    <row r="28" spans="1:29" ht="28.8">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20"/>
      <c r="Q28" s="1258" t="str">
        <f t="shared" si="8"/>
        <v>毗邻道路的类型与等级</v>
      </c>
      <c r="R28" s="666" t="s">
        <v>14</v>
      </c>
      <c r="S28" s="667">
        <f t="shared" si="10"/>
        <v>100</v>
      </c>
      <c r="T28" s="666" t="s">
        <v>14</v>
      </c>
      <c r="U28" s="667">
        <f t="shared" si="11"/>
        <v>100</v>
      </c>
      <c r="V28" s="666" t="s">
        <v>14</v>
      </c>
      <c r="W28" s="667">
        <f t="shared" si="12"/>
        <v>100</v>
      </c>
      <c r="X28" s="1260"/>
      <c r="Y28" s="3420"/>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5"/>
      <c r="M29" s="2480"/>
      <c r="N29" s="2480"/>
      <c r="O29" s="2535"/>
      <c r="P29" s="3420"/>
      <c r="Q29" s="1258"/>
      <c r="R29" s="666"/>
      <c r="S29" s="667"/>
      <c r="T29" s="666"/>
      <c r="U29" s="667"/>
      <c r="V29" s="666"/>
      <c r="W29" s="667"/>
      <c r="X29" s="1260"/>
      <c r="Y29" s="3420"/>
      <c r="Z29" s="1259"/>
      <c r="AA29" s="1259">
        <v>1</v>
      </c>
      <c r="AB29" s="1259">
        <v>1</v>
      </c>
      <c r="AC29" s="1259">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20"/>
      <c r="Q30" s="1258" t="str">
        <f t="shared" si="8"/>
        <v>土地级别</v>
      </c>
      <c r="R30" s="666" t="s">
        <v>14</v>
      </c>
      <c r="S30" s="667">
        <f t="shared" si="10"/>
        <v>100</v>
      </c>
      <c r="T30" s="666" t="s">
        <v>14</v>
      </c>
      <c r="U30" s="667">
        <f t="shared" si="11"/>
        <v>100</v>
      </c>
      <c r="V30" s="666" t="s">
        <v>14</v>
      </c>
      <c r="W30" s="667">
        <f t="shared" si="12"/>
        <v>100</v>
      </c>
      <c r="X30" s="1260"/>
      <c r="Y30" s="3420"/>
      <c r="Z30" s="1259" t="str">
        <f t="shared" si="13"/>
        <v>土地级别</v>
      </c>
      <c r="AA30" s="1259">
        <f t="shared" si="3"/>
        <v>1</v>
      </c>
      <c r="AB30" s="1259">
        <f t="shared" si="4"/>
        <v>1</v>
      </c>
      <c r="AC30" s="1259">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20"/>
      <c r="Q31" s="1258">
        <f t="shared" si="8"/>
        <v>111</v>
      </c>
      <c r="R31" s="666" t="s">
        <v>14</v>
      </c>
      <c r="S31" s="667">
        <f t="shared" si="10"/>
        <v>100</v>
      </c>
      <c r="T31" s="666" t="s">
        <v>14</v>
      </c>
      <c r="U31" s="667">
        <f t="shared" si="11"/>
        <v>100</v>
      </c>
      <c r="V31" s="666" t="s">
        <v>14</v>
      </c>
      <c r="W31" s="667">
        <f t="shared" si="12"/>
        <v>100</v>
      </c>
      <c r="X31" s="1260"/>
      <c r="Y31" s="3420"/>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43" t="s">
        <v>1696</v>
      </c>
      <c r="Q32" s="1258">
        <f t="shared" si="8"/>
        <v>111</v>
      </c>
      <c r="R32" s="666" t="s">
        <v>14</v>
      </c>
      <c r="S32" s="667">
        <f t="shared" si="10"/>
        <v>100</v>
      </c>
      <c r="T32" s="666" t="s">
        <v>14</v>
      </c>
      <c r="U32" s="667">
        <f t="shared" si="11"/>
        <v>100</v>
      </c>
      <c r="V32" s="666" t="s">
        <v>14</v>
      </c>
      <c r="W32" s="667">
        <f t="shared" si="12"/>
        <v>100</v>
      </c>
      <c r="X32" s="1260"/>
      <c r="Y32" s="3424" t="s">
        <v>1696</v>
      </c>
      <c r="Z32" s="1259">
        <f t="shared" si="13"/>
        <v>111</v>
      </c>
      <c r="AA32" s="1259">
        <f t="shared" si="3"/>
        <v>1</v>
      </c>
      <c r="AB32" s="1259">
        <f t="shared" si="4"/>
        <v>1</v>
      </c>
      <c r="AC32" s="1259">
        <f t="shared" si="5"/>
        <v>1</v>
      </c>
    </row>
    <row r="33" spans="1:31" s="408" customFormat="1" ht="15.6"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24"/>
      <c r="Q33" s="1258">
        <f t="shared" si="8"/>
        <v>111</v>
      </c>
      <c r="R33" s="668" t="s">
        <v>14</v>
      </c>
      <c r="S33" s="669">
        <f t="shared" si="10"/>
        <v>100</v>
      </c>
      <c r="T33" s="668" t="s">
        <v>14</v>
      </c>
      <c r="U33" s="669">
        <f t="shared" si="11"/>
        <v>100</v>
      </c>
      <c r="V33" s="668" t="s">
        <v>14</v>
      </c>
      <c r="W33" s="669">
        <f t="shared" si="12"/>
        <v>100</v>
      </c>
      <c r="X33" s="670"/>
      <c r="Y33" s="3424"/>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24"/>
      <c r="Q34" s="1258" t="str">
        <f>B34</f>
        <v>宗地面积</v>
      </c>
      <c r="R34" s="666" t="s">
        <v>14</v>
      </c>
      <c r="S34" s="667" t="e">
        <f t="shared" si="10"/>
        <v>#N/A</v>
      </c>
      <c r="T34" s="666" t="s">
        <v>14</v>
      </c>
      <c r="U34" s="667" t="e">
        <f t="shared" si="11"/>
        <v>#N/A</v>
      </c>
      <c r="V34" s="666" t="s">
        <v>14</v>
      </c>
      <c r="W34" s="667" t="e">
        <f t="shared" si="12"/>
        <v>#N/A</v>
      </c>
      <c r="X34" s="1260"/>
      <c r="Y34" s="3424"/>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5"/>
      <c r="M35" s="2480"/>
      <c r="N35" s="2480"/>
      <c r="O35" s="2535"/>
      <c r="P35" s="3424"/>
      <c r="Q35" s="1258" t="str">
        <f t="shared" ref="Q35:Q40" si="14">B35</f>
        <v>宗地形状</v>
      </c>
      <c r="R35" s="666" t="s">
        <v>14</v>
      </c>
      <c r="S35" s="667">
        <f t="shared" si="10"/>
        <v>100</v>
      </c>
      <c r="T35" s="666" t="s">
        <v>14</v>
      </c>
      <c r="U35" s="667">
        <f t="shared" si="11"/>
        <v>100</v>
      </c>
      <c r="V35" s="666" t="s">
        <v>14</v>
      </c>
      <c r="W35" s="667">
        <f t="shared" si="12"/>
        <v>100</v>
      </c>
      <c r="X35" s="1260"/>
      <c r="Y35" s="3424"/>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1"/>
      <c r="M36" s="2433"/>
      <c r="N36" s="2433"/>
      <c r="O36" s="2533"/>
      <c r="P36" s="3424"/>
      <c r="Q36" s="1258" t="str">
        <f t="shared" si="14"/>
        <v>宗地开发程度</v>
      </c>
      <c r="R36" s="663" t="s">
        <v>14</v>
      </c>
      <c r="S36" s="664">
        <f t="shared" si="10"/>
        <v>100</v>
      </c>
      <c r="T36" s="663" t="s">
        <v>14</v>
      </c>
      <c r="U36" s="664">
        <f t="shared" si="11"/>
        <v>100</v>
      </c>
      <c r="V36" s="663" t="s">
        <v>14</v>
      </c>
      <c r="W36" s="664">
        <f t="shared" si="12"/>
        <v>100</v>
      </c>
      <c r="X36" s="665"/>
      <c r="Y36" s="3424"/>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5"/>
      <c r="M37" s="2480"/>
      <c r="N37" s="2480"/>
      <c r="O37" s="2535"/>
      <c r="P37" s="3424" t="s">
        <v>1696</v>
      </c>
      <c r="Q37" s="1258" t="str">
        <f t="shared" si="14"/>
        <v>工程地质条件</v>
      </c>
      <c r="R37" s="666" t="s">
        <v>14</v>
      </c>
      <c r="S37" s="667">
        <f t="shared" si="10"/>
        <v>100</v>
      </c>
      <c r="T37" s="666" t="s">
        <v>14</v>
      </c>
      <c r="U37" s="667">
        <f t="shared" si="11"/>
        <v>100</v>
      </c>
      <c r="V37" s="666" t="s">
        <v>14</v>
      </c>
      <c r="W37" s="667">
        <f t="shared" si="12"/>
        <v>100</v>
      </c>
      <c r="X37" s="1260"/>
      <c r="Y37" s="3424" t="s">
        <v>1696</v>
      </c>
      <c r="Z37" s="1259" t="str">
        <f t="shared" si="13"/>
        <v>工程地质条件</v>
      </c>
      <c r="AA37" s="1259">
        <f t="shared" si="3"/>
        <v>1</v>
      </c>
      <c r="AB37" s="1259">
        <f t="shared" si="4"/>
        <v>1</v>
      </c>
      <c r="AC37" s="1259">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24"/>
      <c r="Q38" s="1258">
        <f t="shared" si="14"/>
        <v>111</v>
      </c>
      <c r="R38" s="666" t="s">
        <v>14</v>
      </c>
      <c r="S38" s="667">
        <f t="shared" si="10"/>
        <v>100</v>
      </c>
      <c r="T38" s="666" t="s">
        <v>14</v>
      </c>
      <c r="U38" s="667">
        <f t="shared" si="11"/>
        <v>100</v>
      </c>
      <c r="V38" s="666" t="s">
        <v>14</v>
      </c>
      <c r="W38" s="667">
        <f t="shared" si="12"/>
        <v>100</v>
      </c>
      <c r="X38" s="1260"/>
      <c r="Y38" s="3424"/>
      <c r="Z38" s="1259">
        <f t="shared" si="13"/>
        <v>111</v>
      </c>
      <c r="AA38" s="1259">
        <f t="shared" si="3"/>
        <v>1</v>
      </c>
      <c r="AB38" s="1259">
        <f t="shared" si="4"/>
        <v>1</v>
      </c>
      <c r="AC38" s="1259">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24"/>
      <c r="Q39" s="1258">
        <f t="shared" si="14"/>
        <v>111</v>
      </c>
      <c r="R39" s="666" t="s">
        <v>14</v>
      </c>
      <c r="S39" s="667">
        <f t="shared" si="10"/>
        <v>100</v>
      </c>
      <c r="T39" s="666" t="s">
        <v>14</v>
      </c>
      <c r="U39" s="667">
        <f t="shared" si="11"/>
        <v>100</v>
      </c>
      <c r="V39" s="666" t="s">
        <v>14</v>
      </c>
      <c r="W39" s="667">
        <f t="shared" si="12"/>
        <v>100</v>
      </c>
      <c r="X39" s="1260"/>
      <c r="Y39" s="3424"/>
      <c r="Z39" s="1259">
        <f t="shared" si="13"/>
        <v>111</v>
      </c>
      <c r="AA39" s="1259">
        <f t="shared" si="3"/>
        <v>1</v>
      </c>
      <c r="AB39" s="1259">
        <f t="shared" si="4"/>
        <v>1</v>
      </c>
      <c r="AC39" s="1259">
        <f t="shared" si="5"/>
        <v>1</v>
      </c>
    </row>
    <row r="40" spans="1:31" s="408" customFormat="1" ht="15.6" thickBot="1">
      <c r="A40" s="406"/>
      <c r="B40" s="1064">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24"/>
      <c r="Q40" s="1258">
        <f t="shared" si="14"/>
        <v>111</v>
      </c>
      <c r="R40" s="668" t="s">
        <v>14</v>
      </c>
      <c r="S40" s="669">
        <f t="shared" si="10"/>
        <v>100</v>
      </c>
      <c r="T40" s="668" t="s">
        <v>14</v>
      </c>
      <c r="U40" s="669">
        <f t="shared" si="11"/>
        <v>100</v>
      </c>
      <c r="V40" s="668" t="s">
        <v>14</v>
      </c>
      <c r="W40" s="669">
        <f t="shared" si="12"/>
        <v>100</v>
      </c>
      <c r="X40" s="670"/>
      <c r="Y40" s="3424"/>
      <c r="Z40" s="671">
        <f t="shared" si="13"/>
        <v>111</v>
      </c>
      <c r="AA40" s="1259">
        <f t="shared" si="3"/>
        <v>1</v>
      </c>
      <c r="AB40" s="1259">
        <f t="shared" si="4"/>
        <v>1</v>
      </c>
      <c r="AC40" s="1259">
        <f t="shared" si="5"/>
        <v>1</v>
      </c>
    </row>
    <row r="41" spans="1:31" ht="14.4">
      <c r="A41" s="416" t="s">
        <v>1844</v>
      </c>
      <c r="B41" s="1825" t="s">
        <v>1922</v>
      </c>
      <c r="C41" s="602" t="s">
        <v>0</v>
      </c>
      <c r="D41" s="418"/>
      <c r="E41" s="419"/>
      <c r="F41" s="420"/>
      <c r="G41" s="421"/>
      <c r="H41" s="422"/>
      <c r="I41" s="419"/>
      <c r="J41" s="422"/>
      <c r="K41" s="673"/>
      <c r="L41" s="2487"/>
      <c r="M41" s="2480"/>
      <c r="N41" s="2480"/>
      <c r="O41" s="2480"/>
      <c r="P41" s="3418" t="str">
        <f>A41</f>
        <v>成交单价</v>
      </c>
      <c r="Q41" s="3418"/>
      <c r="R41" s="3413">
        <f>E41</f>
        <v>0</v>
      </c>
      <c r="S41" s="3413"/>
      <c r="T41" s="3413">
        <f>G41</f>
        <v>0</v>
      </c>
      <c r="U41" s="3413"/>
      <c r="V41" s="3413">
        <f>I41</f>
        <v>0</v>
      </c>
      <c r="W41" s="3413"/>
      <c r="X41" s="385"/>
      <c r="Y41" s="672"/>
      <c r="Z41" s="385"/>
      <c r="AA41" s="385"/>
      <c r="AB41" s="385"/>
      <c r="AC41" s="385"/>
    </row>
    <row r="42" spans="1:31" ht="15" thickBot="1">
      <c r="A42" s="423" t="s">
        <v>1793</v>
      </c>
      <c r="B42" s="603"/>
      <c r="C42" s="426" t="e">
        <f>R43</f>
        <v>#DIV/0!</v>
      </c>
      <c r="D42" s="2136" t="s">
        <v>2133</v>
      </c>
      <c r="E42" s="426" t="e">
        <f>R42</f>
        <v>#DIV/0!</v>
      </c>
      <c r="F42" s="2137"/>
      <c r="G42" s="425" t="e">
        <f>T42</f>
        <v>#DIV/0!</v>
      </c>
      <c r="H42" s="2137"/>
      <c r="I42" s="426" t="e">
        <f>V42</f>
        <v>#DIV/0!</v>
      </c>
      <c r="J42" s="2137"/>
      <c r="K42" s="2139">
        <f>F42+H42+J42</f>
        <v>0</v>
      </c>
      <c r="L42" s="2487"/>
      <c r="M42" s="2480"/>
      <c r="N42" s="2480"/>
      <c r="O42" s="2480"/>
      <c r="P42" s="3418" t="str">
        <f>A42</f>
        <v>比较价值（元/平方米）</v>
      </c>
      <c r="Q42" s="3418"/>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87"/>
      <c r="M43" s="2480"/>
      <c r="N43" s="2480"/>
      <c r="O43" s="2480"/>
      <c r="P43" s="3415" t="str">
        <f>A43</f>
        <v>估价对象XX用房的比较价值（楼面单价，元/平方米）</v>
      </c>
      <c r="Q43" s="3416"/>
      <c r="R43" s="3445" t="e">
        <f>ROUND(IF(D42="简单平均",AVERAGE(R42:W42),R42*F42+T42*H42+V42*J42),0)</f>
        <v>#DIV/0!</v>
      </c>
      <c r="S43" s="3445"/>
      <c r="T43" s="3445"/>
      <c r="U43" s="3445"/>
      <c r="V43" s="3445"/>
      <c r="W43" s="3445"/>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1881</v>
      </c>
      <c r="B50" s="605" t="s">
        <v>1882</v>
      </c>
      <c r="C50" s="1826" t="s">
        <v>1883</v>
      </c>
      <c r="D50" s="1827" t="s">
        <v>1884</v>
      </c>
      <c r="E50" s="606" t="s">
        <v>1885</v>
      </c>
      <c r="F50" s="607" t="s">
        <v>1886</v>
      </c>
      <c r="G50" s="3401" t="s">
        <v>1887</v>
      </c>
      <c r="H50" s="3447"/>
      <c r="I50" s="1259" t="s">
        <v>1923</v>
      </c>
      <c r="J50" s="1259" t="str">
        <f>项目基本情况!F35</f>
        <v>天津市</v>
      </c>
      <c r="K50" s="1829"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8">
        <v>1</v>
      </c>
      <c r="E51" s="610">
        <f>'数据-汇总表'!E8+'数据-汇总表'!E9</f>
        <v>121.97</v>
      </c>
      <c r="F51" s="611" t="e">
        <f t="shared" ref="F51:F60" si="15">ROUND(B51*E51/10000,0)</f>
        <v>#DIV/0!</v>
      </c>
      <c r="G51" s="3400"/>
      <c r="H51" s="3418"/>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v>
      </c>
      <c r="D52" s="889">
        <v>0.25</v>
      </c>
      <c r="E52" s="614"/>
      <c r="F52" s="611" t="e">
        <f t="shared" si="15"/>
        <v>#DIV/0!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v>
      </c>
      <c r="D53" s="889">
        <v>0.25</v>
      </c>
      <c r="E53" s="614"/>
      <c r="F53" s="611" t="e">
        <f t="shared" si="15"/>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v>
      </c>
      <c r="D54" s="889">
        <v>0.25</v>
      </c>
      <c r="E54" s="614"/>
      <c r="F54" s="611" t="e">
        <f t="shared" si="15"/>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v>
      </c>
      <c r="D56" s="889">
        <v>0.25</v>
      </c>
      <c r="E56" s="209">
        <f>'数据-汇总表'!E11</f>
        <v>0</v>
      </c>
      <c r="F56" s="611" t="e">
        <f t="shared" si="15"/>
        <v>#DIV/0!</v>
      </c>
      <c r="G56" s="1830"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v>
      </c>
      <c r="D57" s="889">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9">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v>
      </c>
      <c r="D59" s="889">
        <v>0.25</v>
      </c>
      <c r="E59" s="209">
        <f>'数据-汇总表'!E14</f>
        <v>0</v>
      </c>
      <c r="F59" s="611" t="e">
        <f t="shared" si="15"/>
        <v>#DIV/0!</v>
      </c>
      <c r="G59" s="1830"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1902</v>
      </c>
      <c r="B60" s="210" t="e">
        <f t="shared" si="17"/>
        <v>#DIV/0!</v>
      </c>
      <c r="C60" s="163">
        <f t="shared" si="16"/>
        <v>0</v>
      </c>
      <c r="D60" s="889">
        <v>0.25</v>
      </c>
      <c r="E60" s="209">
        <f>'数据-汇总表'!E15</f>
        <v>0</v>
      </c>
      <c r="F60" s="611" t="e">
        <f t="shared" si="15"/>
        <v>#DIV/0!</v>
      </c>
      <c r="G60" s="1831"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4"/>
      <c r="L62" s="835"/>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0"/>
      <c r="Q63" s="2480"/>
      <c r="R63" s="2480"/>
      <c r="S63" s="2480"/>
      <c r="T63" s="2480"/>
      <c r="U63" s="2480"/>
      <c r="V63" s="2480"/>
      <c r="W63" s="2480"/>
      <c r="X63" s="2480"/>
      <c r="Y63" s="2480"/>
      <c r="Z63" s="2480"/>
      <c r="AA63" s="2480"/>
      <c r="AB63" s="2480"/>
      <c r="AC63" s="2480"/>
      <c r="AD63" s="2480"/>
      <c r="AE63" s="2480"/>
    </row>
    <row r="64" spans="1:31" ht="22.2" thickBot="1">
      <c r="A64" s="657" t="s">
        <v>1798</v>
      </c>
      <c r="B64" s="385"/>
      <c r="C64" s="658"/>
      <c r="D64" s="658"/>
      <c r="E64" s="658"/>
      <c r="F64" s="659"/>
      <c r="G64" s="659"/>
      <c r="H64" s="658"/>
      <c r="I64" s="658"/>
      <c r="J64" s="658"/>
      <c r="K64" s="660"/>
      <c r="L64" s="661"/>
      <c r="M64" s="658"/>
      <c r="N64" s="658"/>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5" t="s">
        <v>1904</v>
      </c>
      <c r="B65" s="1043"/>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2"/>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6" sqref="C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7" customWidth="1"/>
    <col min="12" max="12" width="16.33203125" style="250" customWidth="1"/>
    <col min="13" max="13" width="13" style="250"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50"/>
  </cols>
  <sheetData>
    <row r="1" spans="1:37" s="285" customFormat="1" ht="21.6">
      <c r="A1" s="1278" t="s">
        <v>877</v>
      </c>
      <c r="B1" s="662"/>
      <c r="C1" s="1282" t="s">
        <v>3558</v>
      </c>
      <c r="D1" s="1266" t="s">
        <v>43</v>
      </c>
      <c r="E1" s="1267" t="s">
        <v>678</v>
      </c>
      <c r="F1" s="996">
        <f ca="1">J53</f>
        <v>60</v>
      </c>
      <c r="G1" s="1281">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6">
        <f ca="1">ROUND(D2/10000,4)</f>
        <v>73.445599999999999</v>
      </c>
      <c r="C2" s="1284" t="s">
        <v>879</v>
      </c>
      <c r="D2" s="1370">
        <f ca="1">C40+J29+L46</f>
        <v>734456</v>
      </c>
      <c r="E2" s="1290" t="s">
        <v>880</v>
      </c>
      <c r="F2" s="1291"/>
      <c r="G2" s="2471"/>
      <c r="H2" s="2461"/>
      <c r="I2" s="2461"/>
      <c r="J2" s="2461"/>
      <c r="K2" s="2462"/>
      <c r="L2" s="2461"/>
      <c r="M2" s="2461"/>
    </row>
    <row r="3" spans="1:37" ht="18" customHeight="1" thickBot="1">
      <c r="A3" s="1292" t="s">
        <v>881</v>
      </c>
      <c r="B3" s="1293">
        <f ca="1">IF(ISERROR(D2/F43),0,ROUND(D2/F43,0))</f>
        <v>6022</v>
      </c>
      <c r="C3" s="1284" t="s">
        <v>882</v>
      </c>
      <c r="D3" s="1284"/>
      <c r="E3" s="1290"/>
      <c r="F3" s="1291"/>
      <c r="G3" s="2471"/>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4">
        <f ca="1">C6+C10+C12</f>
        <v>34603</v>
      </c>
      <c r="D5" s="1268" t="s">
        <v>889</v>
      </c>
      <c r="E5" s="1005"/>
      <c r="F5" s="1006"/>
      <c r="G5" s="1287"/>
      <c r="H5" s="291">
        <v>1</v>
      </c>
      <c r="I5" s="292" t="s">
        <v>888</v>
      </c>
      <c r="J5" s="1004">
        <f ca="1">J6+J10+J12</f>
        <v>0</v>
      </c>
      <c r="K5" s="1268" t="s">
        <v>889</v>
      </c>
      <c r="L5" s="1005"/>
      <c r="M5" s="1006"/>
    </row>
    <row r="6" spans="1:37" ht="18" customHeight="1">
      <c r="A6" s="1003" t="s">
        <v>398</v>
      </c>
      <c r="B6" s="3358" t="s">
        <v>694</v>
      </c>
      <c r="C6" s="1008">
        <f ca="1">ROUND(F6*F8*F7*(1-F9),0)</f>
        <v>34560</v>
      </c>
      <c r="D6" s="147" t="s">
        <v>2101</v>
      </c>
      <c r="E6" s="294" t="s">
        <v>696</v>
      </c>
      <c r="F6" s="295">
        <f ca="1">INDIRECT("'数据-取费表'!u"&amp;$G$1)</f>
        <v>3200</v>
      </c>
      <c r="G6" s="1287"/>
      <c r="H6" s="1003" t="s">
        <v>398</v>
      </c>
      <c r="I6" s="3358" t="s">
        <v>694</v>
      </c>
      <c r="J6" s="293">
        <f ca="1">ROUND(M6*M8*M7*(1-M9),0)</f>
        <v>0</v>
      </c>
      <c r="K6" s="1279" t="s">
        <v>2102</v>
      </c>
      <c r="L6" s="294" t="s">
        <v>696</v>
      </c>
      <c r="M6" s="295">
        <f ca="1">INDIRECT("'数据-取费表'!z"&amp;$G$1)</f>
        <v>0</v>
      </c>
    </row>
    <row r="7" spans="1:37" ht="18" customHeight="1">
      <c r="A7" s="1007"/>
      <c r="B7" s="3359"/>
      <c r="C7" s="1009"/>
      <c r="D7" s="299"/>
      <c r="E7" s="1010" t="s">
        <v>697</v>
      </c>
      <c r="F7" s="295">
        <f ca="1">IF(INDIRECT("'数据-取费表'!ah"&amp;$G$1)="",INDIRECT("'数据-取费表'!k"&amp;$G$1),INDIRECT("'数据-取费表'!ah"&amp;$G$1))</f>
        <v>1</v>
      </c>
      <c r="G7" s="1287"/>
      <c r="H7" s="296"/>
      <c r="I7" s="3359"/>
      <c r="J7" s="298"/>
      <c r="K7" s="299"/>
      <c r="L7" s="294" t="s">
        <v>697</v>
      </c>
      <c r="M7" s="295">
        <f ca="1">F7</f>
        <v>1</v>
      </c>
    </row>
    <row r="8" spans="1:37" ht="18" customHeight="1">
      <c r="A8" s="296"/>
      <c r="B8" s="3359"/>
      <c r="C8" s="298"/>
      <c r="D8" s="299"/>
      <c r="E8" s="294" t="s">
        <v>698</v>
      </c>
      <c r="F8" s="295">
        <f ca="1">INDIRECT("'数据-取费表'!ai"&amp;$G$1)</f>
        <v>12</v>
      </c>
      <c r="G8" s="1287"/>
      <c r="H8" s="296"/>
      <c r="I8" s="3359"/>
      <c r="J8" s="298"/>
      <c r="K8" s="299"/>
      <c r="L8" s="294" t="s">
        <v>698</v>
      </c>
      <c r="M8" s="295">
        <f ca="1">INDIRECT("'数据-取费表'!ai"&amp;$G$1)</f>
        <v>12</v>
      </c>
    </row>
    <row r="9" spans="1:37" ht="18" customHeight="1">
      <c r="A9" s="296"/>
      <c r="B9" s="3360"/>
      <c r="C9" s="298"/>
      <c r="D9" s="299"/>
      <c r="E9" s="294" t="s">
        <v>699</v>
      </c>
      <c r="F9" s="304">
        <f ca="1">INDIRECT("'数据-取费表'!w"&amp;$G$1)</f>
        <v>0.1</v>
      </c>
      <c r="G9" s="1287"/>
      <c r="H9" s="296"/>
      <c r="I9" s="3360"/>
      <c r="J9" s="298"/>
      <c r="K9" s="299"/>
      <c r="L9" s="305" t="s">
        <v>699</v>
      </c>
      <c r="M9" s="306">
        <f ca="1">INDIRECT("'数据-取费表'!ab"&amp;$G$1)</f>
        <v>0</v>
      </c>
    </row>
    <row r="10" spans="1:37" ht="18" customHeight="1">
      <c r="A10" s="1003" t="s">
        <v>402</v>
      </c>
      <c r="B10" s="1269" t="s">
        <v>700</v>
      </c>
      <c r="C10" s="308">
        <f ca="1">ROUND(IF(F10="押一",C6/12*F11,IF(F10="押二",C6/12*2*F11,IF(F10="押三",C6/12*3*F11,C11*F11))),0)</f>
        <v>43</v>
      </c>
      <c r="D10" s="150" t="s">
        <v>2111</v>
      </c>
      <c r="E10" s="305" t="s">
        <v>701</v>
      </c>
      <c r="F10" s="1050" t="s">
        <v>3563</v>
      </c>
      <c r="G10" s="1287"/>
      <c r="H10" s="1003" t="s">
        <v>402</v>
      </c>
      <c r="I10" s="1269" t="s">
        <v>700</v>
      </c>
      <c r="J10" s="293">
        <f ca="1">ROUND(IF(M10="押一",J6/12*M11,IF(M10="押二",J6/12*2*M11,IF(M10="押三",J6/12*3*M11,J11*M11))),0)</f>
        <v>0</v>
      </c>
      <c r="K10" s="1280" t="s">
        <v>2113</v>
      </c>
      <c r="L10" s="305" t="s">
        <v>701</v>
      </c>
      <c r="M10" s="1050"/>
    </row>
    <row r="11" spans="1:37" ht="18" customHeight="1">
      <c r="A11" s="300"/>
      <c r="B11" s="1270" t="s">
        <v>890</v>
      </c>
      <c r="C11" s="903"/>
      <c r="D11" s="299"/>
      <c r="E11" s="305" t="s">
        <v>702</v>
      </c>
      <c r="F11" s="306">
        <f ca="1">'数据-取费表'!B39</f>
        <v>1.4999999999999999E-2</v>
      </c>
      <c r="G11" s="1287"/>
      <c r="H11" s="1011"/>
      <c r="I11" s="1270" t="s">
        <v>891</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600840</v>
      </c>
      <c r="D13" s="1015" t="s">
        <v>705</v>
      </c>
      <c r="E13" s="1015" t="s">
        <v>706</v>
      </c>
      <c r="F13" s="1016">
        <f ca="1">INDIRECT("'数据-取费表'!y"&amp;$G$1)</f>
        <v>0.93</v>
      </c>
      <c r="G13" s="1287"/>
      <c r="H13" s="1013">
        <v>2</v>
      </c>
      <c r="I13" s="1014" t="s">
        <v>704</v>
      </c>
      <c r="J13" s="1002">
        <f ca="1">ROUND(J14*J15,0)</f>
        <v>0</v>
      </c>
      <c r="K13" s="1021" t="s">
        <v>705</v>
      </c>
      <c r="L13" s="1294"/>
      <c r="M13" s="1295"/>
    </row>
    <row r="14" spans="1:37" ht="18" customHeight="1">
      <c r="A14" s="926" t="s">
        <v>397</v>
      </c>
      <c r="B14" s="294" t="s">
        <v>707</v>
      </c>
      <c r="C14" s="310">
        <f ca="1">ROUND(INDIRECT("'数据-取费表'!l"&amp;$G$1)*F43+'数据-取费表'!L14*INDIRECT("'数据-取费表'!S"&amp;$G$1),0)</f>
        <v>426895</v>
      </c>
      <c r="D14" s="1252" t="s">
        <v>708</v>
      </c>
      <c r="E14" s="1250"/>
      <c r="F14" s="311"/>
      <c r="G14" s="1287"/>
      <c r="H14" s="926" t="s">
        <v>398</v>
      </c>
      <c r="I14" s="294" t="s">
        <v>709</v>
      </c>
      <c r="J14" s="21">
        <f ca="1">C29</f>
        <v>646064</v>
      </c>
      <c r="K14" s="12"/>
      <c r="L14" s="758"/>
      <c r="M14" s="759"/>
    </row>
    <row r="15" spans="1:37" s="1299" customFormat="1" ht="18" customHeight="1" thickBot="1">
      <c r="A15" s="926" t="s">
        <v>399</v>
      </c>
      <c r="B15" s="294" t="s">
        <v>710</v>
      </c>
      <c r="C15" s="21">
        <f ca="1">ROUND(C14*F15,0)</f>
        <v>12807</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ROUND(INDIRECT("'数据-取费表'!l"&amp;$G$1)*F43*F16,0)</f>
        <v>21345</v>
      </c>
      <c r="D16" s="294" t="s">
        <v>711</v>
      </c>
      <c r="E16" s="294" t="s">
        <v>712</v>
      </c>
      <c r="F16" s="314">
        <f ca="1">IF(INDIRECT("'数据-取费表'!c"&amp;$G$1)="住宅",'数据-取费表'!B34,0)</f>
        <v>0.05</v>
      </c>
      <c r="G16" s="1287"/>
      <c r="H16" s="1013" t="s">
        <v>393</v>
      </c>
      <c r="I16" s="1014" t="s">
        <v>714</v>
      </c>
      <c r="J16" s="302">
        <f ca="1">ROUND(J17+J22+J23+J24,0)</f>
        <v>6461</v>
      </c>
      <c r="K16" s="1021" t="s">
        <v>715</v>
      </c>
      <c r="L16" s="1022"/>
      <c r="M16" s="1006"/>
    </row>
    <row r="17" spans="1:37" s="1299" customFormat="1" ht="18" customHeight="1">
      <c r="A17" s="926" t="s">
        <v>681</v>
      </c>
      <c r="B17" s="294" t="s">
        <v>716</v>
      </c>
      <c r="C17" s="21">
        <f ca="1">ROUND(F17*(F43+INDIRECT("'数据-取费表'!S"&amp;$G$1)),0)</f>
        <v>24394</v>
      </c>
      <c r="D17" s="294" t="s">
        <v>717</v>
      </c>
      <c r="E17" s="294" t="s">
        <v>718</v>
      </c>
      <c r="F17" s="23">
        <f>'数据-取费表'!B35</f>
        <v>200</v>
      </c>
      <c r="G17" s="1298"/>
      <c r="H17" s="926" t="s">
        <v>398</v>
      </c>
      <c r="I17" s="294" t="s">
        <v>719</v>
      </c>
      <c r="J17" s="2135">
        <f ca="1">ROUND(IF(AND(项目基本情况!B11="自然人",项目基本情况!B10="北京市"),J6*M17/(1+'数据-取费表'!C42),J18+J19+J20),0)</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8538</v>
      </c>
      <c r="D18" s="294" t="s">
        <v>711</v>
      </c>
      <c r="E18" s="294" t="s">
        <v>712</v>
      </c>
      <c r="F18" s="314">
        <f>'数据-取费表'!B36</f>
        <v>0.02</v>
      </c>
      <c r="G18" s="1298"/>
      <c r="H18" s="926" t="s">
        <v>397</v>
      </c>
      <c r="I18" s="294" t="s">
        <v>723</v>
      </c>
      <c r="J18" s="21">
        <f ca="1">ROUND(J6*M18/(1+'数据-取费表'!C42),0)</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493979</v>
      </c>
      <c r="D19" s="123" t="s">
        <v>726</v>
      </c>
      <c r="E19" s="1264"/>
      <c r="F19" s="23"/>
      <c r="G19" s="1287"/>
      <c r="H19" s="926" t="s">
        <v>399</v>
      </c>
      <c r="I19" s="294" t="s">
        <v>727</v>
      </c>
      <c r="J19" s="21">
        <f ca="1">IF(K19="按租金收入计税",ROUND(J6*M19/(1+'数据-取费表'!C42),0),ROUND(C29*M19*0.7,0))</f>
        <v>0</v>
      </c>
      <c r="K19" s="1273" t="s">
        <v>3333</v>
      </c>
      <c r="L19" s="294" t="s">
        <v>712</v>
      </c>
      <c r="M19" s="314">
        <f>IF(K19="按租金收入计税",'数据-取费表'!B51,'数据-取费表'!B50)</f>
        <v>0.12</v>
      </c>
    </row>
    <row r="20" spans="1:37" s="1299" customFormat="1" ht="18" customHeight="1">
      <c r="A20" s="926" t="s">
        <v>402</v>
      </c>
      <c r="B20" s="294" t="s">
        <v>728</v>
      </c>
      <c r="C20" s="21">
        <f ca="1">ROUND(C19*F20,0)</f>
        <v>9880</v>
      </c>
      <c r="D20" s="315" t="s">
        <v>729</v>
      </c>
      <c r="E20" s="294" t="s">
        <v>712</v>
      </c>
      <c r="F20" s="314">
        <f>'数据-取费表'!B37</f>
        <v>0.02</v>
      </c>
      <c r="G20" s="1298"/>
      <c r="H20" s="926" t="s">
        <v>680</v>
      </c>
      <c r="I20" s="147" t="s">
        <v>730</v>
      </c>
      <c r="J20" s="22">
        <f ca="1">ROUND(M20*M21,0)</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0</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ROUND(J14*M22,0)</f>
        <v>6461</v>
      </c>
      <c r="K22" s="1251" t="s">
        <v>739</v>
      </c>
      <c r="L22" s="294" t="s">
        <v>712</v>
      </c>
      <c r="M22" s="320">
        <f ca="1">INDIRECT("'数据-取费表'!Ak"&amp;$G$1)</f>
        <v>0.01</v>
      </c>
    </row>
    <row r="23" spans="1:37" s="1299" customFormat="1" ht="18" customHeight="1">
      <c r="A23" s="926" t="s">
        <v>397</v>
      </c>
      <c r="B23" s="294" t="s">
        <v>740</v>
      </c>
      <c r="C23" s="21">
        <f ca="1">IF('数据-取费表'!B22&lt;=1,ROUND(C19*F24*F23/2,0)+ROUND(C20*F24*F23/2,0),ROUND(C19*(POWER((1+F24),F23/2)-1),0)+ROUND(C20*(POWER((1+F24),F23/2)-1),0))</f>
        <v>16879</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ROUND(J13*M23,0)</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ROUND(J5*M24,0)</f>
        <v>0</v>
      </c>
      <c r="K24" s="1026" t="s">
        <v>748</v>
      </c>
      <c r="L24" s="1024" t="s">
        <v>744</v>
      </c>
      <c r="M24" s="1020">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6" t="s">
        <v>749</v>
      </c>
      <c r="B25" s="294" t="s">
        <v>750</v>
      </c>
      <c r="C25" s="21"/>
      <c r="D25" s="123" t="s">
        <v>751</v>
      </c>
      <c r="E25" s="1264"/>
      <c r="F25" s="23"/>
      <c r="G25" s="1287"/>
      <c r="H25" s="1013" t="s">
        <v>394</v>
      </c>
      <c r="I25" s="1028" t="s">
        <v>752</v>
      </c>
      <c r="J25" s="302">
        <f ca="1">J5-J16</f>
        <v>-6461</v>
      </c>
      <c r="K25" s="1029" t="s">
        <v>753</v>
      </c>
      <c r="L25" s="1030"/>
      <c r="M25" s="1031"/>
    </row>
    <row r="26" spans="1:37" ht="18" customHeight="1">
      <c r="A26" s="926" t="s">
        <v>397</v>
      </c>
      <c r="B26" s="294" t="s">
        <v>754</v>
      </c>
      <c r="C26" s="21">
        <f ca="1">ROUND((C19+C20)*F26,0)</f>
        <v>75579</v>
      </c>
      <c r="D26" s="315" t="s">
        <v>755</v>
      </c>
      <c r="E26" s="305" t="s">
        <v>756</v>
      </c>
      <c r="F26" s="304">
        <f ca="1">INDIRECT("'数据-取费表'!q"&amp;$G$1)</f>
        <v>0.15</v>
      </c>
      <c r="G26" s="1287"/>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3.0000000000000001E-3</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646064</v>
      </c>
      <c r="D29" s="1026"/>
      <c r="E29" s="1024"/>
      <c r="F29" s="1027"/>
      <c r="G29" s="1298"/>
      <c r="H29" s="325" t="s">
        <v>396</v>
      </c>
      <c r="I29" s="326" t="s">
        <v>768</v>
      </c>
      <c r="J29" s="327">
        <f ca="1">ROUND(J26/(1+F40)^F41,0)</f>
        <v>0</v>
      </c>
      <c r="K29" s="328" t="s">
        <v>769</v>
      </c>
      <c r="L29" s="329"/>
      <c r="M29" s="330">
        <f ca="1">INDIRECT("'数据-取费表'!k"&amp;$G$1)</f>
        <v>121.97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13201</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ROUND(IF(AND(项目基本情况!B11="自然人",项目基本情况!B10="北京市"),C6*F31/(1+'数据-取费表'!C42),C32+C33+C34),0)</f>
        <v>5793</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IF(项目基本情况!B11="自然人","——",ROUND(C6*F32/(1+'数据-取费表'!C42),0))</f>
        <v>1843</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IF(项目基本情况!B11="自然人","——",IF(D33="按租金收入计税",ROUND(C6*F33/(1+'数据-取费表'!C42),0),IF(D33="按房产原值计税",ROUND(C29*F33*0.7,0),INDIRECT("'数据-取费表'!Aj"&amp;$G$1))))</f>
        <v>3950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IF(项目基本情况!B11="自然人","——",ROUND(F34*F35,0))</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ROUND(C29*F36,0)</f>
        <v>6461</v>
      </c>
      <c r="D36" s="1251" t="s">
        <v>771</v>
      </c>
      <c r="E36" s="294" t="s">
        <v>712</v>
      </c>
      <c r="F36" s="320">
        <f ca="1">INDIRECT("'数据-取费表'!Ak"&amp;$G$1)</f>
        <v>0.01</v>
      </c>
      <c r="G36" s="1287"/>
      <c r="H36" s="2466"/>
      <c r="I36" s="1300"/>
      <c r="J36" s="1301"/>
      <c r="K36" s="2324"/>
      <c r="L36" s="2466"/>
      <c r="M36" s="2466"/>
    </row>
    <row r="37" spans="1:18" ht="18" customHeight="1">
      <c r="A37" s="926" t="s">
        <v>437</v>
      </c>
      <c r="B37" s="294" t="s">
        <v>742</v>
      </c>
      <c r="C37" s="21">
        <f ca="1">ROUND(C13*F37,0)</f>
        <v>601</v>
      </c>
      <c r="D37" s="1251" t="s">
        <v>743</v>
      </c>
      <c r="E37" s="294" t="s">
        <v>744</v>
      </c>
      <c r="F37" s="321">
        <f ca="1">INDIRECT("'数据-取费表'!Al"&amp;$G$1)</f>
        <v>1E-3</v>
      </c>
      <c r="G37" s="1287"/>
      <c r="H37" s="2466"/>
      <c r="I37" s="1300"/>
      <c r="J37" s="1301"/>
      <c r="K37" s="2324"/>
      <c r="L37" s="2466"/>
      <c r="M37" s="2466"/>
    </row>
    <row r="38" spans="1:18" ht="18" customHeight="1" thickBot="1">
      <c r="A38" s="1023" t="s">
        <v>684</v>
      </c>
      <c r="B38" s="1024" t="s">
        <v>728</v>
      </c>
      <c r="C38" s="1025">
        <f ca="1">ROUND(C5*F38,0)</f>
        <v>346</v>
      </c>
      <c r="D38" s="1026" t="s">
        <v>748</v>
      </c>
      <c r="E38" s="1024" t="s">
        <v>744</v>
      </c>
      <c r="F38" s="1020">
        <f ca="1">INDIRECT("'数据-取费表'!Am"&amp;$G$1)</f>
        <v>0.01</v>
      </c>
      <c r="G38" s="1287"/>
      <c r="H38" s="2466"/>
      <c r="I38" s="1300"/>
      <c r="J38" s="1301"/>
      <c r="K38" s="2464"/>
      <c r="L38" s="2466"/>
      <c r="M38" s="2466"/>
    </row>
    <row r="39" spans="1:18" ht="24.6" customHeight="1" thickTop="1">
      <c r="A39" s="1013" t="s">
        <v>394</v>
      </c>
      <c r="B39" s="1028" t="s">
        <v>772</v>
      </c>
      <c r="C39" s="302">
        <f ca="1">C5-C30</f>
        <v>21402</v>
      </c>
      <c r="D39" s="1029" t="s">
        <v>773</v>
      </c>
      <c r="E39" s="1030"/>
      <c r="F39" s="1031"/>
      <c r="G39" s="1287"/>
      <c r="H39" s="2466"/>
      <c r="I39" s="1300"/>
      <c r="J39" s="1301"/>
      <c r="K39" s="2464"/>
      <c r="L39" s="2466"/>
      <c r="M39" s="2466"/>
    </row>
    <row r="40" spans="1:18" ht="18" customHeight="1">
      <c r="A40" s="291" t="s">
        <v>395</v>
      </c>
      <c r="B40" s="292" t="s">
        <v>774</v>
      </c>
      <c r="C40" s="293">
        <f ca="1">ROUND(C39*(1-((1+F42)/(1+F40))^F41)/(F40-F42),0)</f>
        <v>734456</v>
      </c>
      <c r="D40" s="316" t="s">
        <v>758</v>
      </c>
      <c r="E40" s="294" t="s">
        <v>759</v>
      </c>
      <c r="F40" s="304">
        <f ca="1">INDIRECT("'数据-取费表'!I"&amp;$G$1)</f>
        <v>4.4999999999999998E-2</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60</v>
      </c>
      <c r="G41" s="1287"/>
      <c r="H41" s="121"/>
      <c r="I41" s="1300"/>
      <c r="J41" s="1301"/>
      <c r="K41" s="2324"/>
      <c r="L41" s="121"/>
      <c r="M41" s="121"/>
    </row>
    <row r="42" spans="1:18" ht="18" customHeight="1">
      <c r="A42" s="300"/>
      <c r="B42" s="301"/>
      <c r="C42" s="302"/>
      <c r="D42" s="319"/>
      <c r="E42" s="294" t="s">
        <v>766</v>
      </c>
      <c r="F42" s="304">
        <f ca="1">INDIRECT("'数据-取费表'!v"&amp;$G$1)</f>
        <v>2.5000000000000001E-2</v>
      </c>
      <c r="G42" s="1287"/>
      <c r="H42" s="121"/>
      <c r="I42" s="1300"/>
      <c r="J42" s="1301"/>
      <c r="K42" s="2324"/>
      <c r="L42" s="121"/>
      <c r="M42" s="121"/>
    </row>
    <row r="43" spans="1:18" ht="18" customHeight="1" thickBot="1">
      <c r="A43" s="325" t="s">
        <v>396</v>
      </c>
      <c r="B43" s="326" t="s">
        <v>776</v>
      </c>
      <c r="C43" s="327">
        <f ca="1">ROUND(C40/F43,0)</f>
        <v>6022</v>
      </c>
      <c r="D43" s="328" t="s">
        <v>777</v>
      </c>
      <c r="E43" s="329" t="s">
        <v>778</v>
      </c>
      <c r="F43" s="330">
        <f ca="1">INDIRECT("'数据-取费表'!k"&amp;$G$1)</f>
        <v>121.97</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3122" t="s">
        <v>3349</v>
      </c>
      <c r="B45" s="1302"/>
      <c r="C45" s="1371">
        <f ca="1">ROUND((C68-C40)/10000,4)</f>
        <v>-88.020200000000003</v>
      </c>
      <c r="D45" s="3123" t="s">
        <v>3350</v>
      </c>
      <c r="E45" s="1302"/>
      <c r="F45" s="1302"/>
      <c r="O45" s="1305" t="s">
        <v>808</v>
      </c>
      <c r="P45" s="1361"/>
      <c r="Q45" s="1361"/>
      <c r="R45" s="1361"/>
    </row>
    <row r="46" spans="1:18" s="1287" customFormat="1" ht="13.8" thickBot="1">
      <c r="A46" s="1306" t="s">
        <v>809</v>
      </c>
      <c r="C46" s="1307">
        <f ca="1">ROUND(C45,0)</f>
        <v>-88</v>
      </c>
      <c r="D46" s="1308" t="str">
        <f>C2</f>
        <v>万元</v>
      </c>
      <c r="I46" s="1309" t="s">
        <v>810</v>
      </c>
      <c r="J46" s="1310"/>
      <c r="K46" s="1311"/>
      <c r="L46" s="1312">
        <f>IF(M47="住宅",0,IF(L48&gt;J51,L60,J60))</f>
        <v>0</v>
      </c>
      <c r="O46" s="1313" t="s">
        <v>811</v>
      </c>
      <c r="P46" s="1314" t="s">
        <v>812</v>
      </c>
      <c r="Q46" s="1315" t="s">
        <v>813</v>
      </c>
      <c r="R46" s="1315" t="s">
        <v>814</v>
      </c>
    </row>
    <row r="47" spans="1:18" s="1287" customFormat="1" ht="13.8" thickBot="1">
      <c r="A47" s="890" t="s">
        <v>687</v>
      </c>
      <c r="B47" s="922" t="s">
        <v>688</v>
      </c>
      <c r="C47" s="922" t="s">
        <v>689</v>
      </c>
      <c r="D47" s="922" t="s">
        <v>690</v>
      </c>
      <c r="E47" s="992" t="s">
        <v>691</v>
      </c>
      <c r="F47" s="993"/>
      <c r="G47" s="680"/>
      <c r="I47" s="1316" t="s">
        <v>815</v>
      </c>
      <c r="J47" s="1317" t="s">
        <v>3538</v>
      </c>
      <c r="K47" s="1318" t="s">
        <v>816</v>
      </c>
      <c r="L47" s="1319">
        <f ca="1">INDIRECT("'数据-取费表'!d"&amp;$G$1)</f>
        <v>70</v>
      </c>
      <c r="M47" s="1283" t="str">
        <f>IF(ISNUMBER(FIND("住宅",C1)),"住宅","非住宅")</f>
        <v>住宅</v>
      </c>
      <c r="O47" s="1320" t="s">
        <v>403</v>
      </c>
      <c r="P47" s="1321" t="s">
        <v>817</v>
      </c>
      <c r="Q47" s="1322">
        <f ca="1">C40+J29</f>
        <v>734456</v>
      </c>
      <c r="R47" s="1322" t="s">
        <v>818</v>
      </c>
    </row>
    <row r="48" spans="1:18" s="1287" customFormat="1" ht="40.200000000000003" thickBot="1">
      <c r="A48" s="1044" t="s">
        <v>438</v>
      </c>
      <c r="B48" s="292" t="s">
        <v>692</v>
      </c>
      <c r="C48" s="1263">
        <f ca="1">C49+C53+C55</f>
        <v>0</v>
      </c>
      <c r="D48" s="1046"/>
      <c r="E48" s="1047"/>
      <c r="F48" s="906"/>
      <c r="G48" s="680"/>
      <c r="H48" s="681"/>
      <c r="I48" s="1323" t="s">
        <v>819</v>
      </c>
      <c r="J48" s="1324" t="s">
        <v>3564</v>
      </c>
      <c r="K48" s="1325" t="s">
        <v>820</v>
      </c>
      <c r="L48" s="1326">
        <f ca="1">INDIRECT("'数据-取费表'!f"&amp;$G$1)</f>
        <v>55.72</v>
      </c>
      <c r="O48" s="1320" t="s">
        <v>404</v>
      </c>
      <c r="P48" s="1321" t="s">
        <v>821</v>
      </c>
      <c r="Q48" s="1322" t="str">
        <f ca="1">J60</f>
        <v>0</v>
      </c>
      <c r="R48" s="1322" t="s">
        <v>822</v>
      </c>
    </row>
    <row r="49" spans="1:18" s="1287" customFormat="1" ht="13.8" thickBot="1">
      <c r="A49" s="919" t="s">
        <v>439</v>
      </c>
      <c r="B49" s="1274" t="s">
        <v>779</v>
      </c>
      <c r="C49" s="1048">
        <f ca="1">ROUND(F49*F51*F50*(1-F52),0)</f>
        <v>0</v>
      </c>
      <c r="D49" s="989" t="s">
        <v>695</v>
      </c>
      <c r="E49" s="1275" t="s">
        <v>780</v>
      </c>
      <c r="F49" s="994"/>
      <c r="H49" s="681"/>
      <c r="I49" s="1323" t="s">
        <v>823</v>
      </c>
      <c r="J49" s="1327"/>
      <c r="K49" s="1325" t="s">
        <v>824</v>
      </c>
      <c r="L49" s="1328"/>
      <c r="O49" s="1329" t="s">
        <v>405</v>
      </c>
      <c r="P49" s="1321" t="s">
        <v>825</v>
      </c>
      <c r="Q49" s="1322">
        <f ca="1">C29</f>
        <v>646064</v>
      </c>
      <c r="R49" s="1322" t="s">
        <v>818</v>
      </c>
    </row>
    <row r="50" spans="1:18" s="1287" customFormat="1" ht="13.8" thickBot="1">
      <c r="A50" s="920"/>
      <c r="B50" s="923"/>
      <c r="C50" s="924"/>
      <c r="D50" s="897"/>
      <c r="E50" s="990" t="s">
        <v>697</v>
      </c>
      <c r="F50" s="991">
        <f ca="1">F7</f>
        <v>1</v>
      </c>
      <c r="H50" s="681"/>
      <c r="I50" s="1323" t="s">
        <v>826</v>
      </c>
      <c r="J50" s="1330">
        <f>SUMPRODUCT((I63:I65=J47)*(J62:L62=J48)*(J63:L65))</f>
        <v>60</v>
      </c>
      <c r="K50" s="1325" t="s">
        <v>827</v>
      </c>
      <c r="L50" s="1328"/>
      <c r="M50" s="1331"/>
      <c r="O50" s="1329" t="s">
        <v>406</v>
      </c>
      <c r="P50" s="1321" t="s">
        <v>828</v>
      </c>
      <c r="Q50" s="1332" t="e">
        <f ca="1">J58</f>
        <v>#VALUE!</v>
      </c>
      <c r="R50" s="1322"/>
    </row>
    <row r="51" spans="1:18" s="1287" customFormat="1" ht="13.8" thickBot="1">
      <c r="A51" s="921"/>
      <c r="B51" s="923"/>
      <c r="C51" s="924"/>
      <c r="D51" s="897"/>
      <c r="E51" s="925" t="s">
        <v>698</v>
      </c>
      <c r="F51" s="295">
        <f ca="1">F8</f>
        <v>12</v>
      </c>
      <c r="I51" s="1333" t="s">
        <v>829</v>
      </c>
      <c r="J51" s="1326">
        <f>IF(J49="",J50,J49+J50-YEAR('数据-取费表'!B2))</f>
        <v>60</v>
      </c>
      <c r="K51" s="1334" t="s">
        <v>830</v>
      </c>
      <c r="L51" s="1335">
        <f ca="1">ROUND(-PV(INDIRECT("'数据-取费表'!h"&amp;$G$1),J51,(C39-C13*C76),0),0)</f>
        <v>-467329</v>
      </c>
      <c r="M51" s="1336"/>
      <c r="O51" s="1329" t="s">
        <v>407</v>
      </c>
      <c r="P51" s="1321" t="s">
        <v>831</v>
      </c>
      <c r="Q51" s="1332">
        <f>J52</f>
        <v>0</v>
      </c>
      <c r="R51" s="1322"/>
    </row>
    <row r="52" spans="1:18" s="1287" customFormat="1" ht="13.8" thickBot="1">
      <c r="A52" s="921"/>
      <c r="B52" s="923"/>
      <c r="C52" s="924"/>
      <c r="D52" s="897"/>
      <c r="E52" s="925" t="s">
        <v>699</v>
      </c>
      <c r="F52" s="988"/>
      <c r="I52" s="1337" t="s">
        <v>832</v>
      </c>
      <c r="J52" s="1338"/>
      <c r="K52" s="1337" t="s">
        <v>833</v>
      </c>
      <c r="L52" s="1338"/>
      <c r="O52" s="1329" t="s">
        <v>408</v>
      </c>
      <c r="P52" s="1321" t="s">
        <v>834</v>
      </c>
      <c r="Q52" s="1322">
        <f ca="1">J53</f>
        <v>60</v>
      </c>
      <c r="R52" s="1322" t="s">
        <v>835</v>
      </c>
    </row>
    <row r="53" spans="1:18" s="1287" customFormat="1" ht="30.75" customHeight="1" thickBot="1">
      <c r="A53" s="1045" t="s">
        <v>440</v>
      </c>
      <c r="B53" s="315" t="s">
        <v>700</v>
      </c>
      <c r="C53" s="308">
        <f ca="1">ROUND(IF(F53="押一",C49/12*F11,IF(F53="押二",C49/12*2*F11,IF(F53="押三",C49/12*3*F11,C54*F11))),0)</f>
        <v>0</v>
      </c>
      <c r="D53" s="150" t="s">
        <v>2114</v>
      </c>
      <c r="E53" s="305" t="s">
        <v>701</v>
      </c>
      <c r="F53" s="1050"/>
      <c r="I53" s="1339" t="s">
        <v>836</v>
      </c>
      <c r="J53" s="2001">
        <f ca="1">IF(M47="住宅",IF(D1="——",MAX(J51,L48),MAX(J51,L48-'数据-取费表'!B24)),IF(D1="——",MIN(J51,L48),MIN(J51,L48-'数据-取费表'!B24)))</f>
        <v>60</v>
      </c>
      <c r="K53" s="3356" t="s">
        <v>837</v>
      </c>
      <c r="L53" s="3357"/>
      <c r="O53" s="1320" t="s">
        <v>409</v>
      </c>
      <c r="P53" s="1321" t="s">
        <v>838</v>
      </c>
      <c r="Q53" s="1322">
        <f ca="1">Q47+Q48</f>
        <v>734456</v>
      </c>
      <c r="R53" s="1322" t="s">
        <v>410</v>
      </c>
    </row>
    <row r="54" spans="1:18" s="1287" customFormat="1" ht="13.8" thickBot="1">
      <c r="A54" s="919"/>
      <c r="B54" s="1372" t="s">
        <v>891</v>
      </c>
      <c r="C54" s="903"/>
      <c r="D54" s="150"/>
      <c r="E54" s="1277"/>
      <c r="F54" s="1340"/>
      <c r="I54" s="13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2"/>
      <c r="K54" s="1342"/>
      <c r="L54" s="1342"/>
      <c r="O54" s="1305" t="s">
        <v>839</v>
      </c>
      <c r="P54" s="1284"/>
      <c r="Q54" s="1284"/>
      <c r="R54" s="1284"/>
    </row>
    <row r="55" spans="1:18" s="1287" customFormat="1" ht="13.8" thickBot="1">
      <c r="A55" s="1017" t="s">
        <v>437</v>
      </c>
      <c r="B55" s="1272" t="s">
        <v>703</v>
      </c>
      <c r="C55" s="1018"/>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36" customHeight="1" thickTop="1" thickBot="1">
      <c r="A56" s="901">
        <v>2</v>
      </c>
      <c r="B56" s="902" t="s">
        <v>704</v>
      </c>
      <c r="C56" s="224">
        <f ca="1">C13</f>
        <v>600840</v>
      </c>
      <c r="D56" s="1347"/>
      <c r="E56" s="1348"/>
      <c r="F56" s="1340"/>
      <c r="I56" s="1349" t="s">
        <v>842</v>
      </c>
      <c r="J56" s="1350" t="s">
        <v>3565</v>
      </c>
      <c r="K56" s="1323" t="s">
        <v>843</v>
      </c>
      <c r="L56" s="1326" t="str">
        <f ca="1">IF(L48&lt;J51,"——",L48-J51)</f>
        <v>——</v>
      </c>
      <c r="O56" s="1320" t="s">
        <v>403</v>
      </c>
      <c r="P56" s="1321" t="s">
        <v>817</v>
      </c>
      <c r="Q56" s="1322">
        <f ca="1">C40+J29</f>
        <v>734456</v>
      </c>
      <c r="R56" s="1322" t="s">
        <v>818</v>
      </c>
    </row>
    <row r="57" spans="1:18" s="1287" customFormat="1" ht="24.6" thickBot="1">
      <c r="A57" s="1351"/>
      <c r="B57" s="894" t="s">
        <v>767</v>
      </c>
      <c r="C57" s="230">
        <f ca="1">C29</f>
        <v>646064</v>
      </c>
      <c r="D57" s="1352"/>
      <c r="E57" s="1353"/>
      <c r="F57" s="1354"/>
      <c r="I57" s="1355" t="s">
        <v>844</v>
      </c>
      <c r="J57" s="1356" t="str">
        <f ca="1">IF(OR(M47="住宅",J51&lt;L48,J56="是"),"——",J51-L48)</f>
        <v>——</v>
      </c>
      <c r="K57" s="1323" t="s">
        <v>892</v>
      </c>
      <c r="L57" s="1326" t="str">
        <f ca="1">IF(L48&lt;J51,"——",IF(L55="比较法",L49,IF(L55="基准地价",L50,L51)))</f>
        <v>——</v>
      </c>
      <c r="O57" s="1320" t="s">
        <v>404</v>
      </c>
      <c r="P57" s="1321" t="s">
        <v>893</v>
      </c>
      <c r="Q57" s="1322">
        <f ca="1">L60</f>
        <v>0</v>
      </c>
      <c r="R57" s="1322" t="s">
        <v>894</v>
      </c>
    </row>
    <row r="58" spans="1:18" s="1287" customFormat="1" ht="24.6" thickBot="1">
      <c r="A58" s="307" t="s">
        <v>393</v>
      </c>
      <c r="B58" s="902" t="s">
        <v>714</v>
      </c>
      <c r="C58" s="308">
        <f ca="1">ROUND(C59+C64+C65+C66,0)</f>
        <v>7062</v>
      </c>
      <c r="D58" s="904" t="s">
        <v>715</v>
      </c>
      <c r="E58" s="905"/>
      <c r="F58" s="906"/>
      <c r="I58" s="1355" t="s">
        <v>848</v>
      </c>
      <c r="J58" s="1357" t="e">
        <f ca="1">IF(J55&lt;0.4,0.4,J55)</f>
        <v>#VALUE!</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8" thickBot="1">
      <c r="A61" s="926" t="s">
        <v>781</v>
      </c>
      <c r="B61" s="894" t="s">
        <v>782</v>
      </c>
      <c r="C61" s="21">
        <f ca="1">IF(项目基本情况!B11="自然人","——",IF(D61="按租金收入计税",ROUND(C49*F61/(1+'数据-取费表'!C42),0),IF(D61="按房产原值计税",ROUND(C57*F61*0.7,0),INDIRECT("'数据-取费表'!Aj"&amp;$G$1))))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6" t="s">
        <v>784</v>
      </c>
      <c r="B62" s="893" t="s">
        <v>785</v>
      </c>
      <c r="C62" s="22">
        <f ca="1">IF(项目基本情况!B11="自然人","——",ROUND(F62*F63,0))</f>
        <v>0</v>
      </c>
      <c r="D62" s="909" t="s">
        <v>786</v>
      </c>
      <c r="E62" s="894" t="s">
        <v>787</v>
      </c>
      <c r="F62" s="317">
        <f t="shared" si="0"/>
        <v>0</v>
      </c>
      <c r="I62" s="1362" t="s">
        <v>858</v>
      </c>
      <c r="J62" s="610" t="s">
        <v>859</v>
      </c>
      <c r="K62" s="610" t="s">
        <v>860</v>
      </c>
      <c r="L62" s="610" t="s">
        <v>861</v>
      </c>
      <c r="M62" s="1363" t="s">
        <v>862</v>
      </c>
      <c r="O62" s="1320" t="s">
        <v>409</v>
      </c>
      <c r="P62" s="1321" t="s">
        <v>863</v>
      </c>
      <c r="Q62" s="1322">
        <f ca="1">Q56+Q57</f>
        <v>734456</v>
      </c>
      <c r="R62" s="1322" t="s">
        <v>410</v>
      </c>
    </row>
    <row r="63" spans="1:18" s="1287" customFormat="1" ht="13.8"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8" thickBot="1">
      <c r="A64" s="926" t="s">
        <v>789</v>
      </c>
      <c r="B64" s="894" t="s">
        <v>790</v>
      </c>
      <c r="C64" s="21">
        <f ca="1">ROUND(C57*F64,0)</f>
        <v>6461</v>
      </c>
      <c r="D64" s="908" t="s">
        <v>791</v>
      </c>
      <c r="E64" s="894" t="s">
        <v>783</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8" thickBot="1">
      <c r="A65" s="926" t="s">
        <v>792</v>
      </c>
      <c r="B65" s="894" t="s">
        <v>742</v>
      </c>
      <c r="C65" s="21">
        <f ca="1">ROUND(C56*F65,0)</f>
        <v>601</v>
      </c>
      <c r="D65" s="908" t="s">
        <v>743</v>
      </c>
      <c r="E65" s="894" t="s">
        <v>744</v>
      </c>
      <c r="F65" s="321">
        <f t="shared" ca="1" si="0"/>
        <v>1E-3</v>
      </c>
      <c r="I65" s="1362" t="s">
        <v>867</v>
      </c>
      <c r="J65" s="610">
        <v>40</v>
      </c>
      <c r="K65" s="610">
        <v>30</v>
      </c>
      <c r="L65" s="610">
        <v>50</v>
      </c>
      <c r="M65" s="1364">
        <v>0.02</v>
      </c>
      <c r="O65" s="1320" t="s">
        <v>403</v>
      </c>
      <c r="P65" s="1321" t="s">
        <v>868</v>
      </c>
      <c r="Q65" s="1322">
        <f ca="1">C40+J29</f>
        <v>734456</v>
      </c>
      <c r="R65" s="1322" t="s">
        <v>818</v>
      </c>
    </row>
    <row r="66" spans="1:18" s="1287" customFormat="1" ht="16.2" thickBot="1">
      <c r="A66" s="926" t="s">
        <v>793</v>
      </c>
      <c r="B66" s="894" t="s">
        <v>728</v>
      </c>
      <c r="C66" s="21">
        <f ca="1">ROUND(C48*F66,0)</f>
        <v>0</v>
      </c>
      <c r="D66" s="908" t="s">
        <v>794</v>
      </c>
      <c r="E66" s="894" t="s">
        <v>712</v>
      </c>
      <c r="F66" s="304">
        <f t="shared" ca="1" si="0"/>
        <v>0.01</v>
      </c>
      <c r="O66" s="1320" t="s">
        <v>404</v>
      </c>
      <c r="P66" s="1321" t="s">
        <v>846</v>
      </c>
      <c r="Q66" s="1322">
        <f ca="1">L60</f>
        <v>0</v>
      </c>
      <c r="R66" s="1322" t="s">
        <v>869</v>
      </c>
    </row>
    <row r="67" spans="1:18" s="1287" customFormat="1" ht="24.6" thickBot="1">
      <c r="A67" s="901" t="s">
        <v>394</v>
      </c>
      <c r="B67" s="911" t="s">
        <v>752</v>
      </c>
      <c r="C67" s="308">
        <f ca="1">C48-C58</f>
        <v>-7062</v>
      </c>
      <c r="D67" s="907" t="s">
        <v>753</v>
      </c>
      <c r="E67" s="912"/>
      <c r="F67" s="913"/>
      <c r="O67" s="1329" t="s">
        <v>405</v>
      </c>
      <c r="P67" s="1321" t="s">
        <v>850</v>
      </c>
      <c r="Q67" s="1365">
        <f ca="1">L51</f>
        <v>-467329</v>
      </c>
      <c r="R67" s="1322" t="s">
        <v>870</v>
      </c>
    </row>
    <row r="68" spans="1:18" s="1287" customFormat="1" ht="16.2" thickBot="1">
      <c r="A68" s="891" t="s">
        <v>395</v>
      </c>
      <c r="B68" s="892" t="s">
        <v>774</v>
      </c>
      <c r="C68" s="293">
        <f ca="1">ROUND(C67*(1-((1+F70)/(1+F68))^F69)/(F68-F70),0)</f>
        <v>-145746</v>
      </c>
      <c r="D68" s="909" t="s">
        <v>758</v>
      </c>
      <c r="E68" s="894" t="s">
        <v>759</v>
      </c>
      <c r="F68" s="304">
        <f ca="1">F40</f>
        <v>4.4999999999999998E-2</v>
      </c>
      <c r="O68" s="1329" t="s">
        <v>406</v>
      </c>
      <c r="P68" s="1366" t="s">
        <v>871</v>
      </c>
      <c r="Q68" s="1322">
        <f ca="1">ROUND(Q69-Q70*Q71,0)</f>
        <v>-20657</v>
      </c>
      <c r="R68" s="1322" t="s">
        <v>414</v>
      </c>
    </row>
    <row r="69" spans="1:18" s="1287" customFormat="1" ht="13.8" thickBot="1">
      <c r="A69" s="895"/>
      <c r="B69" s="896"/>
      <c r="C69" s="298"/>
      <c r="D69" s="914" t="s">
        <v>762</v>
      </c>
      <c r="E69" s="894" t="s">
        <v>763</v>
      </c>
      <c r="F69" s="324">
        <f ca="1">F41</f>
        <v>60</v>
      </c>
      <c r="O69" s="1329" t="s">
        <v>411</v>
      </c>
      <c r="P69" s="1366" t="s">
        <v>872</v>
      </c>
      <c r="Q69" s="1322">
        <f ca="1">C39</f>
        <v>21402</v>
      </c>
      <c r="R69" s="1322" t="s">
        <v>818</v>
      </c>
    </row>
    <row r="70" spans="1:18" s="1287" customFormat="1" ht="13.8" thickBot="1">
      <c r="A70" s="898"/>
      <c r="B70" s="899"/>
      <c r="C70" s="302"/>
      <c r="D70" s="910"/>
      <c r="E70" s="894" t="s">
        <v>766</v>
      </c>
      <c r="F70" s="988"/>
      <c r="O70" s="1329" t="s">
        <v>412</v>
      </c>
      <c r="P70" s="1366" t="s">
        <v>873</v>
      </c>
      <c r="Q70" s="1322">
        <f ca="1">C13</f>
        <v>600840</v>
      </c>
      <c r="R70" s="1322" t="s">
        <v>818</v>
      </c>
    </row>
    <row r="71" spans="1:18" s="1287" customFormat="1" ht="13.8" thickBot="1">
      <c r="A71" s="915" t="s">
        <v>396</v>
      </c>
      <c r="B71" s="916" t="s">
        <v>776</v>
      </c>
      <c r="C71" s="327">
        <f ca="1">ROUND(C68/F71,0)</f>
        <v>-1195</v>
      </c>
      <c r="D71" s="917" t="s">
        <v>777</v>
      </c>
      <c r="E71" s="918" t="s">
        <v>778</v>
      </c>
      <c r="F71" s="330">
        <f ca="1">F43</f>
        <v>121.97</v>
      </c>
      <c r="O71" s="1329" t="s">
        <v>413</v>
      </c>
      <c r="P71" s="1366" t="s">
        <v>874</v>
      </c>
      <c r="Q71" s="1332">
        <f ca="1">C76</f>
        <v>7.0000000000000007E-2</v>
      </c>
      <c r="R71" s="1322"/>
    </row>
    <row r="72" spans="1:18" s="1287" customFormat="1" ht="13.8" thickBot="1">
      <c r="B72" s="684"/>
      <c r="C72" s="684"/>
      <c r="O72" s="1329" t="s">
        <v>407</v>
      </c>
      <c r="P72" s="1321" t="s">
        <v>852</v>
      </c>
      <c r="Q72" s="1332">
        <f>L52</f>
        <v>0</v>
      </c>
      <c r="R72" s="1322"/>
    </row>
    <row r="73" spans="1:18" ht="16.2" thickBot="1">
      <c r="A73" s="1287"/>
      <c r="B73" s="684"/>
      <c r="C73" s="684"/>
      <c r="D73" s="1287"/>
      <c r="E73" s="1287"/>
      <c r="F73" s="1287"/>
      <c r="O73" s="1329" t="s">
        <v>408</v>
      </c>
      <c r="P73" s="1321" t="s">
        <v>855</v>
      </c>
      <c r="Q73" s="1322" t="e">
        <f ca="1">L58</f>
        <v>#DIV/0!</v>
      </c>
      <c r="R73" s="1322" t="s">
        <v>856</v>
      </c>
    </row>
    <row r="74" spans="1:18" ht="13.8"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31" t="s">
        <v>795</v>
      </c>
      <c r="C75" s="332">
        <f ca="1">ROUND(C13*C76,0)</f>
        <v>42059</v>
      </c>
      <c r="D75" s="1287"/>
      <c r="E75" s="1287"/>
      <c r="F75" s="1287"/>
      <c r="K75" s="1304"/>
      <c r="L75" s="1287"/>
      <c r="O75" s="1320" t="s">
        <v>409</v>
      </c>
      <c r="P75" s="1321" t="s">
        <v>838</v>
      </c>
      <c r="Q75" s="1322">
        <f ca="1">Q65+Q66</f>
        <v>734456</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-0.96500000000000008</v>
      </c>
    </row>
    <row r="80" spans="1:18">
      <c r="B80" s="331" t="s">
        <v>800</v>
      </c>
      <c r="C80" s="266">
        <f ca="1">ROUND(C75/C39,3)</f>
        <v>1.9650000000000001</v>
      </c>
    </row>
    <row r="81" spans="2:3">
      <c r="B81" s="262" t="s">
        <v>801</v>
      </c>
      <c r="C81" s="230"/>
    </row>
    <row r="82" spans="2:3">
      <c r="B82" s="265" t="s">
        <v>802</v>
      </c>
      <c r="C82" s="267">
        <f ca="1">1-C83</f>
        <v>0.18200000000000005</v>
      </c>
    </row>
    <row r="83" spans="2:3">
      <c r="B83" s="265" t="s">
        <v>803</v>
      </c>
      <c r="C83" s="266">
        <f ca="1">ROUND(C13/C40,3)</f>
        <v>0.81799999999999995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70" zoomScaleNormal="70" workbookViewId="0">
      <pane ySplit="24" topLeftCell="A25" activePane="bottomLeft" state="frozen"/>
      <selection activeCell="C50" sqref="C50"/>
      <selection pane="bottomLeft" activeCell="A86" sqref="A24:A86"/>
    </sheetView>
  </sheetViews>
  <sheetFormatPr defaultColWidth="9" defaultRowHeight="13.2"/>
  <cols>
    <col min="1" max="1" width="11.44140625" style="122" customWidth="1"/>
    <col min="2" max="2" width="9.21875" style="24" customWidth="1"/>
    <col min="3" max="3" width="9" style="24" customWidth="1"/>
    <col min="4" max="4" width="9" style="24"/>
    <col min="5" max="5" width="6.109375" style="24" customWidth="1"/>
    <col min="6" max="6" width="9" style="24"/>
    <col min="7" max="7" width="7.33203125" style="24" customWidth="1"/>
    <col min="8" max="8" width="9" style="24"/>
    <col min="9" max="9" width="7.66406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7" t="s">
        <v>2083</v>
      </c>
      <c r="C1" s="3455" t="s">
        <v>2084</v>
      </c>
      <c r="D1" s="3456"/>
      <c r="E1" s="3456"/>
      <c r="F1" s="3456"/>
      <c r="G1" s="3456"/>
      <c r="H1" s="3456"/>
      <c r="I1" s="3456"/>
      <c r="J1" s="3456"/>
      <c r="K1" s="3456"/>
      <c r="L1" s="3456"/>
      <c r="M1" s="3456"/>
      <c r="N1" s="3456"/>
      <c r="O1" s="3456"/>
      <c r="P1" s="3456"/>
      <c r="Q1" s="3456"/>
      <c r="R1" s="3456"/>
      <c r="S1" s="3457"/>
      <c r="T1" s="927" t="s">
        <v>2085</v>
      </c>
    </row>
    <row r="2" spans="1:45" s="625" customFormat="1" ht="26.4">
      <c r="A2" s="928"/>
      <c r="B2" s="622" t="s">
        <v>2086</v>
      </c>
      <c r="C2" s="14" t="str">
        <f t="shared" ref="C2:L2" si="0">C3&amp;"(含)"&amp;"-"&amp;D3</f>
        <v>0(含)-70</v>
      </c>
      <c r="D2" s="623" t="str">
        <f t="shared" si="0"/>
        <v>70(含)-95</v>
      </c>
      <c r="E2" s="623" t="str">
        <f t="shared" si="0"/>
        <v>95(含)-100</v>
      </c>
      <c r="F2" s="623" t="str">
        <f t="shared" si="0"/>
        <v>100(含)-130</v>
      </c>
      <c r="G2" s="623" t="str">
        <f t="shared" si="0"/>
        <v>130(含)-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30"/>
      <c r="B3" s="626"/>
      <c r="C3" s="6">
        <v>0</v>
      </c>
      <c r="D3" s="6">
        <v>70</v>
      </c>
      <c r="E3" s="6">
        <v>95</v>
      </c>
      <c r="F3" s="6">
        <v>100</v>
      </c>
      <c r="G3" s="6">
        <v>130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31"/>
      <c r="B4" s="932"/>
      <c r="C4" s="467">
        <v>100</v>
      </c>
      <c r="D4" s="467">
        <f>C4-2</f>
        <v>98</v>
      </c>
      <c r="E4" s="467">
        <f t="shared" ref="E4:G4" si="7">D4-2</f>
        <v>96</v>
      </c>
      <c r="F4" s="467">
        <f t="shared" si="7"/>
        <v>94</v>
      </c>
      <c r="G4" s="467">
        <f t="shared" si="7"/>
        <v>92</v>
      </c>
      <c r="H4" s="1221"/>
      <c r="I4" s="1221"/>
      <c r="J4" s="1221"/>
      <c r="K4" s="1221"/>
      <c r="L4" s="1221"/>
      <c r="M4" s="1222"/>
      <c r="N4" s="1222"/>
      <c r="O4" s="1221"/>
      <c r="P4" s="1221"/>
      <c r="Q4" s="1221"/>
      <c r="R4" s="1221"/>
      <c r="S4" s="1223"/>
      <c r="T4" s="93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3"/>
      <c r="B5" s="3165" t="s">
        <v>3650</v>
      </c>
      <c r="C5" s="3151" t="s">
        <v>3629</v>
      </c>
      <c r="D5" s="3151" t="s">
        <v>3630</v>
      </c>
      <c r="E5" s="3151" t="s">
        <v>3631</v>
      </c>
      <c r="F5" s="3158" t="s">
        <v>3632</v>
      </c>
      <c r="G5" s="3151" t="s">
        <v>3633</v>
      </c>
      <c r="H5" s="3151" t="s">
        <v>3634</v>
      </c>
      <c r="I5" s="3151" t="s">
        <v>3635</v>
      </c>
      <c r="J5" s="3151" t="s">
        <v>3636</v>
      </c>
      <c r="K5" s="3151" t="s">
        <v>3637</v>
      </c>
      <c r="L5" s="3151" t="s">
        <v>3638</v>
      </c>
      <c r="M5" s="1225"/>
      <c r="N5" s="1225"/>
      <c r="O5" s="1224"/>
      <c r="P5" s="1224"/>
      <c r="Q5" s="1224"/>
      <c r="R5" s="1224"/>
      <c r="S5" s="1226"/>
      <c r="T5" s="941">
        <v>0.5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3"/>
      <c r="B6" s="845"/>
      <c r="C6" s="850">
        <v>100</v>
      </c>
      <c r="D6" s="848">
        <f>C6-$T5</f>
        <v>99.5</v>
      </c>
      <c r="E6" s="848">
        <f t="shared" ref="E6:S6" si="8">D6-$T5</f>
        <v>99</v>
      </c>
      <c r="F6" s="1227">
        <f t="shared" si="8"/>
        <v>98.5</v>
      </c>
      <c r="G6" s="1227">
        <f t="shared" si="8"/>
        <v>98</v>
      </c>
      <c r="H6" s="1227">
        <f t="shared" si="8"/>
        <v>97.5</v>
      </c>
      <c r="I6" s="1227">
        <f t="shared" si="8"/>
        <v>97</v>
      </c>
      <c r="J6" s="1227">
        <f t="shared" si="8"/>
        <v>96.5</v>
      </c>
      <c r="K6" s="1227">
        <f t="shared" si="8"/>
        <v>96</v>
      </c>
      <c r="L6" s="1227">
        <f t="shared" si="8"/>
        <v>95.5</v>
      </c>
      <c r="M6" s="1227">
        <f t="shared" si="8"/>
        <v>95</v>
      </c>
      <c r="N6" s="1227">
        <f t="shared" si="8"/>
        <v>94.5</v>
      </c>
      <c r="O6" s="1227">
        <f t="shared" si="8"/>
        <v>94</v>
      </c>
      <c r="P6" s="1227">
        <f t="shared" si="8"/>
        <v>93.5</v>
      </c>
      <c r="Q6" s="1227">
        <f t="shared" si="8"/>
        <v>93</v>
      </c>
      <c r="R6" s="1227">
        <f t="shared" si="8"/>
        <v>92.5</v>
      </c>
      <c r="S6" s="1227">
        <f t="shared" si="8"/>
        <v>92</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t="24">
      <c r="A7" s="923"/>
      <c r="B7" s="3166" t="s">
        <v>3651</v>
      </c>
      <c r="C7" s="3167" t="s">
        <v>3643</v>
      </c>
      <c r="D7" s="3168" t="s">
        <v>3645</v>
      </c>
      <c r="E7" s="3168" t="s">
        <v>3647</v>
      </c>
      <c r="F7" s="1228"/>
      <c r="G7" s="1228"/>
      <c r="H7" s="1228"/>
      <c r="I7" s="1228"/>
      <c r="J7" s="1228"/>
      <c r="K7" s="1228"/>
      <c r="L7" s="1228"/>
      <c r="M7" s="1229"/>
      <c r="N7" s="1230"/>
      <c r="O7" s="1231"/>
      <c r="P7" s="1231"/>
      <c r="Q7" s="1232"/>
      <c r="R7" s="1233"/>
      <c r="S7" s="1234"/>
      <c r="T7" s="630">
        <v>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3"/>
      <c r="B8" s="845"/>
      <c r="C8" s="850">
        <v>100</v>
      </c>
      <c r="D8" s="848">
        <f>C8-$T7</f>
        <v>95</v>
      </c>
      <c r="E8" s="848">
        <f t="shared" ref="E8:S8" si="9">D8-$T7</f>
        <v>90</v>
      </c>
      <c r="F8" s="1227">
        <f t="shared" si="9"/>
        <v>85</v>
      </c>
      <c r="G8" s="1227">
        <f t="shared" si="9"/>
        <v>80</v>
      </c>
      <c r="H8" s="1227">
        <f t="shared" si="9"/>
        <v>75</v>
      </c>
      <c r="I8" s="1227">
        <f t="shared" si="9"/>
        <v>70</v>
      </c>
      <c r="J8" s="1227">
        <f t="shared" si="9"/>
        <v>65</v>
      </c>
      <c r="K8" s="1227">
        <f t="shared" si="9"/>
        <v>60</v>
      </c>
      <c r="L8" s="1227">
        <f t="shared" si="9"/>
        <v>55</v>
      </c>
      <c r="M8" s="1227">
        <f t="shared" si="9"/>
        <v>50</v>
      </c>
      <c r="N8" s="1227">
        <f t="shared" si="9"/>
        <v>45</v>
      </c>
      <c r="O8" s="1227">
        <f t="shared" si="9"/>
        <v>40</v>
      </c>
      <c r="P8" s="1227">
        <f t="shared" si="9"/>
        <v>35</v>
      </c>
      <c r="Q8" s="1227">
        <f t="shared" si="9"/>
        <v>30</v>
      </c>
      <c r="R8" s="1227">
        <f t="shared" si="9"/>
        <v>25</v>
      </c>
      <c r="S8" s="1227">
        <f t="shared" si="9"/>
        <v>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3166"/>
      <c r="C9" s="3167" t="s">
        <v>3656</v>
      </c>
      <c r="D9" s="3168" t="s">
        <v>3658</v>
      </c>
      <c r="E9" s="844"/>
      <c r="F9" s="1228"/>
      <c r="G9" s="1228"/>
      <c r="H9" s="1228"/>
      <c r="I9" s="1228"/>
      <c r="J9" s="1228"/>
      <c r="K9" s="1228"/>
      <c r="L9" s="1235"/>
      <c r="M9" s="1229"/>
      <c r="N9" s="1230"/>
      <c r="O9" s="1231"/>
      <c r="P9" s="1231"/>
      <c r="Q9" s="1232"/>
      <c r="R9" s="1233"/>
      <c r="S9" s="1234"/>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3"/>
      <c r="B10" s="932"/>
      <c r="C10" s="942">
        <v>100</v>
      </c>
      <c r="D10" s="714">
        <f>C10-$T9</f>
        <v>95</v>
      </c>
      <c r="E10" s="714">
        <f t="shared" ref="E10:S10" si="10">D10-$T9</f>
        <v>90</v>
      </c>
      <c r="F10" s="1236">
        <f t="shared" si="10"/>
        <v>85</v>
      </c>
      <c r="G10" s="1236">
        <f t="shared" si="10"/>
        <v>80</v>
      </c>
      <c r="H10" s="1236">
        <f t="shared" si="10"/>
        <v>75</v>
      </c>
      <c r="I10" s="1236">
        <f t="shared" si="10"/>
        <v>70</v>
      </c>
      <c r="J10" s="1236">
        <f t="shared" si="10"/>
        <v>65</v>
      </c>
      <c r="K10" s="1236">
        <f t="shared" si="10"/>
        <v>60</v>
      </c>
      <c r="L10" s="1236">
        <f t="shared" si="10"/>
        <v>55</v>
      </c>
      <c r="M10" s="1236">
        <f t="shared" si="10"/>
        <v>50</v>
      </c>
      <c r="N10" s="1236">
        <f t="shared" si="10"/>
        <v>45</v>
      </c>
      <c r="O10" s="1236">
        <f t="shared" si="10"/>
        <v>40</v>
      </c>
      <c r="P10" s="1236">
        <f t="shared" si="10"/>
        <v>35</v>
      </c>
      <c r="Q10" s="1236">
        <f t="shared" si="10"/>
        <v>30</v>
      </c>
      <c r="R10" s="1236">
        <f t="shared" si="10"/>
        <v>25</v>
      </c>
      <c r="S10" s="1236">
        <f t="shared" si="10"/>
        <v>20</v>
      </c>
      <c r="T10" s="937"/>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3165" t="s">
        <v>3654</v>
      </c>
      <c r="C11" s="938"/>
      <c r="D11" s="939"/>
      <c r="E11" s="939"/>
      <c r="F11" s="939"/>
      <c r="G11" s="939"/>
      <c r="H11" s="939"/>
      <c r="I11" s="939"/>
      <c r="J11" s="939"/>
      <c r="K11" s="939"/>
      <c r="L11" s="939"/>
      <c r="M11" s="940"/>
      <c r="N11" s="943"/>
      <c r="O11" s="944"/>
      <c r="P11" s="944"/>
      <c r="Q11" s="945"/>
      <c r="R11" s="946"/>
      <c r="S11" s="947"/>
      <c r="T11" s="941"/>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3"/>
      <c r="B12" s="845"/>
      <c r="C12" s="850">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3"/>
      <c r="B13" s="1245" t="s">
        <v>2087</v>
      </c>
      <c r="C13" s="938"/>
      <c r="D13" s="939"/>
      <c r="E13" s="939"/>
      <c r="F13" s="939"/>
      <c r="G13" s="939"/>
      <c r="H13" s="939"/>
      <c r="I13" s="939"/>
      <c r="J13" s="939"/>
      <c r="K13" s="939"/>
      <c r="L13" s="939"/>
      <c r="M13" s="940"/>
      <c r="N13" s="943"/>
      <c r="O13" s="944"/>
      <c r="P13" s="944"/>
      <c r="Q13" s="945"/>
      <c r="R13" s="946"/>
      <c r="S13" s="947"/>
      <c r="T13" s="948"/>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3"/>
      <c r="B14" s="845"/>
      <c r="C14" s="849"/>
      <c r="D14" s="846"/>
      <c r="E14" s="846"/>
      <c r="F14" s="846"/>
      <c r="G14" s="846"/>
      <c r="H14" s="846"/>
      <c r="I14" s="846"/>
      <c r="J14" s="846"/>
      <c r="K14" s="846"/>
      <c r="L14" s="846"/>
      <c r="M14" s="949"/>
      <c r="N14" s="949"/>
      <c r="O14" s="846"/>
      <c r="P14" s="846"/>
      <c r="Q14" s="846"/>
      <c r="R14" s="846"/>
      <c r="S14" s="950"/>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3"/>
      <c r="B15" s="1245" t="s">
        <v>2088</v>
      </c>
      <c r="C15" s="938"/>
      <c r="D15" s="939"/>
      <c r="E15" s="939"/>
      <c r="F15" s="939"/>
      <c r="G15" s="939"/>
      <c r="H15" s="939"/>
      <c r="I15" s="939"/>
      <c r="J15" s="939"/>
      <c r="K15" s="939"/>
      <c r="L15" s="939"/>
      <c r="M15" s="940"/>
      <c r="N15" s="943"/>
      <c r="O15" s="944"/>
      <c r="P15" s="944"/>
      <c r="Q15" s="945"/>
      <c r="R15" s="946"/>
      <c r="S15" s="947"/>
      <c r="T15" s="948"/>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4">
      <c r="A17" s="1981" t="s">
        <v>2089</v>
      </c>
      <c r="B17" s="1982" t="s">
        <v>2090</v>
      </c>
      <c r="C17" s="3163" t="s">
        <v>3643</v>
      </c>
      <c r="D17" s="3164" t="s">
        <v>3645</v>
      </c>
      <c r="E17" s="3164" t="s">
        <v>3647</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5"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3" t="s">
        <v>2091</v>
      </c>
      <c r="E19" s="1248"/>
      <c r="F19" s="1248"/>
      <c r="G19" s="1248"/>
      <c r="H19" s="993"/>
      <c r="I19" s="151"/>
      <c r="J19" s="151"/>
      <c r="K19" s="151"/>
      <c r="L19" s="151"/>
      <c r="M19" s="151"/>
      <c r="N19" s="151"/>
      <c r="O19" s="151"/>
      <c r="P19" s="151"/>
      <c r="Q19" s="151"/>
      <c r="R19" s="151"/>
      <c r="S19" s="121"/>
    </row>
    <row r="20" spans="1:45" ht="16.2" thickBot="1">
      <c r="A20" s="631" t="s">
        <v>2092</v>
      </c>
      <c r="B20" s="286" t="e">
        <f ca="1">IF(D20="——",S22,S22-F20)</f>
        <v>#REF!</v>
      </c>
      <c r="C20" s="151"/>
      <c r="D20" s="1984"/>
      <c r="E20" s="1249"/>
      <c r="F20" s="927" t="e">
        <f ca="1">SUMIF(INDIRECT("'"&amp;H20&amp;"'"&amp;"!A:A"),"承租人权益价值",INDIRECT("'"&amp;H20&amp;"'"&amp;"!c:c"))</f>
        <v>#REF!</v>
      </c>
      <c r="G20" s="927" t="s">
        <v>2093</v>
      </c>
      <c r="H20" s="1985"/>
      <c r="I20" s="151"/>
      <c r="J20" s="151"/>
      <c r="K20" s="151"/>
      <c r="L20" s="151"/>
      <c r="M20" s="151"/>
      <c r="N20" s="151"/>
      <c r="O20" s="151"/>
      <c r="P20" s="151"/>
      <c r="Q20" s="151"/>
      <c r="R20" s="151"/>
      <c r="S20" s="121"/>
    </row>
    <row r="21" spans="1:45" ht="15.6">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7485.7999999999929</v>
      </c>
      <c r="C22" s="3452" t="s">
        <v>27</v>
      </c>
      <c r="D22" s="3453"/>
      <c r="E22" s="3453"/>
      <c r="F22" s="3453"/>
      <c r="G22" s="3453"/>
      <c r="H22" s="3453"/>
      <c r="I22" s="3453"/>
      <c r="J22" s="3453"/>
      <c r="K22" s="3453"/>
      <c r="L22" s="3453"/>
      <c r="M22" s="3453"/>
      <c r="N22" s="3453"/>
      <c r="O22" s="3453"/>
      <c r="P22" s="3453"/>
      <c r="Q22" s="3454"/>
      <c r="R22" s="21">
        <f ca="1">ROUND(S22*10000/B22,0)</f>
        <v>18645</v>
      </c>
      <c r="S22" s="21">
        <f ca="1">SUM(S24:S10000)</f>
        <v>13957</v>
      </c>
    </row>
    <row r="23" spans="1:45" s="9" customFormat="1" ht="24">
      <c r="A23" s="8" t="s">
        <v>2096</v>
      </c>
      <c r="B23" s="8" t="s">
        <v>2097</v>
      </c>
      <c r="C23" s="8" t="s">
        <v>2098</v>
      </c>
      <c r="D23" s="8" t="str">
        <f>B5</f>
        <v>朝向</v>
      </c>
      <c r="E23" s="8" t="s">
        <v>2098</v>
      </c>
      <c r="F23" s="8" t="str">
        <f>B7</f>
        <v>楼层</v>
      </c>
      <c r="G23" s="8" t="s">
        <v>2098</v>
      </c>
      <c r="H23" s="8">
        <f>B9</f>
        <v>0</v>
      </c>
      <c r="I23" s="8" t="s">
        <v>2098</v>
      </c>
      <c r="J23" s="8" t="str">
        <f>B11</f>
        <v>户型</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'2号楼'!F13</f>
        <v>2-1-1202</v>
      </c>
      <c r="B24" s="632">
        <f>'2号楼'!K13</f>
        <v>121.97</v>
      </c>
      <c r="C24" s="3170">
        <v>1</v>
      </c>
      <c r="D24" s="2564"/>
      <c r="E24" s="3170">
        <v>1</v>
      </c>
      <c r="F24" s="2564" t="s">
        <v>3644</v>
      </c>
      <c r="G24" s="2563">
        <v>1</v>
      </c>
      <c r="H24" s="2564" t="s">
        <v>3655</v>
      </c>
      <c r="I24" s="3170">
        <v>1</v>
      </c>
      <c r="J24" s="2564"/>
      <c r="K24" s="3170">
        <v>1</v>
      </c>
      <c r="L24" s="2564"/>
      <c r="M24" s="2563">
        <v>1</v>
      </c>
      <c r="N24" s="2564"/>
      <c r="O24" s="2563">
        <v>1</v>
      </c>
      <c r="P24" s="2564"/>
      <c r="Q24" s="2563">
        <v>1</v>
      </c>
      <c r="R24" s="632">
        <f ca="1">结果表!H102</f>
        <v>18633</v>
      </c>
      <c r="S24" s="633">
        <f t="shared" ref="S24:S54" ca="1" si="12">ROUND(R24*B24/10000,0)</f>
        <v>227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'2号楼'!F2</f>
        <v>2-1-102</v>
      </c>
      <c r="B25" s="52">
        <f>'2号楼'!K2</f>
        <v>105.21</v>
      </c>
      <c r="C25" s="3169">
        <f>IF(B25="",1,(LOOKUP(B25,$3:$3,$4:$4)-LOOKUP($B$24,$3:$3,$4:$4)+100)/100)</f>
        <v>1</v>
      </c>
      <c r="D25" s="634"/>
      <c r="E25" s="3169">
        <f>(SUMIF($5:$5,D25,$6:$6)-SUMIF($5:$5,$D$24,$6:$6)+100)/100</f>
        <v>1</v>
      </c>
      <c r="F25" s="634" t="s">
        <v>3646</v>
      </c>
      <c r="G25" s="3169">
        <f>(SUMIF($7:$7,F25,$8:$8)-SUMIF($7:$7,$F$24,$8:$8)+100)/100</f>
        <v>0.95</v>
      </c>
      <c r="H25" s="634" t="s">
        <v>3655</v>
      </c>
      <c r="I25" s="3169">
        <f>(SUMIF($9:$9,H25,$10:$10)-SUMIF($9:$9,$H$24,$10:$10)+100)/100</f>
        <v>1</v>
      </c>
      <c r="J25" s="634"/>
      <c r="K25" s="3169">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17701</v>
      </c>
      <c r="S25" s="308">
        <f t="shared" ca="1" si="12"/>
        <v>186</v>
      </c>
    </row>
    <row r="26" spans="1:45">
      <c r="A26" s="142" t="str">
        <f>'2号楼'!F3</f>
        <v>2-1-302</v>
      </c>
      <c r="B26" s="52">
        <f>'2号楼'!K3</f>
        <v>121.97</v>
      </c>
      <c r="C26" s="3169">
        <f t="shared" ref="C26:C89" si="13">IF(B26="",1,(LOOKUP(B26,$3:$3,$4:$4)-LOOKUP($B$24,$3:$3,$4:$4)+100)/100)</f>
        <v>1</v>
      </c>
      <c r="D26" s="634"/>
      <c r="E26" s="3169">
        <f t="shared" ref="E26:E89" si="14">(SUMIF($5:$5,D26,$6:$6)-SUMIF($5:$5,$D$24,$6:$6)+100)/100</f>
        <v>1</v>
      </c>
      <c r="F26" s="634" t="str">
        <f>'2号楼'!L3</f>
        <v>低楼层</v>
      </c>
      <c r="G26" s="21">
        <f t="shared" ref="G26:G89" si="15">(SUMIF($7:$7,F26,$8:$8)-SUMIF($7:$7,$F$24,$8:$8)+100)/100</f>
        <v>0.95</v>
      </c>
      <c r="H26" s="2564" t="s">
        <v>3655</v>
      </c>
      <c r="I26" s="3169">
        <f t="shared" ref="I26:I89" si="16">(SUMIF($9:$9,H26,$10:$10)-SUMIF($9:$9,$H$24,$10:$10)+100)/100</f>
        <v>1</v>
      </c>
      <c r="J26" s="634"/>
      <c r="K26" s="3169">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17701</v>
      </c>
      <c r="S26" s="308">
        <f t="shared" ca="1" si="12"/>
        <v>216</v>
      </c>
    </row>
    <row r="27" spans="1:45">
      <c r="A27" s="142" t="str">
        <f>'2号楼'!F4</f>
        <v>2-1-402</v>
      </c>
      <c r="B27" s="52">
        <f>'2号楼'!K4</f>
        <v>121.97</v>
      </c>
      <c r="C27" s="3169">
        <f t="shared" si="13"/>
        <v>1</v>
      </c>
      <c r="D27" s="634"/>
      <c r="E27" s="3169">
        <f t="shared" si="14"/>
        <v>1</v>
      </c>
      <c r="F27" s="634" t="str">
        <f>'2号楼'!L4</f>
        <v>低楼层</v>
      </c>
      <c r="G27" s="21">
        <f t="shared" si="15"/>
        <v>0.95</v>
      </c>
      <c r="H27" s="2564" t="s">
        <v>3655</v>
      </c>
      <c r="I27" s="3169">
        <f t="shared" si="16"/>
        <v>1</v>
      </c>
      <c r="J27" s="634"/>
      <c r="K27" s="3169">
        <f t="shared" si="17"/>
        <v>1</v>
      </c>
      <c r="L27" s="634"/>
      <c r="M27" s="21">
        <f t="shared" si="18"/>
        <v>1</v>
      </c>
      <c r="N27" s="634"/>
      <c r="O27" s="21">
        <f t="shared" si="19"/>
        <v>1</v>
      </c>
      <c r="P27" s="634"/>
      <c r="Q27" s="21">
        <f t="shared" si="20"/>
        <v>1</v>
      </c>
      <c r="R27" s="21">
        <f t="shared" ca="1" si="21"/>
        <v>17701</v>
      </c>
      <c r="S27" s="308">
        <f t="shared" ca="1" si="12"/>
        <v>216</v>
      </c>
    </row>
    <row r="28" spans="1:45">
      <c r="A28" s="142" t="str">
        <f>'2号楼'!F5</f>
        <v>2-1-403</v>
      </c>
      <c r="B28" s="52">
        <f>'2号楼'!K5</f>
        <v>121.97</v>
      </c>
      <c r="C28" s="3169">
        <f t="shared" si="13"/>
        <v>1</v>
      </c>
      <c r="D28" s="634"/>
      <c r="E28" s="3169">
        <f t="shared" si="14"/>
        <v>1</v>
      </c>
      <c r="F28" s="634" t="str">
        <f>'2号楼'!L5</f>
        <v>低楼层</v>
      </c>
      <c r="G28" s="21">
        <f t="shared" si="15"/>
        <v>0.95</v>
      </c>
      <c r="H28" s="2564" t="s">
        <v>3655</v>
      </c>
      <c r="I28" s="3169">
        <f t="shared" si="16"/>
        <v>1</v>
      </c>
      <c r="J28" s="634"/>
      <c r="K28" s="3169">
        <f t="shared" si="17"/>
        <v>1</v>
      </c>
      <c r="L28" s="634"/>
      <c r="M28" s="21">
        <f t="shared" si="18"/>
        <v>1</v>
      </c>
      <c r="N28" s="634"/>
      <c r="O28" s="21">
        <f t="shared" si="19"/>
        <v>1</v>
      </c>
      <c r="P28" s="634"/>
      <c r="Q28" s="21">
        <f t="shared" si="20"/>
        <v>1</v>
      </c>
      <c r="R28" s="21">
        <f t="shared" ca="1" si="21"/>
        <v>17701</v>
      </c>
      <c r="S28" s="308">
        <f t="shared" ca="1" si="12"/>
        <v>216</v>
      </c>
    </row>
    <row r="29" spans="1:45">
      <c r="A29" s="142" t="str">
        <f>'2号楼'!F6</f>
        <v>2-1-502</v>
      </c>
      <c r="B29" s="52">
        <f>'2号楼'!K6</f>
        <v>121.97</v>
      </c>
      <c r="C29" s="3169">
        <f t="shared" si="13"/>
        <v>1</v>
      </c>
      <c r="D29" s="634"/>
      <c r="E29" s="3169">
        <f t="shared" si="14"/>
        <v>1</v>
      </c>
      <c r="F29" s="634" t="str">
        <f>'2号楼'!L6</f>
        <v>低楼层</v>
      </c>
      <c r="G29" s="21">
        <f t="shared" si="15"/>
        <v>0.95</v>
      </c>
      <c r="H29" s="2564" t="s">
        <v>3655</v>
      </c>
      <c r="I29" s="3169">
        <f t="shared" si="16"/>
        <v>1</v>
      </c>
      <c r="J29" s="634"/>
      <c r="K29" s="3169">
        <f t="shared" si="17"/>
        <v>1</v>
      </c>
      <c r="L29" s="634"/>
      <c r="M29" s="21">
        <f t="shared" si="18"/>
        <v>1</v>
      </c>
      <c r="N29" s="634"/>
      <c r="O29" s="21">
        <f t="shared" si="19"/>
        <v>1</v>
      </c>
      <c r="P29" s="634"/>
      <c r="Q29" s="21">
        <f t="shared" si="20"/>
        <v>1</v>
      </c>
      <c r="R29" s="21">
        <f t="shared" ca="1" si="21"/>
        <v>17701</v>
      </c>
      <c r="S29" s="308">
        <f t="shared" ca="1" si="12"/>
        <v>216</v>
      </c>
    </row>
    <row r="30" spans="1:45">
      <c r="A30" s="142" t="str">
        <f>'2号楼'!F7</f>
        <v>2-1-503</v>
      </c>
      <c r="B30" s="52">
        <f>'2号楼'!K7</f>
        <v>121.97</v>
      </c>
      <c r="C30" s="3169">
        <f t="shared" si="13"/>
        <v>1</v>
      </c>
      <c r="D30" s="634"/>
      <c r="E30" s="3169">
        <f t="shared" si="14"/>
        <v>1</v>
      </c>
      <c r="F30" s="634" t="str">
        <f>'2号楼'!L7</f>
        <v>低楼层</v>
      </c>
      <c r="G30" s="21">
        <f t="shared" si="15"/>
        <v>0.95</v>
      </c>
      <c r="H30" s="2564" t="s">
        <v>3655</v>
      </c>
      <c r="I30" s="3169">
        <f t="shared" si="16"/>
        <v>1</v>
      </c>
      <c r="J30" s="634"/>
      <c r="K30" s="3169">
        <f t="shared" si="17"/>
        <v>1</v>
      </c>
      <c r="L30" s="634"/>
      <c r="M30" s="21">
        <f t="shared" si="18"/>
        <v>1</v>
      </c>
      <c r="N30" s="634"/>
      <c r="O30" s="21">
        <f t="shared" si="19"/>
        <v>1</v>
      </c>
      <c r="P30" s="634"/>
      <c r="Q30" s="21">
        <f t="shared" si="20"/>
        <v>1</v>
      </c>
      <c r="R30" s="21">
        <f t="shared" ca="1" si="21"/>
        <v>17701</v>
      </c>
      <c r="S30" s="308">
        <f t="shared" ca="1" si="12"/>
        <v>216</v>
      </c>
    </row>
    <row r="31" spans="1:45">
      <c r="A31" s="142" t="str">
        <f>'2号楼'!F8</f>
        <v>2-1-602</v>
      </c>
      <c r="B31" s="52">
        <f>'2号楼'!K8</f>
        <v>121.97</v>
      </c>
      <c r="C31" s="3169">
        <f t="shared" si="13"/>
        <v>1</v>
      </c>
      <c r="D31" s="634"/>
      <c r="E31" s="3169">
        <f t="shared" si="14"/>
        <v>1</v>
      </c>
      <c r="F31" s="634" t="str">
        <f>'2号楼'!L8</f>
        <v>低楼层</v>
      </c>
      <c r="G31" s="21">
        <f t="shared" si="15"/>
        <v>0.95</v>
      </c>
      <c r="H31" s="2564" t="s">
        <v>3655</v>
      </c>
      <c r="I31" s="3169">
        <f t="shared" si="16"/>
        <v>1</v>
      </c>
      <c r="J31" s="634"/>
      <c r="K31" s="3169">
        <f t="shared" si="17"/>
        <v>1</v>
      </c>
      <c r="L31" s="634"/>
      <c r="M31" s="21">
        <f t="shared" si="18"/>
        <v>1</v>
      </c>
      <c r="N31" s="634"/>
      <c r="O31" s="21">
        <f t="shared" si="19"/>
        <v>1</v>
      </c>
      <c r="P31" s="634"/>
      <c r="Q31" s="21">
        <f t="shared" si="20"/>
        <v>1</v>
      </c>
      <c r="R31" s="21">
        <f t="shared" ca="1" si="21"/>
        <v>17701</v>
      </c>
      <c r="S31" s="308">
        <f t="shared" ca="1" si="12"/>
        <v>216</v>
      </c>
    </row>
    <row r="32" spans="1:45">
      <c r="A32" s="142" t="str">
        <f>'2号楼'!F9</f>
        <v>2-1-702</v>
      </c>
      <c r="B32" s="52">
        <f>'2号楼'!K9</f>
        <v>121.97</v>
      </c>
      <c r="C32" s="3169">
        <f t="shared" si="13"/>
        <v>1</v>
      </c>
      <c r="D32" s="634"/>
      <c r="E32" s="3169">
        <f t="shared" si="14"/>
        <v>1</v>
      </c>
      <c r="F32" s="634" t="str">
        <f>'2号楼'!L9</f>
        <v>低楼层</v>
      </c>
      <c r="G32" s="21">
        <f t="shared" si="15"/>
        <v>0.95</v>
      </c>
      <c r="H32" s="2564" t="s">
        <v>3655</v>
      </c>
      <c r="I32" s="3169">
        <f t="shared" si="16"/>
        <v>1</v>
      </c>
      <c r="J32" s="634"/>
      <c r="K32" s="3169">
        <f t="shared" si="17"/>
        <v>1</v>
      </c>
      <c r="L32" s="634"/>
      <c r="M32" s="21">
        <f t="shared" si="18"/>
        <v>1</v>
      </c>
      <c r="N32" s="634"/>
      <c r="O32" s="21">
        <f t="shared" si="19"/>
        <v>1</v>
      </c>
      <c r="P32" s="634"/>
      <c r="Q32" s="21">
        <f t="shared" si="20"/>
        <v>1</v>
      </c>
      <c r="R32" s="21">
        <f t="shared" ca="1" si="21"/>
        <v>17701</v>
      </c>
      <c r="S32" s="308">
        <f t="shared" ca="1" si="12"/>
        <v>216</v>
      </c>
    </row>
    <row r="33" spans="1:19">
      <c r="A33" s="142" t="str">
        <f>'2号楼'!F10</f>
        <v>2-1-802</v>
      </c>
      <c r="B33" s="52">
        <f>'2号楼'!K10</f>
        <v>121.97</v>
      </c>
      <c r="C33" s="3169">
        <f t="shared" si="13"/>
        <v>1</v>
      </c>
      <c r="D33" s="634"/>
      <c r="E33" s="3169">
        <f t="shared" si="14"/>
        <v>1</v>
      </c>
      <c r="F33" s="634" t="str">
        <f>'2号楼'!L10</f>
        <v>低楼层</v>
      </c>
      <c r="G33" s="21">
        <f t="shared" si="15"/>
        <v>0.95</v>
      </c>
      <c r="H33" s="2564" t="s">
        <v>3655</v>
      </c>
      <c r="I33" s="3169">
        <f t="shared" si="16"/>
        <v>1</v>
      </c>
      <c r="J33" s="634"/>
      <c r="K33" s="3169">
        <f t="shared" si="17"/>
        <v>1</v>
      </c>
      <c r="L33" s="634"/>
      <c r="M33" s="21">
        <f t="shared" si="18"/>
        <v>1</v>
      </c>
      <c r="N33" s="634"/>
      <c r="O33" s="21">
        <f t="shared" si="19"/>
        <v>1</v>
      </c>
      <c r="P33" s="634"/>
      <c r="Q33" s="21">
        <f t="shared" si="20"/>
        <v>1</v>
      </c>
      <c r="R33" s="21">
        <f t="shared" ca="1" si="21"/>
        <v>17701</v>
      </c>
      <c r="S33" s="308">
        <f t="shared" ca="1" si="12"/>
        <v>216</v>
      </c>
    </row>
    <row r="34" spans="1:19">
      <c r="A34" s="142" t="str">
        <f>'2号楼'!F11</f>
        <v>2-1-803</v>
      </c>
      <c r="B34" s="52">
        <f>'2号楼'!K11</f>
        <v>121.97</v>
      </c>
      <c r="C34" s="3169">
        <f t="shared" si="13"/>
        <v>1</v>
      </c>
      <c r="D34" s="634"/>
      <c r="E34" s="3169">
        <f t="shared" si="14"/>
        <v>1</v>
      </c>
      <c r="F34" s="634" t="str">
        <f>'2号楼'!L11</f>
        <v>低楼层</v>
      </c>
      <c r="G34" s="21">
        <f t="shared" si="15"/>
        <v>0.95</v>
      </c>
      <c r="H34" s="2564" t="s">
        <v>3655</v>
      </c>
      <c r="I34" s="3169">
        <f t="shared" si="16"/>
        <v>1</v>
      </c>
      <c r="J34" s="634"/>
      <c r="K34" s="3169">
        <f t="shared" si="17"/>
        <v>1</v>
      </c>
      <c r="L34" s="634"/>
      <c r="M34" s="21">
        <f t="shared" si="18"/>
        <v>1</v>
      </c>
      <c r="N34" s="634"/>
      <c r="O34" s="21">
        <f t="shared" si="19"/>
        <v>1</v>
      </c>
      <c r="P34" s="634"/>
      <c r="Q34" s="21">
        <f t="shared" si="20"/>
        <v>1</v>
      </c>
      <c r="R34" s="21">
        <f t="shared" ca="1" si="21"/>
        <v>17701</v>
      </c>
      <c r="S34" s="308">
        <f t="shared" ca="1" si="12"/>
        <v>216</v>
      </c>
    </row>
    <row r="35" spans="1:19">
      <c r="A35" s="142" t="str">
        <f>'2号楼'!F12</f>
        <v>2-1-902</v>
      </c>
      <c r="B35" s="52">
        <f>'2号楼'!K12</f>
        <v>121.97</v>
      </c>
      <c r="C35" s="3169">
        <f t="shared" si="13"/>
        <v>1</v>
      </c>
      <c r="D35" s="634"/>
      <c r="E35" s="3169">
        <f t="shared" si="14"/>
        <v>1</v>
      </c>
      <c r="F35" s="634" t="str">
        <f>'2号楼'!L12</f>
        <v>低楼层</v>
      </c>
      <c r="G35" s="21">
        <f t="shared" si="15"/>
        <v>0.95</v>
      </c>
      <c r="H35" s="2564" t="s">
        <v>3655</v>
      </c>
      <c r="I35" s="3169">
        <f t="shared" si="16"/>
        <v>1</v>
      </c>
      <c r="J35" s="634"/>
      <c r="K35" s="3169">
        <f t="shared" si="17"/>
        <v>1</v>
      </c>
      <c r="L35" s="634"/>
      <c r="M35" s="21">
        <f t="shared" si="18"/>
        <v>1</v>
      </c>
      <c r="N35" s="634"/>
      <c r="O35" s="21">
        <f t="shared" si="19"/>
        <v>1</v>
      </c>
      <c r="P35" s="634"/>
      <c r="Q35" s="21">
        <f t="shared" si="20"/>
        <v>1</v>
      </c>
      <c r="R35" s="21">
        <f t="shared" ca="1" si="21"/>
        <v>17701</v>
      </c>
      <c r="S35" s="308">
        <f t="shared" ca="1" si="12"/>
        <v>216</v>
      </c>
    </row>
    <row r="36" spans="1:19">
      <c r="A36" s="142" t="str">
        <f>'2号楼'!F14</f>
        <v>2-1-1203</v>
      </c>
      <c r="B36" s="52">
        <f>'2号楼'!K14</f>
        <v>121.97</v>
      </c>
      <c r="C36" s="3169">
        <f t="shared" si="13"/>
        <v>1</v>
      </c>
      <c r="D36" s="634"/>
      <c r="E36" s="3169">
        <f t="shared" si="14"/>
        <v>1</v>
      </c>
      <c r="F36" s="634" t="str">
        <f>'2号楼'!L13</f>
        <v>中楼层</v>
      </c>
      <c r="G36" s="21">
        <f t="shared" si="15"/>
        <v>1</v>
      </c>
      <c r="H36" s="2564" t="s">
        <v>3655</v>
      </c>
      <c r="I36" s="3169">
        <f t="shared" si="16"/>
        <v>1</v>
      </c>
      <c r="J36" s="634"/>
      <c r="K36" s="3169">
        <f t="shared" si="17"/>
        <v>1</v>
      </c>
      <c r="L36" s="634"/>
      <c r="M36" s="21">
        <f t="shared" si="18"/>
        <v>1</v>
      </c>
      <c r="N36" s="634"/>
      <c r="O36" s="21">
        <f t="shared" si="19"/>
        <v>1</v>
      </c>
      <c r="P36" s="634"/>
      <c r="Q36" s="21">
        <f t="shared" si="20"/>
        <v>1</v>
      </c>
      <c r="R36" s="21">
        <f t="shared" ca="1" si="21"/>
        <v>18633</v>
      </c>
      <c r="S36" s="308">
        <f t="shared" ca="1" si="12"/>
        <v>227</v>
      </c>
    </row>
    <row r="37" spans="1:19">
      <c r="A37" s="142" t="str">
        <f>'2号楼'!F15</f>
        <v>2-1-1402</v>
      </c>
      <c r="B37" s="52">
        <f>'2号楼'!K15</f>
        <v>121.97</v>
      </c>
      <c r="C37" s="3169">
        <f t="shared" si="13"/>
        <v>1</v>
      </c>
      <c r="D37" s="634"/>
      <c r="E37" s="3169">
        <f t="shared" si="14"/>
        <v>1</v>
      </c>
      <c r="F37" s="634" t="str">
        <f>'2号楼'!L14</f>
        <v>中楼层</v>
      </c>
      <c r="G37" s="21">
        <f t="shared" si="15"/>
        <v>1</v>
      </c>
      <c r="H37" s="2564" t="s">
        <v>3655</v>
      </c>
      <c r="I37" s="3169">
        <f t="shared" si="16"/>
        <v>1</v>
      </c>
      <c r="J37" s="634"/>
      <c r="K37" s="3169">
        <f t="shared" si="17"/>
        <v>1</v>
      </c>
      <c r="L37" s="634"/>
      <c r="M37" s="21">
        <f t="shared" si="18"/>
        <v>1</v>
      </c>
      <c r="N37" s="634"/>
      <c r="O37" s="21">
        <f t="shared" si="19"/>
        <v>1</v>
      </c>
      <c r="P37" s="634"/>
      <c r="Q37" s="21">
        <f t="shared" si="20"/>
        <v>1</v>
      </c>
      <c r="R37" s="21">
        <f t="shared" ca="1" si="21"/>
        <v>18633</v>
      </c>
      <c r="S37" s="308">
        <f t="shared" ca="1" si="12"/>
        <v>227</v>
      </c>
    </row>
    <row r="38" spans="1:19">
      <c r="A38" s="142" t="str">
        <f>'2号楼'!F16</f>
        <v>2-1-1403</v>
      </c>
      <c r="B38" s="52">
        <f>'2号楼'!K16</f>
        <v>121.97</v>
      </c>
      <c r="C38" s="3169">
        <f t="shared" si="13"/>
        <v>1</v>
      </c>
      <c r="D38" s="634"/>
      <c r="E38" s="3169">
        <f t="shared" si="14"/>
        <v>1</v>
      </c>
      <c r="F38" s="634" t="str">
        <f>'2号楼'!L15</f>
        <v>中楼层</v>
      </c>
      <c r="G38" s="21">
        <f t="shared" si="15"/>
        <v>1</v>
      </c>
      <c r="H38" s="2564" t="s">
        <v>3655</v>
      </c>
      <c r="I38" s="3169">
        <f t="shared" si="16"/>
        <v>1</v>
      </c>
      <c r="J38" s="634"/>
      <c r="K38" s="3169">
        <f t="shared" si="17"/>
        <v>1</v>
      </c>
      <c r="L38" s="634"/>
      <c r="M38" s="21">
        <f t="shared" si="18"/>
        <v>1</v>
      </c>
      <c r="N38" s="634"/>
      <c r="O38" s="21">
        <f t="shared" si="19"/>
        <v>1</v>
      </c>
      <c r="P38" s="634"/>
      <c r="Q38" s="21">
        <f t="shared" si="20"/>
        <v>1</v>
      </c>
      <c r="R38" s="21">
        <f t="shared" ca="1" si="21"/>
        <v>18633</v>
      </c>
      <c r="S38" s="308">
        <f t="shared" ca="1" si="12"/>
        <v>227</v>
      </c>
    </row>
    <row r="39" spans="1:19">
      <c r="A39" s="142" t="str">
        <f>'2号楼'!F17</f>
        <v>2-1-1601</v>
      </c>
      <c r="B39" s="52">
        <f>'2号楼'!K17</f>
        <v>117.03</v>
      </c>
      <c r="C39" s="3169">
        <f t="shared" si="13"/>
        <v>1</v>
      </c>
      <c r="D39" s="634"/>
      <c r="E39" s="3169">
        <f t="shared" si="14"/>
        <v>1</v>
      </c>
      <c r="F39" s="634" t="str">
        <f>'2号楼'!L16</f>
        <v>中楼层</v>
      </c>
      <c r="G39" s="21">
        <f t="shared" si="15"/>
        <v>1</v>
      </c>
      <c r="H39" s="2564" t="s">
        <v>3655</v>
      </c>
      <c r="I39" s="3169">
        <f t="shared" si="16"/>
        <v>1</v>
      </c>
      <c r="J39" s="634"/>
      <c r="K39" s="3169">
        <f t="shared" si="17"/>
        <v>1</v>
      </c>
      <c r="L39" s="634"/>
      <c r="M39" s="21">
        <f t="shared" si="18"/>
        <v>1</v>
      </c>
      <c r="N39" s="634"/>
      <c r="O39" s="21">
        <f t="shared" si="19"/>
        <v>1</v>
      </c>
      <c r="P39" s="634"/>
      <c r="Q39" s="21">
        <f t="shared" si="20"/>
        <v>1</v>
      </c>
      <c r="R39" s="21">
        <f t="shared" ca="1" si="21"/>
        <v>18633</v>
      </c>
      <c r="S39" s="308">
        <f t="shared" ca="1" si="12"/>
        <v>218</v>
      </c>
    </row>
    <row r="40" spans="1:19">
      <c r="A40" s="142" t="str">
        <f>'2号楼'!F18</f>
        <v>2-1-1701</v>
      </c>
      <c r="B40" s="52">
        <f>'2号楼'!K18</f>
        <v>117.03</v>
      </c>
      <c r="C40" s="3169">
        <f t="shared" si="13"/>
        <v>1</v>
      </c>
      <c r="D40" s="634"/>
      <c r="E40" s="3169">
        <f t="shared" si="14"/>
        <v>1</v>
      </c>
      <c r="F40" s="634" t="str">
        <f>'2号楼'!L17</f>
        <v>中楼层</v>
      </c>
      <c r="G40" s="21">
        <f t="shared" si="15"/>
        <v>1</v>
      </c>
      <c r="H40" s="2564" t="s">
        <v>3655</v>
      </c>
      <c r="I40" s="3169">
        <f t="shared" si="16"/>
        <v>1</v>
      </c>
      <c r="J40" s="634"/>
      <c r="K40" s="3169">
        <f t="shared" si="17"/>
        <v>1</v>
      </c>
      <c r="L40" s="634"/>
      <c r="M40" s="21">
        <f t="shared" si="18"/>
        <v>1</v>
      </c>
      <c r="N40" s="634"/>
      <c r="O40" s="21">
        <f t="shared" si="19"/>
        <v>1</v>
      </c>
      <c r="P40" s="634"/>
      <c r="Q40" s="21">
        <f t="shared" si="20"/>
        <v>1</v>
      </c>
      <c r="R40" s="21">
        <f t="shared" ca="1" si="21"/>
        <v>18633</v>
      </c>
      <c r="S40" s="308">
        <f t="shared" ca="1" si="12"/>
        <v>218</v>
      </c>
    </row>
    <row r="41" spans="1:19">
      <c r="A41" s="142" t="str">
        <f>'2号楼'!F19</f>
        <v>2-1-1702</v>
      </c>
      <c r="B41" s="52">
        <f>'2号楼'!K19</f>
        <v>121.97</v>
      </c>
      <c r="C41" s="3169">
        <f t="shared" si="13"/>
        <v>1</v>
      </c>
      <c r="D41" s="634"/>
      <c r="E41" s="3169">
        <f t="shared" si="14"/>
        <v>1</v>
      </c>
      <c r="F41" s="634" t="str">
        <f>'2号楼'!L18</f>
        <v>中楼层</v>
      </c>
      <c r="G41" s="21">
        <f t="shared" si="15"/>
        <v>1</v>
      </c>
      <c r="H41" s="2564" t="s">
        <v>3655</v>
      </c>
      <c r="I41" s="3169">
        <f t="shared" si="16"/>
        <v>1</v>
      </c>
      <c r="J41" s="634"/>
      <c r="K41" s="3169">
        <f t="shared" si="17"/>
        <v>1</v>
      </c>
      <c r="L41" s="634"/>
      <c r="M41" s="21">
        <f t="shared" si="18"/>
        <v>1</v>
      </c>
      <c r="N41" s="634"/>
      <c r="O41" s="21">
        <f t="shared" si="19"/>
        <v>1</v>
      </c>
      <c r="P41" s="634"/>
      <c r="Q41" s="21">
        <f t="shared" si="20"/>
        <v>1</v>
      </c>
      <c r="R41" s="21">
        <f t="shared" ca="1" si="21"/>
        <v>18633</v>
      </c>
      <c r="S41" s="308">
        <f t="shared" ca="1" si="12"/>
        <v>227</v>
      </c>
    </row>
    <row r="42" spans="1:19">
      <c r="A42" s="142" t="str">
        <f>'2号楼'!F20</f>
        <v>2-1-1703</v>
      </c>
      <c r="B42" s="52">
        <f>'2号楼'!K20</f>
        <v>121.97</v>
      </c>
      <c r="C42" s="3169">
        <f t="shared" si="13"/>
        <v>1</v>
      </c>
      <c r="D42" s="634"/>
      <c r="E42" s="3169">
        <f t="shared" si="14"/>
        <v>1</v>
      </c>
      <c r="F42" s="634" t="str">
        <f>'2号楼'!L19</f>
        <v>中楼层</v>
      </c>
      <c r="G42" s="21">
        <f t="shared" si="15"/>
        <v>1</v>
      </c>
      <c r="H42" s="2564" t="s">
        <v>3655</v>
      </c>
      <c r="I42" s="3169">
        <f t="shared" si="16"/>
        <v>1</v>
      </c>
      <c r="J42" s="634"/>
      <c r="K42" s="3169">
        <f t="shared" si="17"/>
        <v>1</v>
      </c>
      <c r="L42" s="634"/>
      <c r="M42" s="21">
        <f t="shared" si="18"/>
        <v>1</v>
      </c>
      <c r="N42" s="634"/>
      <c r="O42" s="21">
        <f t="shared" si="19"/>
        <v>1</v>
      </c>
      <c r="P42" s="634"/>
      <c r="Q42" s="21">
        <f t="shared" si="20"/>
        <v>1</v>
      </c>
      <c r="R42" s="21">
        <f t="shared" ca="1" si="21"/>
        <v>18633</v>
      </c>
      <c r="S42" s="308">
        <f t="shared" ca="1" si="12"/>
        <v>227</v>
      </c>
    </row>
    <row r="43" spans="1:19">
      <c r="A43" s="142" t="str">
        <f>'2号楼'!F21</f>
        <v>2-1-1803</v>
      </c>
      <c r="B43" s="52">
        <f>'2号楼'!K21</f>
        <v>121.97</v>
      </c>
      <c r="C43" s="3169">
        <f t="shared" si="13"/>
        <v>1</v>
      </c>
      <c r="D43" s="634"/>
      <c r="E43" s="3169">
        <f t="shared" si="14"/>
        <v>1</v>
      </c>
      <c r="F43" s="634" t="str">
        <f>'2号楼'!L20</f>
        <v>中楼层</v>
      </c>
      <c r="G43" s="21">
        <f t="shared" si="15"/>
        <v>1</v>
      </c>
      <c r="H43" s="2564" t="s">
        <v>3655</v>
      </c>
      <c r="I43" s="3169">
        <f t="shared" si="16"/>
        <v>1</v>
      </c>
      <c r="J43" s="634"/>
      <c r="K43" s="3169">
        <f t="shared" si="17"/>
        <v>1</v>
      </c>
      <c r="L43" s="634"/>
      <c r="M43" s="21">
        <f t="shared" si="18"/>
        <v>1</v>
      </c>
      <c r="N43" s="634"/>
      <c r="O43" s="21">
        <f t="shared" si="19"/>
        <v>1</v>
      </c>
      <c r="P43" s="634"/>
      <c r="Q43" s="21">
        <f t="shared" si="20"/>
        <v>1</v>
      </c>
      <c r="R43" s="21">
        <f t="shared" ca="1" si="21"/>
        <v>18633</v>
      </c>
      <c r="S43" s="308">
        <f t="shared" ca="1" si="12"/>
        <v>227</v>
      </c>
    </row>
    <row r="44" spans="1:19">
      <c r="A44" s="142" t="str">
        <f>'2号楼'!F22</f>
        <v>2-1-1902</v>
      </c>
      <c r="B44" s="52">
        <f>'2号楼'!K22</f>
        <v>121.97</v>
      </c>
      <c r="C44" s="3169">
        <f t="shared" si="13"/>
        <v>1</v>
      </c>
      <c r="D44" s="634"/>
      <c r="E44" s="3169">
        <f t="shared" si="14"/>
        <v>1</v>
      </c>
      <c r="F44" s="634" t="str">
        <f>'2号楼'!L21</f>
        <v>中楼层</v>
      </c>
      <c r="G44" s="21">
        <f t="shared" si="15"/>
        <v>1</v>
      </c>
      <c r="H44" s="2564" t="s">
        <v>3655</v>
      </c>
      <c r="I44" s="3169">
        <f t="shared" si="16"/>
        <v>1</v>
      </c>
      <c r="J44" s="634"/>
      <c r="K44" s="3169">
        <f t="shared" si="17"/>
        <v>1</v>
      </c>
      <c r="L44" s="634"/>
      <c r="M44" s="21">
        <f t="shared" si="18"/>
        <v>1</v>
      </c>
      <c r="N44" s="634"/>
      <c r="O44" s="21">
        <f t="shared" si="19"/>
        <v>1</v>
      </c>
      <c r="P44" s="634"/>
      <c r="Q44" s="21">
        <f t="shared" si="20"/>
        <v>1</v>
      </c>
      <c r="R44" s="21">
        <f t="shared" ca="1" si="21"/>
        <v>18633</v>
      </c>
      <c r="S44" s="308">
        <f t="shared" ca="1" si="12"/>
        <v>227</v>
      </c>
    </row>
    <row r="45" spans="1:19">
      <c r="A45" s="142" t="str">
        <f>'2号楼'!F23</f>
        <v>2-1-1903</v>
      </c>
      <c r="B45" s="52">
        <f>'2号楼'!K23</f>
        <v>121.97</v>
      </c>
      <c r="C45" s="3169">
        <f t="shared" si="13"/>
        <v>1</v>
      </c>
      <c r="D45" s="634"/>
      <c r="E45" s="3169">
        <f t="shared" si="14"/>
        <v>1</v>
      </c>
      <c r="F45" s="634" t="str">
        <f>'2号楼'!L22</f>
        <v>中楼层</v>
      </c>
      <c r="G45" s="21">
        <f t="shared" si="15"/>
        <v>1</v>
      </c>
      <c r="H45" s="2564" t="s">
        <v>3655</v>
      </c>
      <c r="I45" s="3169">
        <f t="shared" si="16"/>
        <v>1</v>
      </c>
      <c r="J45" s="634"/>
      <c r="K45" s="3169">
        <f t="shared" si="17"/>
        <v>1</v>
      </c>
      <c r="L45" s="634"/>
      <c r="M45" s="21">
        <f t="shared" si="18"/>
        <v>1</v>
      </c>
      <c r="N45" s="634"/>
      <c r="O45" s="21">
        <f t="shared" si="19"/>
        <v>1</v>
      </c>
      <c r="P45" s="634"/>
      <c r="Q45" s="21">
        <f t="shared" si="20"/>
        <v>1</v>
      </c>
      <c r="R45" s="21">
        <f t="shared" ca="1" si="21"/>
        <v>18633</v>
      </c>
      <c r="S45" s="308">
        <f t="shared" ca="1" si="12"/>
        <v>227</v>
      </c>
    </row>
    <row r="46" spans="1:19">
      <c r="A46" s="142" t="str">
        <f>'2号楼'!F24</f>
        <v>2-1-2302</v>
      </c>
      <c r="B46" s="52">
        <f>'2号楼'!K24</f>
        <v>121.97</v>
      </c>
      <c r="C46" s="3169">
        <f t="shared" si="13"/>
        <v>1</v>
      </c>
      <c r="D46" s="634"/>
      <c r="E46" s="3169">
        <f t="shared" si="14"/>
        <v>1</v>
      </c>
      <c r="F46" s="634" t="str">
        <f>'2号楼'!L23</f>
        <v>中楼层</v>
      </c>
      <c r="G46" s="21">
        <f t="shared" si="15"/>
        <v>1</v>
      </c>
      <c r="H46" s="2564" t="s">
        <v>3655</v>
      </c>
      <c r="I46" s="3169">
        <f t="shared" si="16"/>
        <v>1</v>
      </c>
      <c r="J46" s="634"/>
      <c r="K46" s="3169">
        <f t="shared" si="17"/>
        <v>1</v>
      </c>
      <c r="L46" s="634"/>
      <c r="M46" s="21">
        <f t="shared" si="18"/>
        <v>1</v>
      </c>
      <c r="N46" s="634"/>
      <c r="O46" s="21">
        <f t="shared" si="19"/>
        <v>1</v>
      </c>
      <c r="P46" s="634"/>
      <c r="Q46" s="21">
        <f t="shared" si="20"/>
        <v>1</v>
      </c>
      <c r="R46" s="21">
        <f t="shared" ca="1" si="21"/>
        <v>18633</v>
      </c>
      <c r="S46" s="308">
        <f t="shared" ca="1" si="12"/>
        <v>227</v>
      </c>
    </row>
    <row r="47" spans="1:19">
      <c r="A47" s="142" t="str">
        <f>'2号楼'!F25</f>
        <v>2-1-2303</v>
      </c>
      <c r="B47" s="52">
        <f>'2号楼'!K25</f>
        <v>121.97</v>
      </c>
      <c r="C47" s="3169">
        <f t="shared" si="13"/>
        <v>1</v>
      </c>
      <c r="D47" s="634"/>
      <c r="E47" s="3169">
        <f t="shared" si="14"/>
        <v>1</v>
      </c>
      <c r="F47" s="634" t="str">
        <f>'2号楼'!L24</f>
        <v>高楼层</v>
      </c>
      <c r="G47" s="21">
        <f t="shared" si="15"/>
        <v>1.05</v>
      </c>
      <c r="H47" s="2564" t="s">
        <v>3655</v>
      </c>
      <c r="I47" s="3169">
        <f t="shared" si="16"/>
        <v>1</v>
      </c>
      <c r="J47" s="634"/>
      <c r="K47" s="3169">
        <f t="shared" si="17"/>
        <v>1</v>
      </c>
      <c r="L47" s="634"/>
      <c r="M47" s="21">
        <f t="shared" si="18"/>
        <v>1</v>
      </c>
      <c r="N47" s="634"/>
      <c r="O47" s="21">
        <f t="shared" si="19"/>
        <v>1</v>
      </c>
      <c r="P47" s="634"/>
      <c r="Q47" s="21">
        <f t="shared" si="20"/>
        <v>1</v>
      </c>
      <c r="R47" s="21">
        <f t="shared" ca="1" si="21"/>
        <v>19565</v>
      </c>
      <c r="S47" s="308">
        <f t="shared" ca="1" si="12"/>
        <v>239</v>
      </c>
    </row>
    <row r="48" spans="1:19">
      <c r="A48" s="142" t="str">
        <f>'2号楼'!F26</f>
        <v>2-1-2401</v>
      </c>
      <c r="B48" s="52">
        <f>'2号楼'!K26</f>
        <v>117.03</v>
      </c>
      <c r="C48" s="3169">
        <f t="shared" si="13"/>
        <v>1</v>
      </c>
      <c r="D48" s="634"/>
      <c r="E48" s="3169">
        <f t="shared" si="14"/>
        <v>1</v>
      </c>
      <c r="F48" s="634" t="str">
        <f>'2号楼'!L25</f>
        <v>高楼层</v>
      </c>
      <c r="G48" s="21">
        <f t="shared" si="15"/>
        <v>1.05</v>
      </c>
      <c r="H48" s="2564" t="s">
        <v>3655</v>
      </c>
      <c r="I48" s="3169">
        <f t="shared" si="16"/>
        <v>1</v>
      </c>
      <c r="J48" s="634"/>
      <c r="K48" s="3169">
        <f t="shared" si="17"/>
        <v>1</v>
      </c>
      <c r="L48" s="634"/>
      <c r="M48" s="21">
        <f t="shared" si="18"/>
        <v>1</v>
      </c>
      <c r="N48" s="634"/>
      <c r="O48" s="21">
        <f t="shared" si="19"/>
        <v>1</v>
      </c>
      <c r="P48" s="634"/>
      <c r="Q48" s="21">
        <f t="shared" si="20"/>
        <v>1</v>
      </c>
      <c r="R48" s="21">
        <f t="shared" ca="1" si="21"/>
        <v>19565</v>
      </c>
      <c r="S48" s="308">
        <f t="shared" ca="1" si="12"/>
        <v>229</v>
      </c>
    </row>
    <row r="49" spans="1:19">
      <c r="A49" s="142" t="str">
        <f>'2号楼'!F27</f>
        <v>2-1-2602</v>
      </c>
      <c r="B49" s="52">
        <f>'2号楼'!K27</f>
        <v>121.97</v>
      </c>
      <c r="C49" s="3169">
        <f t="shared" si="13"/>
        <v>1</v>
      </c>
      <c r="D49" s="634"/>
      <c r="E49" s="3169">
        <f t="shared" si="14"/>
        <v>1</v>
      </c>
      <c r="F49" s="634" t="str">
        <f>'2号楼'!L26</f>
        <v>高楼层</v>
      </c>
      <c r="G49" s="21">
        <f t="shared" si="15"/>
        <v>1.05</v>
      </c>
      <c r="H49" s="2564" t="s">
        <v>3655</v>
      </c>
      <c r="I49" s="3169">
        <f t="shared" si="16"/>
        <v>1</v>
      </c>
      <c r="J49" s="634"/>
      <c r="K49" s="3169">
        <f t="shared" si="17"/>
        <v>1</v>
      </c>
      <c r="L49" s="634"/>
      <c r="M49" s="21">
        <f t="shared" si="18"/>
        <v>1</v>
      </c>
      <c r="N49" s="634"/>
      <c r="O49" s="21">
        <f t="shared" si="19"/>
        <v>1</v>
      </c>
      <c r="P49" s="634"/>
      <c r="Q49" s="21">
        <f t="shared" si="20"/>
        <v>1</v>
      </c>
      <c r="R49" s="21">
        <f t="shared" ca="1" si="21"/>
        <v>19565</v>
      </c>
      <c r="S49" s="308">
        <f t="shared" ca="1" si="12"/>
        <v>239</v>
      </c>
    </row>
    <row r="50" spans="1:19">
      <c r="A50" s="142" t="str">
        <f>'2号楼'!F28</f>
        <v>2-1-2603</v>
      </c>
      <c r="B50" s="52">
        <f>'2号楼'!K28</f>
        <v>121.97</v>
      </c>
      <c r="C50" s="3169">
        <f t="shared" si="13"/>
        <v>1</v>
      </c>
      <c r="D50" s="634"/>
      <c r="E50" s="3169">
        <f t="shared" si="14"/>
        <v>1</v>
      </c>
      <c r="F50" s="634" t="str">
        <f>'2号楼'!L27</f>
        <v>高楼层</v>
      </c>
      <c r="G50" s="21">
        <f t="shared" si="15"/>
        <v>1.05</v>
      </c>
      <c r="H50" s="2564" t="s">
        <v>3655</v>
      </c>
      <c r="I50" s="3169">
        <f t="shared" si="16"/>
        <v>1</v>
      </c>
      <c r="J50" s="634"/>
      <c r="K50" s="3169">
        <f t="shared" si="17"/>
        <v>1</v>
      </c>
      <c r="L50" s="634"/>
      <c r="M50" s="21">
        <f t="shared" si="18"/>
        <v>1</v>
      </c>
      <c r="N50" s="634"/>
      <c r="O50" s="21">
        <f t="shared" si="19"/>
        <v>1</v>
      </c>
      <c r="P50" s="634"/>
      <c r="Q50" s="21">
        <f t="shared" si="20"/>
        <v>1</v>
      </c>
      <c r="R50" s="21">
        <f t="shared" ca="1" si="21"/>
        <v>19565</v>
      </c>
      <c r="S50" s="308">
        <f t="shared" ca="1" si="12"/>
        <v>239</v>
      </c>
    </row>
    <row r="51" spans="1:19">
      <c r="A51" s="142" t="str">
        <f>'2号楼'!F29</f>
        <v>2-1-2604</v>
      </c>
      <c r="B51" s="52">
        <f>'2号楼'!K29</f>
        <v>117.03</v>
      </c>
      <c r="C51" s="3169">
        <f t="shared" si="13"/>
        <v>1</v>
      </c>
      <c r="D51" s="634"/>
      <c r="E51" s="3169">
        <f t="shared" si="14"/>
        <v>1</v>
      </c>
      <c r="F51" s="634" t="str">
        <f>'2号楼'!L28</f>
        <v>高楼层</v>
      </c>
      <c r="G51" s="21">
        <f t="shared" si="15"/>
        <v>1.05</v>
      </c>
      <c r="H51" s="2564" t="s">
        <v>3655</v>
      </c>
      <c r="I51" s="3169">
        <f t="shared" si="16"/>
        <v>1</v>
      </c>
      <c r="J51" s="634"/>
      <c r="K51" s="3169">
        <f t="shared" si="17"/>
        <v>1</v>
      </c>
      <c r="L51" s="634"/>
      <c r="M51" s="21">
        <f t="shared" si="18"/>
        <v>1</v>
      </c>
      <c r="N51" s="634"/>
      <c r="O51" s="21">
        <f t="shared" si="19"/>
        <v>1</v>
      </c>
      <c r="P51" s="634"/>
      <c r="Q51" s="21">
        <f t="shared" si="20"/>
        <v>1</v>
      </c>
      <c r="R51" s="21">
        <f t="shared" ca="1" si="21"/>
        <v>19565</v>
      </c>
      <c r="S51" s="308">
        <f t="shared" ca="1" si="12"/>
        <v>229</v>
      </c>
    </row>
    <row r="52" spans="1:19">
      <c r="A52" s="142" t="str">
        <f>'2号楼'!F30</f>
        <v>2-1-2701</v>
      </c>
      <c r="B52" s="52">
        <f>'2号楼'!K30</f>
        <v>117.03</v>
      </c>
      <c r="C52" s="3169">
        <f t="shared" si="13"/>
        <v>1</v>
      </c>
      <c r="D52" s="634"/>
      <c r="E52" s="3169">
        <f t="shared" si="14"/>
        <v>1</v>
      </c>
      <c r="F52" s="634" t="str">
        <f>'2号楼'!L29</f>
        <v>高楼层</v>
      </c>
      <c r="G52" s="21">
        <f t="shared" si="15"/>
        <v>1.05</v>
      </c>
      <c r="H52" s="2564" t="s">
        <v>3655</v>
      </c>
      <c r="I52" s="3169">
        <f t="shared" si="16"/>
        <v>1</v>
      </c>
      <c r="J52" s="634"/>
      <c r="K52" s="3169">
        <f t="shared" si="17"/>
        <v>1</v>
      </c>
      <c r="L52" s="634"/>
      <c r="M52" s="21">
        <f t="shared" si="18"/>
        <v>1</v>
      </c>
      <c r="N52" s="634"/>
      <c r="O52" s="21">
        <f t="shared" si="19"/>
        <v>1</v>
      </c>
      <c r="P52" s="634"/>
      <c r="Q52" s="21">
        <f t="shared" si="20"/>
        <v>1</v>
      </c>
      <c r="R52" s="21">
        <f t="shared" ca="1" si="21"/>
        <v>19565</v>
      </c>
      <c r="S52" s="308">
        <f t="shared" ca="1" si="12"/>
        <v>229</v>
      </c>
    </row>
    <row r="53" spans="1:19">
      <c r="A53" s="142" t="str">
        <f>'1号楼'!F2</f>
        <v>1-1-102</v>
      </c>
      <c r="B53" s="52">
        <f>'1号楼'!K2</f>
        <v>109.58</v>
      </c>
      <c r="C53" s="3169">
        <f t="shared" si="13"/>
        <v>1</v>
      </c>
      <c r="D53" s="634"/>
      <c r="E53" s="3169">
        <f t="shared" si="14"/>
        <v>1</v>
      </c>
      <c r="F53" s="634" t="str">
        <f>'1号楼'!L2</f>
        <v>低楼层</v>
      </c>
      <c r="G53" s="21">
        <f t="shared" si="15"/>
        <v>0.95</v>
      </c>
      <c r="H53" s="2564" t="s">
        <v>3655</v>
      </c>
      <c r="I53" s="3169">
        <f t="shared" si="16"/>
        <v>1</v>
      </c>
      <c r="J53" s="634"/>
      <c r="K53" s="3169">
        <f t="shared" si="17"/>
        <v>1</v>
      </c>
      <c r="L53" s="634"/>
      <c r="M53" s="21">
        <f t="shared" si="18"/>
        <v>1</v>
      </c>
      <c r="N53" s="634"/>
      <c r="O53" s="21">
        <f t="shared" si="19"/>
        <v>1</v>
      </c>
      <c r="P53" s="634"/>
      <c r="Q53" s="21">
        <f t="shared" si="20"/>
        <v>1</v>
      </c>
      <c r="R53" s="21">
        <f t="shared" ca="1" si="21"/>
        <v>17701</v>
      </c>
      <c r="S53" s="308">
        <f t="shared" ca="1" si="12"/>
        <v>194</v>
      </c>
    </row>
    <row r="54" spans="1:19">
      <c r="A54" s="142" t="str">
        <f>'1号楼'!F3</f>
        <v>1-1-103</v>
      </c>
      <c r="B54" s="52">
        <f>'1号楼'!K3</f>
        <v>109.58</v>
      </c>
      <c r="C54" s="3169">
        <f t="shared" si="13"/>
        <v>1</v>
      </c>
      <c r="D54" s="634"/>
      <c r="E54" s="3169">
        <f t="shared" si="14"/>
        <v>1</v>
      </c>
      <c r="F54" s="634" t="str">
        <f>'1号楼'!L3</f>
        <v>低楼层</v>
      </c>
      <c r="G54" s="21">
        <f t="shared" si="15"/>
        <v>0.95</v>
      </c>
      <c r="H54" s="2564" t="s">
        <v>3655</v>
      </c>
      <c r="I54" s="3169">
        <f t="shared" si="16"/>
        <v>1</v>
      </c>
      <c r="J54" s="634"/>
      <c r="K54" s="3169">
        <f t="shared" si="17"/>
        <v>1</v>
      </c>
      <c r="L54" s="634"/>
      <c r="M54" s="21">
        <f t="shared" si="18"/>
        <v>1</v>
      </c>
      <c r="N54" s="634"/>
      <c r="O54" s="21">
        <f t="shared" si="19"/>
        <v>1</v>
      </c>
      <c r="P54" s="634"/>
      <c r="Q54" s="21">
        <f t="shared" si="20"/>
        <v>1</v>
      </c>
      <c r="R54" s="21">
        <f t="shared" ca="1" si="21"/>
        <v>17701</v>
      </c>
      <c r="S54" s="308">
        <f t="shared" ca="1" si="12"/>
        <v>194</v>
      </c>
    </row>
    <row r="55" spans="1:19">
      <c r="A55" s="142" t="str">
        <f>'1号楼'!F4</f>
        <v>1-1-703</v>
      </c>
      <c r="B55" s="52">
        <f>'1号楼'!K4</f>
        <v>126.4</v>
      </c>
      <c r="C55" s="3169">
        <f t="shared" si="13"/>
        <v>1</v>
      </c>
      <c r="D55" s="634"/>
      <c r="E55" s="3169">
        <f t="shared" si="14"/>
        <v>1</v>
      </c>
      <c r="F55" s="634" t="str">
        <f>'1号楼'!L4</f>
        <v>低楼层</v>
      </c>
      <c r="G55" s="21">
        <f t="shared" si="15"/>
        <v>0.95</v>
      </c>
      <c r="H55" s="2564" t="s">
        <v>3655</v>
      </c>
      <c r="I55" s="3169">
        <f t="shared" si="16"/>
        <v>1</v>
      </c>
      <c r="J55" s="634"/>
      <c r="K55" s="3169">
        <f t="shared" si="17"/>
        <v>1</v>
      </c>
      <c r="L55" s="634"/>
      <c r="M55" s="21">
        <f t="shared" si="18"/>
        <v>1</v>
      </c>
      <c r="N55" s="634"/>
      <c r="O55" s="21">
        <f t="shared" si="19"/>
        <v>1</v>
      </c>
      <c r="P55" s="634"/>
      <c r="Q55" s="21">
        <f t="shared" si="20"/>
        <v>1</v>
      </c>
      <c r="R55" s="21">
        <f t="shared" ca="1" si="21"/>
        <v>17701</v>
      </c>
      <c r="S55" s="308">
        <f t="shared" ref="S55:S77" ca="1" si="22">ROUND(R55*B55/10000,0)</f>
        <v>224</v>
      </c>
    </row>
    <row r="56" spans="1:19">
      <c r="A56" s="142" t="str">
        <f>'1号楼'!F5</f>
        <v>1-1-804</v>
      </c>
      <c r="B56" s="52">
        <f>'1号楼'!K5</f>
        <v>126.87</v>
      </c>
      <c r="C56" s="3169">
        <f t="shared" si="13"/>
        <v>1</v>
      </c>
      <c r="D56" s="634"/>
      <c r="E56" s="3169">
        <f t="shared" si="14"/>
        <v>1</v>
      </c>
      <c r="F56" s="634" t="str">
        <f>'1号楼'!L5</f>
        <v>低楼层</v>
      </c>
      <c r="G56" s="21">
        <f t="shared" si="15"/>
        <v>0.95</v>
      </c>
      <c r="H56" s="2564" t="s">
        <v>3655</v>
      </c>
      <c r="I56" s="3169">
        <f t="shared" si="16"/>
        <v>1</v>
      </c>
      <c r="J56" s="634"/>
      <c r="K56" s="3169">
        <f t="shared" si="17"/>
        <v>1</v>
      </c>
      <c r="L56" s="634"/>
      <c r="M56" s="21">
        <f t="shared" si="18"/>
        <v>1</v>
      </c>
      <c r="N56" s="634"/>
      <c r="O56" s="21">
        <f t="shared" si="19"/>
        <v>1</v>
      </c>
      <c r="P56" s="634"/>
      <c r="Q56" s="21">
        <f t="shared" si="20"/>
        <v>1</v>
      </c>
      <c r="R56" s="21">
        <f t="shared" ca="1" si="21"/>
        <v>17701</v>
      </c>
      <c r="S56" s="308">
        <f t="shared" ca="1" si="22"/>
        <v>225</v>
      </c>
    </row>
    <row r="57" spans="1:19">
      <c r="A57" s="142" t="str">
        <f>'1号楼'!F6</f>
        <v>1-1-1104</v>
      </c>
      <c r="B57" s="52">
        <f>'1号楼'!K6</f>
        <v>126.87</v>
      </c>
      <c r="C57" s="3169">
        <f t="shared" si="13"/>
        <v>1</v>
      </c>
      <c r="D57" s="634"/>
      <c r="E57" s="3169">
        <f t="shared" si="14"/>
        <v>1</v>
      </c>
      <c r="F57" s="634" t="str">
        <f>'1号楼'!L6</f>
        <v>中楼层</v>
      </c>
      <c r="G57" s="21">
        <f t="shared" si="15"/>
        <v>1</v>
      </c>
      <c r="H57" s="2564" t="s">
        <v>3655</v>
      </c>
      <c r="I57" s="3169">
        <f t="shared" si="16"/>
        <v>1</v>
      </c>
      <c r="J57" s="634"/>
      <c r="K57" s="3169">
        <f t="shared" si="17"/>
        <v>1</v>
      </c>
      <c r="L57" s="634"/>
      <c r="M57" s="21">
        <f t="shared" si="18"/>
        <v>1</v>
      </c>
      <c r="N57" s="634"/>
      <c r="O57" s="21">
        <f t="shared" si="19"/>
        <v>1</v>
      </c>
      <c r="P57" s="634"/>
      <c r="Q57" s="21">
        <f t="shared" si="20"/>
        <v>1</v>
      </c>
      <c r="R57" s="21">
        <f t="shared" ca="1" si="21"/>
        <v>18633</v>
      </c>
      <c r="S57" s="308">
        <f t="shared" ca="1" si="22"/>
        <v>236</v>
      </c>
    </row>
    <row r="58" spans="1:19">
      <c r="A58" s="142" t="str">
        <f>'1号楼'!F7</f>
        <v>1-1-1503</v>
      </c>
      <c r="B58" s="52">
        <f>'1号楼'!K7</f>
        <v>126.4</v>
      </c>
      <c r="C58" s="3169">
        <f t="shared" si="13"/>
        <v>1</v>
      </c>
      <c r="D58" s="634"/>
      <c r="E58" s="3169">
        <f t="shared" si="14"/>
        <v>1</v>
      </c>
      <c r="F58" s="634" t="str">
        <f>'1号楼'!L7</f>
        <v>中楼层</v>
      </c>
      <c r="G58" s="21">
        <f t="shared" si="15"/>
        <v>1</v>
      </c>
      <c r="H58" s="2564" t="s">
        <v>3655</v>
      </c>
      <c r="I58" s="3169">
        <f t="shared" si="16"/>
        <v>1</v>
      </c>
      <c r="J58" s="634"/>
      <c r="K58" s="3169">
        <f t="shared" si="17"/>
        <v>1</v>
      </c>
      <c r="L58" s="634"/>
      <c r="M58" s="21">
        <f t="shared" si="18"/>
        <v>1</v>
      </c>
      <c r="N58" s="634"/>
      <c r="O58" s="21">
        <f t="shared" si="19"/>
        <v>1</v>
      </c>
      <c r="P58" s="634"/>
      <c r="Q58" s="21">
        <f t="shared" si="20"/>
        <v>1</v>
      </c>
      <c r="R58" s="21">
        <f t="shared" ca="1" si="21"/>
        <v>18633</v>
      </c>
      <c r="S58" s="308">
        <f t="shared" ca="1" si="22"/>
        <v>236</v>
      </c>
    </row>
    <row r="59" spans="1:19">
      <c r="A59" s="142" t="str">
        <f>'1号楼'!F8</f>
        <v>1-1-1603</v>
      </c>
      <c r="B59" s="52">
        <f>'1号楼'!K8</f>
        <v>126.4</v>
      </c>
      <c r="C59" s="3169">
        <f t="shared" si="13"/>
        <v>1</v>
      </c>
      <c r="D59" s="634"/>
      <c r="E59" s="3169">
        <f t="shared" si="14"/>
        <v>1</v>
      </c>
      <c r="F59" s="634" t="str">
        <f>'1号楼'!L8</f>
        <v>中楼层</v>
      </c>
      <c r="G59" s="21">
        <f t="shared" si="15"/>
        <v>1</v>
      </c>
      <c r="H59" s="2564" t="s">
        <v>3655</v>
      </c>
      <c r="I59" s="3169">
        <f t="shared" si="16"/>
        <v>1</v>
      </c>
      <c r="J59" s="634"/>
      <c r="K59" s="3169">
        <f t="shared" si="17"/>
        <v>1</v>
      </c>
      <c r="L59" s="634"/>
      <c r="M59" s="21">
        <f t="shared" si="18"/>
        <v>1</v>
      </c>
      <c r="N59" s="634"/>
      <c r="O59" s="21">
        <f t="shared" si="19"/>
        <v>1</v>
      </c>
      <c r="P59" s="634"/>
      <c r="Q59" s="21">
        <f t="shared" si="20"/>
        <v>1</v>
      </c>
      <c r="R59" s="21">
        <f t="shared" ca="1" si="21"/>
        <v>18633</v>
      </c>
      <c r="S59" s="308">
        <f t="shared" ca="1" si="22"/>
        <v>236</v>
      </c>
    </row>
    <row r="60" spans="1:19">
      <c r="A60" s="142" t="str">
        <f>'1号楼'!F9</f>
        <v>1-1-1604</v>
      </c>
      <c r="B60" s="52">
        <f>'1号楼'!K9</f>
        <v>126.87</v>
      </c>
      <c r="C60" s="3169">
        <f t="shared" si="13"/>
        <v>1</v>
      </c>
      <c r="D60" s="634"/>
      <c r="E60" s="3169">
        <f t="shared" si="14"/>
        <v>1</v>
      </c>
      <c r="F60" s="634" t="str">
        <f>'1号楼'!L9</f>
        <v>中楼层</v>
      </c>
      <c r="G60" s="21">
        <f t="shared" si="15"/>
        <v>1</v>
      </c>
      <c r="H60" s="2564" t="s">
        <v>3655</v>
      </c>
      <c r="I60" s="3169">
        <f t="shared" si="16"/>
        <v>1</v>
      </c>
      <c r="J60" s="634"/>
      <c r="K60" s="3169">
        <f t="shared" si="17"/>
        <v>1</v>
      </c>
      <c r="L60" s="634"/>
      <c r="M60" s="21">
        <f t="shared" si="18"/>
        <v>1</v>
      </c>
      <c r="N60" s="634"/>
      <c r="O60" s="21">
        <f t="shared" si="19"/>
        <v>1</v>
      </c>
      <c r="P60" s="634"/>
      <c r="Q60" s="21">
        <f t="shared" si="20"/>
        <v>1</v>
      </c>
      <c r="R60" s="21">
        <f t="shared" ca="1" si="21"/>
        <v>18633</v>
      </c>
      <c r="S60" s="308">
        <f t="shared" ca="1" si="22"/>
        <v>236</v>
      </c>
    </row>
    <row r="61" spans="1:19">
      <c r="A61" s="142" t="str">
        <f>'1号楼'!F10</f>
        <v>1-1-1704</v>
      </c>
      <c r="B61" s="52">
        <f>'1号楼'!K10</f>
        <v>126.87</v>
      </c>
      <c r="C61" s="3169">
        <f t="shared" si="13"/>
        <v>1</v>
      </c>
      <c r="D61" s="634"/>
      <c r="E61" s="3169">
        <f t="shared" si="14"/>
        <v>1</v>
      </c>
      <c r="F61" s="634" t="str">
        <f>'1号楼'!L10</f>
        <v>中楼层</v>
      </c>
      <c r="G61" s="21">
        <f t="shared" si="15"/>
        <v>1</v>
      </c>
      <c r="H61" s="2564" t="s">
        <v>3655</v>
      </c>
      <c r="I61" s="3169">
        <f t="shared" si="16"/>
        <v>1</v>
      </c>
      <c r="J61" s="634"/>
      <c r="K61" s="3169">
        <f t="shared" si="17"/>
        <v>1</v>
      </c>
      <c r="L61" s="634"/>
      <c r="M61" s="21">
        <f t="shared" si="18"/>
        <v>1</v>
      </c>
      <c r="N61" s="634"/>
      <c r="O61" s="21">
        <f t="shared" si="19"/>
        <v>1</v>
      </c>
      <c r="P61" s="634"/>
      <c r="Q61" s="21">
        <f t="shared" si="20"/>
        <v>1</v>
      </c>
      <c r="R61" s="21">
        <f t="shared" ca="1" si="21"/>
        <v>18633</v>
      </c>
      <c r="S61" s="308">
        <f t="shared" ca="1" si="22"/>
        <v>236</v>
      </c>
    </row>
    <row r="62" spans="1:19">
      <c r="A62" s="142" t="str">
        <f>'1号楼'!F11</f>
        <v>1-1-1904</v>
      </c>
      <c r="B62" s="52">
        <f>'1号楼'!K11</f>
        <v>126.87</v>
      </c>
      <c r="C62" s="3169">
        <f t="shared" si="13"/>
        <v>1</v>
      </c>
      <c r="D62" s="634"/>
      <c r="E62" s="3169">
        <f t="shared" si="14"/>
        <v>1</v>
      </c>
      <c r="F62" s="634" t="str">
        <f>'1号楼'!L11</f>
        <v>中楼层</v>
      </c>
      <c r="G62" s="21">
        <f t="shared" si="15"/>
        <v>1</v>
      </c>
      <c r="H62" s="2564" t="s">
        <v>3655</v>
      </c>
      <c r="I62" s="3169">
        <f t="shared" si="16"/>
        <v>1</v>
      </c>
      <c r="J62" s="634"/>
      <c r="K62" s="3169">
        <f t="shared" si="17"/>
        <v>1</v>
      </c>
      <c r="L62" s="634"/>
      <c r="M62" s="21">
        <f t="shared" si="18"/>
        <v>1</v>
      </c>
      <c r="N62" s="634"/>
      <c r="O62" s="21">
        <f t="shared" si="19"/>
        <v>1</v>
      </c>
      <c r="P62" s="634"/>
      <c r="Q62" s="21">
        <f t="shared" si="20"/>
        <v>1</v>
      </c>
      <c r="R62" s="21">
        <f t="shared" ca="1" si="21"/>
        <v>18633</v>
      </c>
      <c r="S62" s="308">
        <f t="shared" ca="1" si="22"/>
        <v>236</v>
      </c>
    </row>
    <row r="63" spans="1:19">
      <c r="A63" s="142" t="str">
        <f>'1号楼'!F12</f>
        <v>1-1-2202</v>
      </c>
      <c r="B63" s="52">
        <f>'1号楼'!K12</f>
        <v>126.4</v>
      </c>
      <c r="C63" s="3169">
        <f t="shared" si="13"/>
        <v>1</v>
      </c>
      <c r="D63" s="634"/>
      <c r="E63" s="3169">
        <f t="shared" si="14"/>
        <v>1</v>
      </c>
      <c r="F63" s="634" t="str">
        <f>'1号楼'!L12</f>
        <v>高楼层</v>
      </c>
      <c r="G63" s="21">
        <f t="shared" si="15"/>
        <v>1.05</v>
      </c>
      <c r="H63" s="2564" t="s">
        <v>3655</v>
      </c>
      <c r="I63" s="3169">
        <f t="shared" si="16"/>
        <v>1</v>
      </c>
      <c r="J63" s="634"/>
      <c r="K63" s="3169">
        <f t="shared" si="17"/>
        <v>1</v>
      </c>
      <c r="L63" s="634"/>
      <c r="M63" s="21">
        <f t="shared" si="18"/>
        <v>1</v>
      </c>
      <c r="N63" s="634"/>
      <c r="O63" s="21">
        <f t="shared" si="19"/>
        <v>1</v>
      </c>
      <c r="P63" s="634"/>
      <c r="Q63" s="21">
        <f t="shared" si="20"/>
        <v>1</v>
      </c>
      <c r="R63" s="21">
        <f t="shared" ca="1" si="21"/>
        <v>19565</v>
      </c>
      <c r="S63" s="308">
        <f t="shared" ca="1" si="22"/>
        <v>247</v>
      </c>
    </row>
    <row r="64" spans="1:19">
      <c r="A64" s="142" t="str">
        <f>'1号楼'!F13</f>
        <v>1-1-2204</v>
      </c>
      <c r="B64" s="52">
        <f>'1号楼'!K13</f>
        <v>126.87</v>
      </c>
      <c r="C64" s="3169">
        <f t="shared" si="13"/>
        <v>1</v>
      </c>
      <c r="D64" s="634"/>
      <c r="E64" s="3169">
        <f t="shared" si="14"/>
        <v>1</v>
      </c>
      <c r="F64" s="634" t="str">
        <f>'1号楼'!L13</f>
        <v>高楼层</v>
      </c>
      <c r="G64" s="21">
        <f t="shared" si="15"/>
        <v>1.05</v>
      </c>
      <c r="H64" s="2564" t="s">
        <v>3655</v>
      </c>
      <c r="I64" s="3169">
        <f t="shared" si="16"/>
        <v>1</v>
      </c>
      <c r="J64" s="634"/>
      <c r="K64" s="3169">
        <f t="shared" si="17"/>
        <v>1</v>
      </c>
      <c r="L64" s="634"/>
      <c r="M64" s="21">
        <f t="shared" si="18"/>
        <v>1</v>
      </c>
      <c r="N64" s="634"/>
      <c r="O64" s="21">
        <f t="shared" si="19"/>
        <v>1</v>
      </c>
      <c r="P64" s="634"/>
      <c r="Q64" s="21">
        <f t="shared" si="20"/>
        <v>1</v>
      </c>
      <c r="R64" s="21">
        <f t="shared" ca="1" si="21"/>
        <v>19565</v>
      </c>
      <c r="S64" s="308">
        <f t="shared" ca="1" si="22"/>
        <v>248</v>
      </c>
    </row>
    <row r="65" spans="1:19">
      <c r="A65" s="142" t="str">
        <f>'1号楼'!F14</f>
        <v>1-1-2402</v>
      </c>
      <c r="B65" s="52">
        <f>'1号楼'!K14</f>
        <v>126.4</v>
      </c>
      <c r="C65" s="3169">
        <f t="shared" si="13"/>
        <v>1</v>
      </c>
      <c r="D65" s="634"/>
      <c r="E65" s="3169">
        <f t="shared" si="14"/>
        <v>1</v>
      </c>
      <c r="F65" s="634" t="str">
        <f>'1号楼'!L14</f>
        <v>高楼层</v>
      </c>
      <c r="G65" s="21">
        <f t="shared" si="15"/>
        <v>1.05</v>
      </c>
      <c r="H65" s="2564" t="s">
        <v>3655</v>
      </c>
      <c r="I65" s="3169">
        <f t="shared" si="16"/>
        <v>1</v>
      </c>
      <c r="J65" s="634"/>
      <c r="K65" s="3169">
        <f t="shared" si="17"/>
        <v>1</v>
      </c>
      <c r="L65" s="634"/>
      <c r="M65" s="21">
        <f t="shared" si="18"/>
        <v>1</v>
      </c>
      <c r="N65" s="634"/>
      <c r="O65" s="21">
        <f t="shared" si="19"/>
        <v>1</v>
      </c>
      <c r="P65" s="634"/>
      <c r="Q65" s="21">
        <f t="shared" si="20"/>
        <v>1</v>
      </c>
      <c r="R65" s="21">
        <f t="shared" ca="1" si="21"/>
        <v>19565</v>
      </c>
      <c r="S65" s="308">
        <f t="shared" ca="1" si="22"/>
        <v>247</v>
      </c>
    </row>
    <row r="66" spans="1:19">
      <c r="A66" s="142" t="str">
        <f>'1号楼'!F15</f>
        <v>1-1-2403</v>
      </c>
      <c r="B66" s="52">
        <f>'1号楼'!K15</f>
        <v>126.4</v>
      </c>
      <c r="C66" s="3169">
        <f t="shared" si="13"/>
        <v>1</v>
      </c>
      <c r="D66" s="634"/>
      <c r="E66" s="3169">
        <f t="shared" si="14"/>
        <v>1</v>
      </c>
      <c r="F66" s="634" t="str">
        <f>'1号楼'!L15</f>
        <v>高楼层</v>
      </c>
      <c r="G66" s="21">
        <f t="shared" si="15"/>
        <v>1.05</v>
      </c>
      <c r="H66" s="2564" t="s">
        <v>3655</v>
      </c>
      <c r="I66" s="3169">
        <f t="shared" si="16"/>
        <v>1</v>
      </c>
      <c r="J66" s="634"/>
      <c r="K66" s="3169">
        <f t="shared" si="17"/>
        <v>1</v>
      </c>
      <c r="L66" s="634"/>
      <c r="M66" s="21">
        <f t="shared" si="18"/>
        <v>1</v>
      </c>
      <c r="N66" s="634"/>
      <c r="O66" s="21">
        <f t="shared" si="19"/>
        <v>1</v>
      </c>
      <c r="P66" s="634"/>
      <c r="Q66" s="21">
        <f t="shared" si="20"/>
        <v>1</v>
      </c>
      <c r="R66" s="21">
        <f t="shared" ca="1" si="21"/>
        <v>19565</v>
      </c>
      <c r="S66" s="308">
        <f t="shared" ca="1" si="22"/>
        <v>247</v>
      </c>
    </row>
    <row r="67" spans="1:19">
      <c r="A67" s="142" t="str">
        <f>'1号楼'!F16</f>
        <v>1-1-2404</v>
      </c>
      <c r="B67" s="52">
        <f>'1号楼'!K16</f>
        <v>126.87</v>
      </c>
      <c r="C67" s="3169">
        <f t="shared" si="13"/>
        <v>1</v>
      </c>
      <c r="D67" s="634"/>
      <c r="E67" s="3169">
        <f t="shared" si="14"/>
        <v>1</v>
      </c>
      <c r="F67" s="634" t="str">
        <f>'1号楼'!L16</f>
        <v>高楼层</v>
      </c>
      <c r="G67" s="21">
        <f t="shared" si="15"/>
        <v>1.05</v>
      </c>
      <c r="H67" s="2564" t="s">
        <v>3655</v>
      </c>
      <c r="I67" s="3169">
        <f t="shared" si="16"/>
        <v>1</v>
      </c>
      <c r="J67" s="634"/>
      <c r="K67" s="3169">
        <f t="shared" si="17"/>
        <v>1</v>
      </c>
      <c r="L67" s="634"/>
      <c r="M67" s="21">
        <f t="shared" si="18"/>
        <v>1</v>
      </c>
      <c r="N67" s="634"/>
      <c r="O67" s="21">
        <f t="shared" si="19"/>
        <v>1</v>
      </c>
      <c r="P67" s="634"/>
      <c r="Q67" s="21">
        <f t="shared" si="20"/>
        <v>1</v>
      </c>
      <c r="R67" s="21">
        <f t="shared" ca="1" si="21"/>
        <v>19565</v>
      </c>
      <c r="S67" s="308">
        <f t="shared" ca="1" si="22"/>
        <v>248</v>
      </c>
    </row>
    <row r="68" spans="1:19">
      <c r="A68" s="142" t="str">
        <f>'1号楼'!F17</f>
        <v>1-1-2503</v>
      </c>
      <c r="B68" s="52">
        <f>'1号楼'!K17</f>
        <v>126.4</v>
      </c>
      <c r="C68" s="3169">
        <f t="shared" si="13"/>
        <v>1</v>
      </c>
      <c r="D68" s="634"/>
      <c r="E68" s="3169">
        <f t="shared" si="14"/>
        <v>1</v>
      </c>
      <c r="F68" s="634" t="str">
        <f>'1号楼'!L17</f>
        <v>高楼层</v>
      </c>
      <c r="G68" s="21">
        <f t="shared" si="15"/>
        <v>1.05</v>
      </c>
      <c r="H68" s="2564" t="s">
        <v>3655</v>
      </c>
      <c r="I68" s="3169">
        <f t="shared" si="16"/>
        <v>1</v>
      </c>
      <c r="J68" s="634"/>
      <c r="K68" s="3169">
        <f t="shared" si="17"/>
        <v>1</v>
      </c>
      <c r="L68" s="634"/>
      <c r="M68" s="21">
        <f t="shared" si="18"/>
        <v>1</v>
      </c>
      <c r="N68" s="634"/>
      <c r="O68" s="21">
        <f t="shared" si="19"/>
        <v>1</v>
      </c>
      <c r="P68" s="634"/>
      <c r="Q68" s="21">
        <f t="shared" si="20"/>
        <v>1</v>
      </c>
      <c r="R68" s="21">
        <f t="shared" ca="1" si="21"/>
        <v>19565</v>
      </c>
      <c r="S68" s="308">
        <f t="shared" ca="1" si="22"/>
        <v>247</v>
      </c>
    </row>
    <row r="69" spans="1:19">
      <c r="A69" s="142" t="str">
        <f>'1号楼'!F18</f>
        <v>1-1-2504</v>
      </c>
      <c r="B69" s="52">
        <f>'1号楼'!K18</f>
        <v>126.87</v>
      </c>
      <c r="C69" s="3169">
        <f t="shared" si="13"/>
        <v>1</v>
      </c>
      <c r="D69" s="634"/>
      <c r="E69" s="3169">
        <f t="shared" si="14"/>
        <v>1</v>
      </c>
      <c r="F69" s="634" t="str">
        <f>'1号楼'!L18</f>
        <v>高楼层</v>
      </c>
      <c r="G69" s="21">
        <f t="shared" si="15"/>
        <v>1.05</v>
      </c>
      <c r="H69" s="2564" t="s">
        <v>3655</v>
      </c>
      <c r="I69" s="3169">
        <f t="shared" si="16"/>
        <v>1</v>
      </c>
      <c r="J69" s="634"/>
      <c r="K69" s="3169">
        <f t="shared" si="17"/>
        <v>1</v>
      </c>
      <c r="L69" s="634"/>
      <c r="M69" s="21">
        <f t="shared" si="18"/>
        <v>1</v>
      </c>
      <c r="N69" s="634"/>
      <c r="O69" s="21">
        <f t="shared" si="19"/>
        <v>1</v>
      </c>
      <c r="P69" s="634"/>
      <c r="Q69" s="21">
        <f t="shared" si="20"/>
        <v>1</v>
      </c>
      <c r="R69" s="21">
        <f t="shared" ca="1" si="21"/>
        <v>19565</v>
      </c>
      <c r="S69" s="308">
        <f t="shared" ca="1" si="22"/>
        <v>248</v>
      </c>
    </row>
    <row r="70" spans="1:19">
      <c r="A70" s="142" t="str">
        <f>'1号楼'!F19</f>
        <v>1-1-2603</v>
      </c>
      <c r="B70" s="52">
        <f>'1号楼'!K19</f>
        <v>126.4</v>
      </c>
      <c r="C70" s="3169">
        <f t="shared" si="13"/>
        <v>1</v>
      </c>
      <c r="D70" s="634"/>
      <c r="E70" s="3169">
        <f t="shared" si="14"/>
        <v>1</v>
      </c>
      <c r="F70" s="634" t="str">
        <f>'1号楼'!L19</f>
        <v>高楼层</v>
      </c>
      <c r="G70" s="21">
        <f t="shared" si="15"/>
        <v>1.05</v>
      </c>
      <c r="H70" s="2564" t="s">
        <v>3655</v>
      </c>
      <c r="I70" s="3169">
        <f t="shared" si="16"/>
        <v>1</v>
      </c>
      <c r="J70" s="634"/>
      <c r="K70" s="3169">
        <f t="shared" si="17"/>
        <v>1</v>
      </c>
      <c r="L70" s="634"/>
      <c r="M70" s="21">
        <f t="shared" si="18"/>
        <v>1</v>
      </c>
      <c r="N70" s="634"/>
      <c r="O70" s="21">
        <f t="shared" si="19"/>
        <v>1</v>
      </c>
      <c r="P70" s="634"/>
      <c r="Q70" s="21">
        <f t="shared" si="20"/>
        <v>1</v>
      </c>
      <c r="R70" s="21">
        <f t="shared" ca="1" si="21"/>
        <v>19565</v>
      </c>
      <c r="S70" s="308">
        <f t="shared" ca="1" si="22"/>
        <v>247</v>
      </c>
    </row>
    <row r="71" spans="1:19">
      <c r="A71" s="142" t="str">
        <f>'1号楼'!F20</f>
        <v>1-1-2604</v>
      </c>
      <c r="B71" s="52">
        <f>'1号楼'!K20</f>
        <v>126.87</v>
      </c>
      <c r="C71" s="3169">
        <f t="shared" si="13"/>
        <v>1</v>
      </c>
      <c r="D71" s="634"/>
      <c r="E71" s="3169">
        <f t="shared" si="14"/>
        <v>1</v>
      </c>
      <c r="F71" s="634" t="str">
        <f>'1号楼'!L20</f>
        <v>高楼层</v>
      </c>
      <c r="G71" s="21">
        <f t="shared" si="15"/>
        <v>1.05</v>
      </c>
      <c r="H71" s="2564" t="s">
        <v>3655</v>
      </c>
      <c r="I71" s="3169">
        <f t="shared" si="16"/>
        <v>1</v>
      </c>
      <c r="J71" s="634"/>
      <c r="K71" s="3169">
        <f t="shared" si="17"/>
        <v>1</v>
      </c>
      <c r="L71" s="634"/>
      <c r="M71" s="21">
        <f t="shared" si="18"/>
        <v>1</v>
      </c>
      <c r="N71" s="634"/>
      <c r="O71" s="21">
        <f t="shared" si="19"/>
        <v>1</v>
      </c>
      <c r="P71" s="634"/>
      <c r="Q71" s="21">
        <f t="shared" si="20"/>
        <v>1</v>
      </c>
      <c r="R71" s="21">
        <f t="shared" ca="1" si="21"/>
        <v>19565</v>
      </c>
      <c r="S71" s="308">
        <f t="shared" ca="1" si="22"/>
        <v>248</v>
      </c>
    </row>
    <row r="72" spans="1:19">
      <c r="A72" s="142" t="str">
        <f>'1号楼'!F21</f>
        <v>1-1-2701</v>
      </c>
      <c r="B72" s="52">
        <f>'1号楼'!K21</f>
        <v>126.87</v>
      </c>
      <c r="C72" s="3169">
        <f t="shared" si="13"/>
        <v>1</v>
      </c>
      <c r="D72" s="634"/>
      <c r="E72" s="3169">
        <f t="shared" si="14"/>
        <v>1</v>
      </c>
      <c r="F72" s="634" t="str">
        <f>'1号楼'!L21</f>
        <v>高楼层</v>
      </c>
      <c r="G72" s="21">
        <f t="shared" si="15"/>
        <v>1.05</v>
      </c>
      <c r="H72" s="2564" t="s">
        <v>3655</v>
      </c>
      <c r="I72" s="3169">
        <f t="shared" si="16"/>
        <v>1</v>
      </c>
      <c r="J72" s="634"/>
      <c r="K72" s="3169">
        <f t="shared" si="17"/>
        <v>1</v>
      </c>
      <c r="L72" s="634"/>
      <c r="M72" s="21">
        <f t="shared" si="18"/>
        <v>1</v>
      </c>
      <c r="N72" s="634"/>
      <c r="O72" s="21">
        <f t="shared" si="19"/>
        <v>1</v>
      </c>
      <c r="P72" s="634"/>
      <c r="Q72" s="21">
        <f t="shared" si="20"/>
        <v>1</v>
      </c>
      <c r="R72" s="21">
        <f t="shared" ca="1" si="21"/>
        <v>19565</v>
      </c>
      <c r="S72" s="308">
        <f t="shared" ca="1" si="22"/>
        <v>248</v>
      </c>
    </row>
    <row r="73" spans="1:19">
      <c r="A73" s="142" t="str">
        <f>'1号楼'!F22</f>
        <v>1-1-2702</v>
      </c>
      <c r="B73" s="52">
        <f>'1号楼'!K22</f>
        <v>126.4</v>
      </c>
      <c r="C73" s="3169">
        <f t="shared" si="13"/>
        <v>1</v>
      </c>
      <c r="D73" s="634"/>
      <c r="E73" s="3169">
        <f t="shared" si="14"/>
        <v>1</v>
      </c>
      <c r="F73" s="634" t="str">
        <f>'1号楼'!L22</f>
        <v>高楼层</v>
      </c>
      <c r="G73" s="21">
        <f t="shared" si="15"/>
        <v>1.05</v>
      </c>
      <c r="H73" s="2564" t="s">
        <v>3655</v>
      </c>
      <c r="I73" s="3169">
        <f t="shared" si="16"/>
        <v>1</v>
      </c>
      <c r="J73" s="634"/>
      <c r="K73" s="3169">
        <f t="shared" si="17"/>
        <v>1</v>
      </c>
      <c r="L73" s="634"/>
      <c r="M73" s="21">
        <f t="shared" si="18"/>
        <v>1</v>
      </c>
      <c r="N73" s="634"/>
      <c r="O73" s="21">
        <f t="shared" si="19"/>
        <v>1</v>
      </c>
      <c r="P73" s="634"/>
      <c r="Q73" s="21">
        <f t="shared" si="20"/>
        <v>1</v>
      </c>
      <c r="R73" s="21">
        <f t="shared" ca="1" si="21"/>
        <v>19565</v>
      </c>
      <c r="S73" s="308">
        <f t="shared" ca="1" si="22"/>
        <v>247</v>
      </c>
    </row>
    <row r="74" spans="1:19">
      <c r="A74" s="142" t="str">
        <f>'1号楼'!F23</f>
        <v>1-1-2703</v>
      </c>
      <c r="B74" s="52">
        <f>'1号楼'!K23</f>
        <v>126.4</v>
      </c>
      <c r="C74" s="3169">
        <f t="shared" si="13"/>
        <v>1</v>
      </c>
      <c r="D74" s="634"/>
      <c r="E74" s="3169">
        <f t="shared" si="14"/>
        <v>1</v>
      </c>
      <c r="F74" s="634" t="str">
        <f>'1号楼'!L23</f>
        <v>高楼层</v>
      </c>
      <c r="G74" s="21">
        <f t="shared" si="15"/>
        <v>1.05</v>
      </c>
      <c r="H74" s="2564" t="s">
        <v>3655</v>
      </c>
      <c r="I74" s="3169">
        <f t="shared" si="16"/>
        <v>1</v>
      </c>
      <c r="J74" s="634"/>
      <c r="K74" s="3169">
        <f t="shared" si="17"/>
        <v>1</v>
      </c>
      <c r="L74" s="634"/>
      <c r="M74" s="21">
        <f t="shared" si="18"/>
        <v>1</v>
      </c>
      <c r="N74" s="634"/>
      <c r="O74" s="21">
        <f t="shared" si="19"/>
        <v>1</v>
      </c>
      <c r="P74" s="634"/>
      <c r="Q74" s="21">
        <f t="shared" si="20"/>
        <v>1</v>
      </c>
      <c r="R74" s="21">
        <f t="shared" ca="1" si="21"/>
        <v>19565</v>
      </c>
      <c r="S74" s="308">
        <f t="shared" ca="1" si="22"/>
        <v>247</v>
      </c>
    </row>
    <row r="75" spans="1:19">
      <c r="A75" s="142" t="str">
        <f>'3-5号楼'!F2</f>
        <v>3-1-103</v>
      </c>
      <c r="B75" s="52">
        <f>'3-5号楼'!K2</f>
        <v>93.53</v>
      </c>
      <c r="C75" s="3169">
        <f t="shared" si="13"/>
        <v>1.04</v>
      </c>
      <c r="D75" s="634"/>
      <c r="E75" s="3169">
        <f t="shared" si="14"/>
        <v>1</v>
      </c>
      <c r="F75" s="634" t="str">
        <f>'3-5号楼'!Q2</f>
        <v>低楼层</v>
      </c>
      <c r="G75" s="21">
        <f t="shared" si="15"/>
        <v>0.95</v>
      </c>
      <c r="H75" s="2564" t="s">
        <v>3655</v>
      </c>
      <c r="I75" s="3169">
        <f t="shared" si="16"/>
        <v>1</v>
      </c>
      <c r="J75" s="634"/>
      <c r="K75" s="3169">
        <f t="shared" si="17"/>
        <v>1</v>
      </c>
      <c r="L75" s="634"/>
      <c r="M75" s="21">
        <f t="shared" si="18"/>
        <v>1</v>
      </c>
      <c r="N75" s="634"/>
      <c r="O75" s="21">
        <f t="shared" si="19"/>
        <v>1</v>
      </c>
      <c r="P75" s="634"/>
      <c r="Q75" s="21">
        <f t="shared" si="20"/>
        <v>1</v>
      </c>
      <c r="R75" s="21">
        <f t="shared" ca="1" si="21"/>
        <v>18409</v>
      </c>
      <c r="S75" s="308">
        <f t="shared" ca="1" si="22"/>
        <v>172</v>
      </c>
    </row>
    <row r="76" spans="1:19">
      <c r="A76" s="142" t="str">
        <f>'3-5号楼'!F3</f>
        <v>3-1-104</v>
      </c>
      <c r="B76" s="52">
        <f>'3-5号楼'!K3</f>
        <v>93.53</v>
      </c>
      <c r="C76" s="3169">
        <f t="shared" si="13"/>
        <v>1.04</v>
      </c>
      <c r="D76" s="634"/>
      <c r="E76" s="3169">
        <f t="shared" si="14"/>
        <v>1</v>
      </c>
      <c r="F76" s="634" t="str">
        <f>'3-5号楼'!Q3</f>
        <v>低楼层</v>
      </c>
      <c r="G76" s="21">
        <f t="shared" si="15"/>
        <v>0.95</v>
      </c>
      <c r="H76" s="2564" t="s">
        <v>3655</v>
      </c>
      <c r="I76" s="3169">
        <f t="shared" si="16"/>
        <v>1</v>
      </c>
      <c r="J76" s="634"/>
      <c r="K76" s="3169">
        <f t="shared" si="17"/>
        <v>1</v>
      </c>
      <c r="L76" s="634"/>
      <c r="M76" s="21">
        <f t="shared" si="18"/>
        <v>1</v>
      </c>
      <c r="N76" s="634"/>
      <c r="O76" s="21">
        <f t="shared" si="19"/>
        <v>1</v>
      </c>
      <c r="P76" s="634"/>
      <c r="Q76" s="21">
        <f t="shared" si="20"/>
        <v>1</v>
      </c>
      <c r="R76" s="21">
        <f t="shared" ca="1" si="21"/>
        <v>18409</v>
      </c>
      <c r="S76" s="308">
        <f t="shared" ca="1" si="22"/>
        <v>172</v>
      </c>
    </row>
    <row r="77" spans="1:19">
      <c r="A77" s="142" t="str">
        <f>'3-5号楼'!F4</f>
        <v>3-1-1405</v>
      </c>
      <c r="B77" s="52">
        <f>'3-5号楼'!K4</f>
        <v>69.78</v>
      </c>
      <c r="C77" s="3169">
        <f t="shared" si="13"/>
        <v>1.06</v>
      </c>
      <c r="D77" s="634"/>
      <c r="E77" s="3169">
        <f t="shared" si="14"/>
        <v>1</v>
      </c>
      <c r="F77" s="634" t="str">
        <f>'3-5号楼'!Q4</f>
        <v>低楼层</v>
      </c>
      <c r="G77" s="21">
        <f t="shared" si="15"/>
        <v>0.95</v>
      </c>
      <c r="H77" s="2564" t="s">
        <v>3655</v>
      </c>
      <c r="I77" s="3169">
        <f t="shared" si="16"/>
        <v>1</v>
      </c>
      <c r="J77" s="634"/>
      <c r="K77" s="3169">
        <f t="shared" si="17"/>
        <v>1</v>
      </c>
      <c r="L77" s="634"/>
      <c r="M77" s="21">
        <f t="shared" si="18"/>
        <v>1</v>
      </c>
      <c r="N77" s="634"/>
      <c r="O77" s="21">
        <f t="shared" si="19"/>
        <v>1</v>
      </c>
      <c r="P77" s="634"/>
      <c r="Q77" s="21">
        <f t="shared" si="20"/>
        <v>1</v>
      </c>
      <c r="R77" s="21">
        <f t="shared" ca="1" si="21"/>
        <v>18763</v>
      </c>
      <c r="S77" s="308">
        <f t="shared" ca="1" si="22"/>
        <v>131</v>
      </c>
    </row>
    <row r="78" spans="1:19">
      <c r="A78" s="142" t="str">
        <f>'3-5号楼'!F5</f>
        <v>5-1-102</v>
      </c>
      <c r="B78" s="52">
        <f>'3-5号楼'!K5</f>
        <v>105.7</v>
      </c>
      <c r="C78" s="3169">
        <f t="shared" si="13"/>
        <v>1</v>
      </c>
      <c r="D78" s="634"/>
      <c r="E78" s="3169">
        <f t="shared" si="14"/>
        <v>1</v>
      </c>
      <c r="F78" s="634" t="str">
        <f>'3-5号楼'!Q5</f>
        <v>低楼层</v>
      </c>
      <c r="G78" s="21">
        <f t="shared" si="15"/>
        <v>0.95</v>
      </c>
      <c r="H78" s="2564" t="s">
        <v>3655</v>
      </c>
      <c r="I78" s="3169">
        <f t="shared" si="16"/>
        <v>1</v>
      </c>
      <c r="J78" s="634"/>
      <c r="K78" s="3169">
        <f t="shared" si="17"/>
        <v>1</v>
      </c>
      <c r="L78" s="634"/>
      <c r="M78" s="21">
        <f t="shared" si="18"/>
        <v>1</v>
      </c>
      <c r="N78" s="634"/>
      <c r="O78" s="21">
        <f t="shared" si="19"/>
        <v>1</v>
      </c>
      <c r="P78" s="634"/>
      <c r="Q78" s="21">
        <f t="shared" si="20"/>
        <v>1</v>
      </c>
      <c r="R78" s="21">
        <f t="shared" ca="1" si="21"/>
        <v>17701</v>
      </c>
      <c r="S78" s="308">
        <f t="shared" ref="S78:S122" ca="1" si="23">ROUND(R78*B78/10000,0)</f>
        <v>187</v>
      </c>
    </row>
    <row r="79" spans="1:19">
      <c r="A79" s="142" t="str">
        <f>'3-5号楼'!F6</f>
        <v>5-1-103</v>
      </c>
      <c r="B79" s="52">
        <f>'3-5号楼'!K6</f>
        <v>105.7</v>
      </c>
      <c r="C79" s="3169">
        <f t="shared" si="13"/>
        <v>1</v>
      </c>
      <c r="D79" s="634"/>
      <c r="E79" s="3169">
        <f t="shared" si="14"/>
        <v>1</v>
      </c>
      <c r="F79" s="634" t="str">
        <f>'3-5号楼'!Q6</f>
        <v>低楼层</v>
      </c>
      <c r="G79" s="21">
        <f t="shared" si="15"/>
        <v>0.95</v>
      </c>
      <c r="H79" s="2564" t="s">
        <v>3655</v>
      </c>
      <c r="I79" s="3169">
        <f t="shared" si="16"/>
        <v>1</v>
      </c>
      <c r="J79" s="634"/>
      <c r="K79" s="3169">
        <f t="shared" si="17"/>
        <v>1</v>
      </c>
      <c r="L79" s="634"/>
      <c r="M79" s="21">
        <f t="shared" si="18"/>
        <v>1</v>
      </c>
      <c r="N79" s="634"/>
      <c r="O79" s="21">
        <f t="shared" si="19"/>
        <v>1</v>
      </c>
      <c r="P79" s="634"/>
      <c r="Q79" s="21">
        <f t="shared" si="20"/>
        <v>1</v>
      </c>
      <c r="R79" s="21">
        <f t="shared" ca="1" si="21"/>
        <v>17701</v>
      </c>
      <c r="S79" s="308">
        <f t="shared" ca="1" si="23"/>
        <v>187</v>
      </c>
    </row>
    <row r="80" spans="1:19">
      <c r="A80" s="142" t="str">
        <f>'3-5号楼'!F7</f>
        <v>5-1-803</v>
      </c>
      <c r="B80" s="52">
        <f>'3-5号楼'!K7</f>
        <v>105.7</v>
      </c>
      <c r="C80" s="3169">
        <f t="shared" si="13"/>
        <v>1</v>
      </c>
      <c r="D80" s="634"/>
      <c r="E80" s="3169">
        <f t="shared" si="14"/>
        <v>1</v>
      </c>
      <c r="F80" s="634" t="str">
        <f>'3-5号楼'!Q7</f>
        <v>中楼层</v>
      </c>
      <c r="G80" s="21">
        <f t="shared" si="15"/>
        <v>1</v>
      </c>
      <c r="H80" s="2564" t="s">
        <v>3655</v>
      </c>
      <c r="I80" s="3169">
        <f t="shared" si="16"/>
        <v>1</v>
      </c>
      <c r="J80" s="634"/>
      <c r="K80" s="3169">
        <f t="shared" si="17"/>
        <v>1</v>
      </c>
      <c r="L80" s="634"/>
      <c r="M80" s="21">
        <f t="shared" si="18"/>
        <v>1</v>
      </c>
      <c r="N80" s="634"/>
      <c r="O80" s="21">
        <f t="shared" si="19"/>
        <v>1</v>
      </c>
      <c r="P80" s="634"/>
      <c r="Q80" s="21">
        <f t="shared" si="20"/>
        <v>1</v>
      </c>
      <c r="R80" s="21">
        <f t="shared" ca="1" si="21"/>
        <v>18633</v>
      </c>
      <c r="S80" s="308">
        <f t="shared" ca="1" si="23"/>
        <v>197</v>
      </c>
    </row>
    <row r="81" spans="1:19">
      <c r="A81" s="142" t="str">
        <f>'3-5号楼'!F8</f>
        <v>5-1-2402</v>
      </c>
      <c r="B81" s="52">
        <f>'3-5号楼'!K8</f>
        <v>92.4</v>
      </c>
      <c r="C81" s="3169">
        <f t="shared" si="13"/>
        <v>1.04</v>
      </c>
      <c r="D81" s="634"/>
      <c r="E81" s="3169">
        <f t="shared" si="14"/>
        <v>1</v>
      </c>
      <c r="F81" s="634" t="str">
        <f>'3-5号楼'!Q8</f>
        <v>高楼层</v>
      </c>
      <c r="G81" s="21">
        <f t="shared" si="15"/>
        <v>1.05</v>
      </c>
      <c r="H81" s="2564" t="s">
        <v>3657</v>
      </c>
      <c r="I81" s="3169">
        <f t="shared" si="16"/>
        <v>0.95</v>
      </c>
      <c r="J81" s="634"/>
      <c r="K81" s="3169">
        <f t="shared" si="17"/>
        <v>1</v>
      </c>
      <c r="L81" s="634"/>
      <c r="M81" s="21">
        <f t="shared" si="18"/>
        <v>1</v>
      </c>
      <c r="N81" s="634"/>
      <c r="O81" s="21">
        <f t="shared" si="19"/>
        <v>1</v>
      </c>
      <c r="P81" s="634"/>
      <c r="Q81" s="21">
        <f t="shared" si="20"/>
        <v>1</v>
      </c>
      <c r="R81" s="21">
        <f t="shared" ca="1" si="21"/>
        <v>19330</v>
      </c>
      <c r="S81" s="308">
        <f t="shared" ca="1" si="23"/>
        <v>179</v>
      </c>
    </row>
    <row r="82" spans="1:19">
      <c r="A82" s="142" t="str">
        <f>'3-5号楼'!F9</f>
        <v>5-1-2501</v>
      </c>
      <c r="B82" s="52">
        <f>'3-5号楼'!K9</f>
        <v>113.66</v>
      </c>
      <c r="C82" s="3169">
        <f t="shared" si="13"/>
        <v>1</v>
      </c>
      <c r="D82" s="634"/>
      <c r="E82" s="3169">
        <f t="shared" si="14"/>
        <v>1</v>
      </c>
      <c r="F82" s="634" t="str">
        <f>'3-5号楼'!Q9</f>
        <v>高楼层</v>
      </c>
      <c r="G82" s="21">
        <f t="shared" si="15"/>
        <v>1.05</v>
      </c>
      <c r="H82" s="2564" t="s">
        <v>3655</v>
      </c>
      <c r="I82" s="3169">
        <f t="shared" si="16"/>
        <v>1</v>
      </c>
      <c r="J82" s="634"/>
      <c r="K82" s="3169">
        <f t="shared" si="17"/>
        <v>1</v>
      </c>
      <c r="L82" s="634"/>
      <c r="M82" s="21">
        <f t="shared" si="18"/>
        <v>1</v>
      </c>
      <c r="N82" s="634"/>
      <c r="O82" s="21">
        <f t="shared" si="19"/>
        <v>1</v>
      </c>
      <c r="P82" s="634"/>
      <c r="Q82" s="21">
        <f t="shared" si="20"/>
        <v>1</v>
      </c>
      <c r="R82" s="21">
        <f t="shared" ca="1" si="21"/>
        <v>19565</v>
      </c>
      <c r="S82" s="308">
        <f t="shared" ca="1" si="23"/>
        <v>222</v>
      </c>
    </row>
    <row r="83" spans="1:19">
      <c r="A83" s="142" t="str">
        <f>无查询证明的4套!F2</f>
        <v>1-1-1504</v>
      </c>
      <c r="B83" s="52">
        <f>无查询证明的4套!K2</f>
        <v>126.87</v>
      </c>
      <c r="C83" s="21">
        <f t="shared" si="13"/>
        <v>1</v>
      </c>
      <c r="D83" s="634"/>
      <c r="E83" s="3169">
        <f t="shared" si="14"/>
        <v>1</v>
      </c>
      <c r="F83" s="634" t="str">
        <f>无查询证明的4套!L2</f>
        <v>中楼层</v>
      </c>
      <c r="G83" s="21">
        <f t="shared" si="15"/>
        <v>1</v>
      </c>
      <c r="H83" s="634" t="s">
        <v>3655</v>
      </c>
      <c r="I83" s="3169">
        <f t="shared" si="16"/>
        <v>1</v>
      </c>
      <c r="J83" s="634"/>
      <c r="K83" s="3169">
        <f t="shared" si="17"/>
        <v>1</v>
      </c>
      <c r="L83" s="634"/>
      <c r="M83" s="21">
        <f t="shared" si="18"/>
        <v>1</v>
      </c>
      <c r="N83" s="634"/>
      <c r="O83" s="21">
        <f t="shared" si="19"/>
        <v>1</v>
      </c>
      <c r="P83" s="634"/>
      <c r="Q83" s="21">
        <f t="shared" si="20"/>
        <v>1</v>
      </c>
      <c r="R83" s="21">
        <f t="shared" ca="1" si="21"/>
        <v>18633</v>
      </c>
      <c r="S83" s="308">
        <f t="shared" ca="1" si="23"/>
        <v>236</v>
      </c>
    </row>
    <row r="84" spans="1:19">
      <c r="A84" s="142" t="str">
        <f>无查询证明的4套!F3</f>
        <v>2-1-1303</v>
      </c>
      <c r="B84" s="52">
        <f>无查询证明的4套!K3</f>
        <v>121.97</v>
      </c>
      <c r="C84" s="21">
        <f t="shared" si="13"/>
        <v>1</v>
      </c>
      <c r="D84" s="634"/>
      <c r="E84" s="3169">
        <f t="shared" si="14"/>
        <v>1</v>
      </c>
      <c r="F84" s="634" t="str">
        <f>无查询证明的4套!L3</f>
        <v>中楼层</v>
      </c>
      <c r="G84" s="21">
        <f t="shared" si="15"/>
        <v>1</v>
      </c>
      <c r="H84" s="634" t="s">
        <v>3655</v>
      </c>
      <c r="I84" s="3169">
        <f t="shared" si="16"/>
        <v>1</v>
      </c>
      <c r="J84" s="634"/>
      <c r="K84" s="3169">
        <f t="shared" si="17"/>
        <v>1</v>
      </c>
      <c r="L84" s="634"/>
      <c r="M84" s="21">
        <f t="shared" si="18"/>
        <v>1</v>
      </c>
      <c r="N84" s="634"/>
      <c r="O84" s="21">
        <f t="shared" si="19"/>
        <v>1</v>
      </c>
      <c r="P84" s="634"/>
      <c r="Q84" s="21">
        <f t="shared" si="20"/>
        <v>1</v>
      </c>
      <c r="R84" s="21">
        <f t="shared" ca="1" si="21"/>
        <v>18633</v>
      </c>
      <c r="S84" s="308">
        <f t="shared" ca="1" si="23"/>
        <v>227</v>
      </c>
    </row>
    <row r="85" spans="1:19">
      <c r="A85" s="142" t="str">
        <f>无查询证明的4套!F4</f>
        <v>2-1-504</v>
      </c>
      <c r="B85" s="52">
        <f>无查询证明的4套!K4</f>
        <v>117.03</v>
      </c>
      <c r="C85" s="21">
        <f t="shared" si="13"/>
        <v>1</v>
      </c>
      <c r="D85" s="634"/>
      <c r="E85" s="3169">
        <f t="shared" si="14"/>
        <v>1</v>
      </c>
      <c r="F85" s="634" t="str">
        <f>无查询证明的4套!L4</f>
        <v>低楼层</v>
      </c>
      <c r="G85" s="21">
        <f t="shared" si="15"/>
        <v>0.95</v>
      </c>
      <c r="H85" s="634" t="s">
        <v>3655</v>
      </c>
      <c r="I85" s="3169">
        <f t="shared" si="16"/>
        <v>1</v>
      </c>
      <c r="J85" s="634"/>
      <c r="K85" s="3169">
        <f t="shared" si="17"/>
        <v>1</v>
      </c>
      <c r="L85" s="634"/>
      <c r="M85" s="21">
        <f t="shared" si="18"/>
        <v>1</v>
      </c>
      <c r="N85" s="634"/>
      <c r="O85" s="21">
        <f t="shared" si="19"/>
        <v>1</v>
      </c>
      <c r="P85" s="634"/>
      <c r="Q85" s="21">
        <f t="shared" si="20"/>
        <v>1</v>
      </c>
      <c r="R85" s="21">
        <f t="shared" ca="1" si="21"/>
        <v>17701</v>
      </c>
      <c r="S85" s="308">
        <f t="shared" ca="1" si="23"/>
        <v>207</v>
      </c>
    </row>
    <row r="86" spans="1:19">
      <c r="A86" s="142" t="str">
        <f>无查询证明的4套!F5</f>
        <v>5-1-405</v>
      </c>
      <c r="B86" s="52">
        <f>无查询证明的4套!K5</f>
        <v>92.4</v>
      </c>
      <c r="C86" s="21">
        <f t="shared" si="13"/>
        <v>1.04</v>
      </c>
      <c r="D86" s="634"/>
      <c r="E86" s="3169">
        <f t="shared" si="14"/>
        <v>1</v>
      </c>
      <c r="F86" s="634" t="str">
        <f>无查询证明的4套!L5</f>
        <v>低楼层</v>
      </c>
      <c r="G86" s="21">
        <f t="shared" si="15"/>
        <v>0.95</v>
      </c>
      <c r="H86" s="634" t="s">
        <v>3657</v>
      </c>
      <c r="I86" s="3169">
        <f t="shared" si="16"/>
        <v>0.95</v>
      </c>
      <c r="J86" s="634"/>
      <c r="K86" s="3169">
        <f t="shared" si="17"/>
        <v>1</v>
      </c>
      <c r="L86" s="634"/>
      <c r="M86" s="21">
        <f t="shared" si="18"/>
        <v>1</v>
      </c>
      <c r="N86" s="634"/>
      <c r="O86" s="21">
        <f t="shared" si="19"/>
        <v>1</v>
      </c>
      <c r="P86" s="634"/>
      <c r="Q86" s="21">
        <f t="shared" si="20"/>
        <v>1</v>
      </c>
      <c r="R86" s="21">
        <f t="shared" ca="1" si="21"/>
        <v>17489</v>
      </c>
      <c r="S86" s="308">
        <f t="shared" ca="1" si="23"/>
        <v>162</v>
      </c>
    </row>
    <row r="87" spans="1:19">
      <c r="A87" s="142"/>
      <c r="B87" s="52"/>
      <c r="C87" s="21">
        <f t="shared" si="13"/>
        <v>1</v>
      </c>
      <c r="D87" s="634"/>
      <c r="E87" s="3169">
        <f t="shared" si="14"/>
        <v>1</v>
      </c>
      <c r="F87" s="634"/>
      <c r="G87" s="21">
        <f t="shared" si="15"/>
        <v>0.05</v>
      </c>
      <c r="H87" s="634"/>
      <c r="I87" s="3169">
        <f t="shared" si="16"/>
        <v>0</v>
      </c>
      <c r="J87" s="634"/>
      <c r="K87" s="3169">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3169">
        <f t="shared" si="14"/>
        <v>1</v>
      </c>
      <c r="F88" s="634"/>
      <c r="G88" s="21">
        <f t="shared" si="15"/>
        <v>0.05</v>
      </c>
      <c r="H88" s="634"/>
      <c r="I88" s="3169">
        <f t="shared" si="16"/>
        <v>0</v>
      </c>
      <c r="J88" s="634"/>
      <c r="K88" s="3169">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3169">
        <f t="shared" si="14"/>
        <v>1</v>
      </c>
      <c r="F89" s="634"/>
      <c r="G89" s="21">
        <f t="shared" si="15"/>
        <v>0.05</v>
      </c>
      <c r="H89" s="634"/>
      <c r="I89" s="3169">
        <f t="shared" si="16"/>
        <v>0</v>
      </c>
      <c r="J89" s="634"/>
      <c r="K89" s="3169">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3169">
        <f t="shared" ref="E90:E153" si="25">(SUMIF($5:$5,D90,$6:$6)-SUMIF($5:$5,$D$24,$6:$6)+100)/100</f>
        <v>1</v>
      </c>
      <c r="F90" s="634"/>
      <c r="G90" s="21">
        <f t="shared" ref="G90:G153" si="26">(SUMIF($7:$7,F90,$8:$8)-SUMIF($7:$7,$F$24,$8:$8)+100)/100</f>
        <v>0.05</v>
      </c>
      <c r="H90" s="634"/>
      <c r="I90" s="3169">
        <f t="shared" ref="I90:I153" si="27">(SUMIF($9:$9,H90,$10:$10)-SUMIF($9:$9,$H$24,$10:$10)+100)/100</f>
        <v>0</v>
      </c>
      <c r="J90" s="634"/>
      <c r="K90" s="3169">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3169">
        <f t="shared" si="25"/>
        <v>1</v>
      </c>
      <c r="F91" s="634"/>
      <c r="G91" s="21">
        <f t="shared" si="26"/>
        <v>0.05</v>
      </c>
      <c r="H91" s="634"/>
      <c r="I91" s="3169">
        <f t="shared" si="27"/>
        <v>0</v>
      </c>
      <c r="J91" s="634"/>
      <c r="K91" s="3169">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3169">
        <f t="shared" si="25"/>
        <v>1</v>
      </c>
      <c r="F92" s="634"/>
      <c r="G92" s="21">
        <f t="shared" si="26"/>
        <v>0.05</v>
      </c>
      <c r="H92" s="634"/>
      <c r="I92" s="3169">
        <f t="shared" si="27"/>
        <v>0</v>
      </c>
      <c r="J92" s="634"/>
      <c r="K92" s="3169">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3169">
        <f t="shared" si="25"/>
        <v>1</v>
      </c>
      <c r="F93" s="634"/>
      <c r="G93" s="21">
        <f t="shared" si="26"/>
        <v>0.05</v>
      </c>
      <c r="H93" s="634"/>
      <c r="I93" s="3169">
        <f t="shared" si="27"/>
        <v>0</v>
      </c>
      <c r="J93" s="634"/>
      <c r="K93" s="3169">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3169">
        <f t="shared" si="25"/>
        <v>1</v>
      </c>
      <c r="F94" s="634"/>
      <c r="G94" s="21">
        <f t="shared" si="26"/>
        <v>0.05</v>
      </c>
      <c r="H94" s="634"/>
      <c r="I94" s="3169">
        <f t="shared" si="27"/>
        <v>0</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3169">
        <f t="shared" si="25"/>
        <v>1</v>
      </c>
      <c r="F95" s="634"/>
      <c r="G95" s="21">
        <f t="shared" si="26"/>
        <v>0.05</v>
      </c>
      <c r="H95" s="634"/>
      <c r="I95" s="3169">
        <f t="shared" si="27"/>
        <v>0</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3169">
        <f t="shared" si="25"/>
        <v>1</v>
      </c>
      <c r="F96" s="634"/>
      <c r="G96" s="21">
        <f t="shared" si="26"/>
        <v>0.05</v>
      </c>
      <c r="H96" s="634"/>
      <c r="I96" s="3169">
        <f t="shared" si="27"/>
        <v>0</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3169">
        <f t="shared" si="25"/>
        <v>1</v>
      </c>
      <c r="F97" s="634"/>
      <c r="G97" s="21">
        <f t="shared" si="26"/>
        <v>0.05</v>
      </c>
      <c r="H97" s="634"/>
      <c r="I97" s="3169">
        <f t="shared" si="27"/>
        <v>0</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0.05</v>
      </c>
      <c r="H98" s="634"/>
      <c r="I98" s="3169">
        <f t="shared" si="27"/>
        <v>0</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0.05</v>
      </c>
      <c r="H99" s="634"/>
      <c r="I99" s="21">
        <f t="shared" si="27"/>
        <v>0</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0.05</v>
      </c>
      <c r="H100" s="634"/>
      <c r="I100" s="21">
        <f t="shared" si="27"/>
        <v>0</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0.05</v>
      </c>
      <c r="H101" s="634"/>
      <c r="I101" s="21">
        <f t="shared" si="27"/>
        <v>0</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0.05</v>
      </c>
      <c r="H102" s="634"/>
      <c r="I102" s="21">
        <f t="shared" si="27"/>
        <v>0</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0.05</v>
      </c>
      <c r="H103" s="634"/>
      <c r="I103" s="21">
        <f t="shared" si="27"/>
        <v>0</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0.05</v>
      </c>
      <c r="H104" s="634"/>
      <c r="I104" s="21">
        <f t="shared" si="27"/>
        <v>0</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0.05</v>
      </c>
      <c r="H105" s="634"/>
      <c r="I105" s="21">
        <f t="shared" si="27"/>
        <v>0</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0.05</v>
      </c>
      <c r="H106" s="634"/>
      <c r="I106" s="21">
        <f t="shared" si="27"/>
        <v>0</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0.05</v>
      </c>
      <c r="H107" s="634"/>
      <c r="I107" s="21">
        <f t="shared" si="27"/>
        <v>0</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0.05</v>
      </c>
      <c r="H108" s="634"/>
      <c r="I108" s="21">
        <f t="shared" si="27"/>
        <v>0</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0.05</v>
      </c>
      <c r="H109" s="634"/>
      <c r="I109" s="21">
        <f t="shared" si="27"/>
        <v>0</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0.05</v>
      </c>
      <c r="H110" s="634"/>
      <c r="I110" s="21">
        <f t="shared" si="27"/>
        <v>0</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0.05</v>
      </c>
      <c r="H111" s="634"/>
      <c r="I111" s="21">
        <f t="shared" si="27"/>
        <v>0</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0.05</v>
      </c>
      <c r="H112" s="634"/>
      <c r="I112" s="21">
        <f t="shared" si="27"/>
        <v>0</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0.05</v>
      </c>
      <c r="H113" s="634"/>
      <c r="I113" s="21">
        <f t="shared" si="27"/>
        <v>0</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0.05</v>
      </c>
      <c r="H114" s="634"/>
      <c r="I114" s="21">
        <f t="shared" si="27"/>
        <v>0</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0.05</v>
      </c>
      <c r="H115" s="634"/>
      <c r="I115" s="21">
        <f t="shared" si="27"/>
        <v>0</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0.05</v>
      </c>
      <c r="H116" s="634"/>
      <c r="I116" s="21">
        <f t="shared" si="27"/>
        <v>0</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0.05</v>
      </c>
      <c r="H117" s="634"/>
      <c r="I117" s="21">
        <f t="shared" si="27"/>
        <v>0</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0.05</v>
      </c>
      <c r="H118" s="634"/>
      <c r="I118" s="21">
        <f t="shared" si="27"/>
        <v>0</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0.05</v>
      </c>
      <c r="H119" s="634"/>
      <c r="I119" s="21">
        <f t="shared" si="27"/>
        <v>0</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0.05</v>
      </c>
      <c r="H120" s="634"/>
      <c r="I120" s="21">
        <f t="shared" si="27"/>
        <v>0</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0.05</v>
      </c>
      <c r="H121" s="634"/>
      <c r="I121" s="21">
        <f t="shared" si="27"/>
        <v>0</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0.05</v>
      </c>
      <c r="H122" s="634"/>
      <c r="I122" s="21">
        <f t="shared" si="27"/>
        <v>0</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0.05</v>
      </c>
      <c r="H123" s="634"/>
      <c r="I123" s="21">
        <f t="shared" si="27"/>
        <v>0</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0.05</v>
      </c>
      <c r="H124" s="634"/>
      <c r="I124" s="21">
        <f t="shared" si="27"/>
        <v>0</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0.05</v>
      </c>
      <c r="H125" s="634"/>
      <c r="I125" s="21">
        <f t="shared" si="27"/>
        <v>0</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0.05</v>
      </c>
      <c r="H126" s="634"/>
      <c r="I126" s="21">
        <f t="shared" si="27"/>
        <v>0</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0.05</v>
      </c>
      <c r="H127" s="634"/>
      <c r="I127" s="21">
        <f t="shared" si="27"/>
        <v>0</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0.05</v>
      </c>
      <c r="H128" s="634"/>
      <c r="I128" s="21">
        <f t="shared" si="27"/>
        <v>0</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0.05</v>
      </c>
      <c r="H129" s="634"/>
      <c r="I129" s="21">
        <f t="shared" si="27"/>
        <v>0</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0.05</v>
      </c>
      <c r="H130" s="634"/>
      <c r="I130" s="21">
        <f t="shared" si="27"/>
        <v>0</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0.05</v>
      </c>
      <c r="H131" s="634"/>
      <c r="I131" s="21">
        <f t="shared" si="27"/>
        <v>0</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0.05</v>
      </c>
      <c r="H132" s="634"/>
      <c r="I132" s="21">
        <f t="shared" si="27"/>
        <v>0</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0.05</v>
      </c>
      <c r="H133" s="634"/>
      <c r="I133" s="21">
        <f t="shared" si="27"/>
        <v>0</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0.05</v>
      </c>
      <c r="H134" s="634"/>
      <c r="I134" s="21">
        <f t="shared" si="27"/>
        <v>0</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0.05</v>
      </c>
      <c r="H135" s="634"/>
      <c r="I135" s="21">
        <f t="shared" si="27"/>
        <v>0</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0.05</v>
      </c>
      <c r="H136" s="634"/>
      <c r="I136" s="21">
        <f t="shared" si="27"/>
        <v>0</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0.05</v>
      </c>
      <c r="H137" s="634"/>
      <c r="I137" s="21">
        <f t="shared" si="27"/>
        <v>0</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0.05</v>
      </c>
      <c r="H138" s="634"/>
      <c r="I138" s="21">
        <f t="shared" si="27"/>
        <v>0</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0.05</v>
      </c>
      <c r="H139" s="634"/>
      <c r="I139" s="21">
        <f t="shared" si="27"/>
        <v>0</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0.05</v>
      </c>
      <c r="H140" s="634"/>
      <c r="I140" s="21">
        <f t="shared" si="27"/>
        <v>0</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0.05</v>
      </c>
      <c r="H141" s="634"/>
      <c r="I141" s="21">
        <f t="shared" si="27"/>
        <v>0</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0.05</v>
      </c>
      <c r="H142" s="634"/>
      <c r="I142" s="21">
        <f t="shared" si="27"/>
        <v>0</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0.05</v>
      </c>
      <c r="H143" s="634"/>
      <c r="I143" s="21">
        <f t="shared" si="27"/>
        <v>0</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0.05</v>
      </c>
      <c r="H144" s="634"/>
      <c r="I144" s="21">
        <f t="shared" si="27"/>
        <v>0</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0.05</v>
      </c>
      <c r="H145" s="634"/>
      <c r="I145" s="21">
        <f t="shared" si="27"/>
        <v>0</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0.05</v>
      </c>
      <c r="H146" s="634"/>
      <c r="I146" s="21">
        <f t="shared" si="27"/>
        <v>0</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0.05</v>
      </c>
      <c r="H147" s="634"/>
      <c r="I147" s="21">
        <f t="shared" si="27"/>
        <v>0</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0.05</v>
      </c>
      <c r="H148" s="634"/>
      <c r="I148" s="21">
        <f t="shared" si="27"/>
        <v>0</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0.05</v>
      </c>
      <c r="H149" s="634"/>
      <c r="I149" s="21">
        <f t="shared" si="27"/>
        <v>0</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0.05</v>
      </c>
      <c r="H150" s="634"/>
      <c r="I150" s="21">
        <f t="shared" si="27"/>
        <v>0</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0.05</v>
      </c>
      <c r="H151" s="634"/>
      <c r="I151" s="21">
        <f t="shared" si="27"/>
        <v>0</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0.05</v>
      </c>
      <c r="H152" s="634"/>
      <c r="I152" s="21">
        <f t="shared" si="27"/>
        <v>0</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0.05</v>
      </c>
      <c r="H153" s="634"/>
      <c r="I153" s="21">
        <f t="shared" si="27"/>
        <v>0</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0.05</v>
      </c>
      <c r="H154" s="634"/>
      <c r="I154" s="21">
        <f t="shared" ref="I154:I217" si="37">(SUMIF($9:$9,H154,$10:$10)-SUMIF($9:$9,$H$24,$10:$10)+100)/100</f>
        <v>0</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0.05</v>
      </c>
      <c r="H155" s="634"/>
      <c r="I155" s="21">
        <f t="shared" si="37"/>
        <v>0</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0.05</v>
      </c>
      <c r="H156" s="634"/>
      <c r="I156" s="21">
        <f t="shared" si="37"/>
        <v>0</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0.05</v>
      </c>
      <c r="H157" s="634"/>
      <c r="I157" s="21">
        <f t="shared" si="37"/>
        <v>0</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0.05</v>
      </c>
      <c r="H158" s="634"/>
      <c r="I158" s="21">
        <f t="shared" si="37"/>
        <v>0</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0.05</v>
      </c>
      <c r="H159" s="634"/>
      <c r="I159" s="21">
        <f t="shared" si="37"/>
        <v>0</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0.05</v>
      </c>
      <c r="H160" s="634"/>
      <c r="I160" s="21">
        <f t="shared" si="37"/>
        <v>0</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0.05</v>
      </c>
      <c r="H161" s="634"/>
      <c r="I161" s="21">
        <f t="shared" si="37"/>
        <v>0</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0.05</v>
      </c>
      <c r="H162" s="634"/>
      <c r="I162" s="21">
        <f t="shared" si="37"/>
        <v>0</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0.05</v>
      </c>
      <c r="H163" s="634"/>
      <c r="I163" s="21">
        <f t="shared" si="37"/>
        <v>0</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0.05</v>
      </c>
      <c r="H164" s="634"/>
      <c r="I164" s="21">
        <f t="shared" si="37"/>
        <v>0</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0.05</v>
      </c>
      <c r="H165" s="634"/>
      <c r="I165" s="21">
        <f t="shared" si="37"/>
        <v>0</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0.05</v>
      </c>
      <c r="H166" s="634"/>
      <c r="I166" s="21">
        <f t="shared" si="37"/>
        <v>0</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0.05</v>
      </c>
      <c r="H167" s="634"/>
      <c r="I167" s="21">
        <f t="shared" si="37"/>
        <v>0</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0.05</v>
      </c>
      <c r="H168" s="634"/>
      <c r="I168" s="21">
        <f t="shared" si="37"/>
        <v>0</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0.05</v>
      </c>
      <c r="H169" s="634"/>
      <c r="I169" s="21">
        <f t="shared" si="37"/>
        <v>0</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0.05</v>
      </c>
      <c r="H170" s="634"/>
      <c r="I170" s="21">
        <f t="shared" si="37"/>
        <v>0</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0.05</v>
      </c>
      <c r="H171" s="634"/>
      <c r="I171" s="21">
        <f t="shared" si="37"/>
        <v>0</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0.05</v>
      </c>
      <c r="H172" s="634"/>
      <c r="I172" s="21">
        <f t="shared" si="37"/>
        <v>0</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0.05</v>
      </c>
      <c r="H173" s="634"/>
      <c r="I173" s="21">
        <f t="shared" si="37"/>
        <v>0</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0.05</v>
      </c>
      <c r="H174" s="634"/>
      <c r="I174" s="21">
        <f t="shared" si="37"/>
        <v>0</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0.05</v>
      </c>
      <c r="H175" s="634"/>
      <c r="I175" s="21">
        <f t="shared" si="37"/>
        <v>0</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0.05</v>
      </c>
      <c r="H176" s="634"/>
      <c r="I176" s="21">
        <f t="shared" si="37"/>
        <v>0</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0.05</v>
      </c>
      <c r="H177" s="634"/>
      <c r="I177" s="21">
        <f t="shared" si="37"/>
        <v>0</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0.05</v>
      </c>
      <c r="H178" s="634"/>
      <c r="I178" s="21">
        <f t="shared" si="37"/>
        <v>0</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0.05</v>
      </c>
      <c r="H179" s="634"/>
      <c r="I179" s="21">
        <f t="shared" si="37"/>
        <v>0</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0.05</v>
      </c>
      <c r="H180" s="634"/>
      <c r="I180" s="21">
        <f t="shared" si="37"/>
        <v>0</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0.05</v>
      </c>
      <c r="H181" s="634"/>
      <c r="I181" s="21">
        <f t="shared" si="37"/>
        <v>0</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0.05</v>
      </c>
      <c r="H182" s="634"/>
      <c r="I182" s="21">
        <f t="shared" si="37"/>
        <v>0</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0.05</v>
      </c>
      <c r="H183" s="634"/>
      <c r="I183" s="21">
        <f t="shared" si="37"/>
        <v>0</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0.05</v>
      </c>
      <c r="H184" s="634"/>
      <c r="I184" s="21">
        <f t="shared" si="37"/>
        <v>0</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0.05</v>
      </c>
      <c r="H185" s="634"/>
      <c r="I185" s="21">
        <f t="shared" si="37"/>
        <v>0</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0.05</v>
      </c>
      <c r="H186" s="634"/>
      <c r="I186" s="21">
        <f t="shared" si="37"/>
        <v>0</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0.05</v>
      </c>
      <c r="H187" s="634"/>
      <c r="I187" s="21">
        <f t="shared" si="37"/>
        <v>0</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0.05</v>
      </c>
      <c r="H188" s="634"/>
      <c r="I188" s="21">
        <f t="shared" si="37"/>
        <v>0</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0.05</v>
      </c>
      <c r="H189" s="634"/>
      <c r="I189" s="21">
        <f t="shared" si="37"/>
        <v>0</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0.05</v>
      </c>
      <c r="H190" s="634"/>
      <c r="I190" s="21">
        <f t="shared" si="37"/>
        <v>0</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0.05</v>
      </c>
      <c r="H191" s="634"/>
      <c r="I191" s="21">
        <f t="shared" si="37"/>
        <v>0</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0.05</v>
      </c>
      <c r="H192" s="634"/>
      <c r="I192" s="21">
        <f t="shared" si="37"/>
        <v>0</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0.05</v>
      </c>
      <c r="H193" s="634"/>
      <c r="I193" s="21">
        <f t="shared" si="37"/>
        <v>0</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0.05</v>
      </c>
      <c r="H194" s="634"/>
      <c r="I194" s="21">
        <f t="shared" si="37"/>
        <v>0</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0.05</v>
      </c>
      <c r="H195" s="634"/>
      <c r="I195" s="21">
        <f t="shared" si="37"/>
        <v>0</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0.05</v>
      </c>
      <c r="H196" s="634"/>
      <c r="I196" s="21">
        <f t="shared" si="37"/>
        <v>0</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0.05</v>
      </c>
      <c r="H197" s="634"/>
      <c r="I197" s="21">
        <f t="shared" si="37"/>
        <v>0</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0.05</v>
      </c>
      <c r="H198" s="634"/>
      <c r="I198" s="21">
        <f t="shared" si="37"/>
        <v>0</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0.05</v>
      </c>
      <c r="H199" s="634"/>
      <c r="I199" s="21">
        <f t="shared" si="37"/>
        <v>0</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0.05</v>
      </c>
      <c r="H200" s="634"/>
      <c r="I200" s="21">
        <f t="shared" si="37"/>
        <v>0</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0.05</v>
      </c>
      <c r="H201" s="634"/>
      <c r="I201" s="21">
        <f t="shared" si="37"/>
        <v>0</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0.05</v>
      </c>
      <c r="H202" s="634"/>
      <c r="I202" s="21">
        <f t="shared" si="37"/>
        <v>0</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0.05</v>
      </c>
      <c r="H203" s="634"/>
      <c r="I203" s="21">
        <f t="shared" si="37"/>
        <v>0</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0.05</v>
      </c>
      <c r="H204" s="634"/>
      <c r="I204" s="21">
        <f t="shared" si="37"/>
        <v>0</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0.05</v>
      </c>
      <c r="H205" s="634"/>
      <c r="I205" s="21">
        <f t="shared" si="37"/>
        <v>0</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0.05</v>
      </c>
      <c r="H206" s="634"/>
      <c r="I206" s="21">
        <f t="shared" si="37"/>
        <v>0</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0.05</v>
      </c>
      <c r="H207" s="634"/>
      <c r="I207" s="21">
        <f t="shared" si="37"/>
        <v>0</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0.05</v>
      </c>
      <c r="H208" s="634"/>
      <c r="I208" s="21">
        <f t="shared" si="37"/>
        <v>0</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0.05</v>
      </c>
      <c r="H209" s="634"/>
      <c r="I209" s="21">
        <f t="shared" si="37"/>
        <v>0</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0.05</v>
      </c>
      <c r="H210" s="634"/>
      <c r="I210" s="21">
        <f t="shared" si="37"/>
        <v>0</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0.05</v>
      </c>
      <c r="H211" s="634"/>
      <c r="I211" s="21">
        <f t="shared" si="37"/>
        <v>0</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0.05</v>
      </c>
      <c r="H212" s="634"/>
      <c r="I212" s="21">
        <f t="shared" si="37"/>
        <v>0</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0.05</v>
      </c>
      <c r="H213" s="634"/>
      <c r="I213" s="21">
        <f t="shared" si="37"/>
        <v>0</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0.05</v>
      </c>
      <c r="H214" s="634"/>
      <c r="I214" s="21">
        <f t="shared" si="37"/>
        <v>0</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0.05</v>
      </c>
      <c r="H215" s="634"/>
      <c r="I215" s="21">
        <f t="shared" si="37"/>
        <v>0</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0.05</v>
      </c>
      <c r="H216" s="634"/>
      <c r="I216" s="21">
        <f t="shared" si="37"/>
        <v>0</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0.05</v>
      </c>
      <c r="H217" s="634"/>
      <c r="I217" s="21">
        <f t="shared" si="37"/>
        <v>0</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0.05</v>
      </c>
      <c r="H218" s="634"/>
      <c r="I218" s="21">
        <f t="shared" ref="I218:I281" si="47">(SUMIF($9:$9,H218,$10:$10)-SUMIF($9:$9,$H$24,$10:$10)+100)/100</f>
        <v>0</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0.05</v>
      </c>
      <c r="H219" s="634"/>
      <c r="I219" s="21">
        <f t="shared" si="47"/>
        <v>0</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0.05</v>
      </c>
      <c r="H220" s="634"/>
      <c r="I220" s="21">
        <f t="shared" si="47"/>
        <v>0</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0.05</v>
      </c>
      <c r="H221" s="634"/>
      <c r="I221" s="21">
        <f t="shared" si="47"/>
        <v>0</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0.05</v>
      </c>
      <c r="H222" s="634"/>
      <c r="I222" s="21">
        <f t="shared" si="47"/>
        <v>0</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0.05</v>
      </c>
      <c r="H223" s="634"/>
      <c r="I223" s="21">
        <f t="shared" si="47"/>
        <v>0</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0.05</v>
      </c>
      <c r="H224" s="634"/>
      <c r="I224" s="21">
        <f t="shared" si="47"/>
        <v>0</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0.05</v>
      </c>
      <c r="H225" s="634"/>
      <c r="I225" s="21">
        <f t="shared" si="47"/>
        <v>0</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0.05</v>
      </c>
      <c r="H226" s="634"/>
      <c r="I226" s="21">
        <f t="shared" si="47"/>
        <v>0</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0.05</v>
      </c>
      <c r="H227" s="634"/>
      <c r="I227" s="21">
        <f t="shared" si="47"/>
        <v>0</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0.05</v>
      </c>
      <c r="H228" s="634"/>
      <c r="I228" s="21">
        <f t="shared" si="47"/>
        <v>0</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0.05</v>
      </c>
      <c r="H229" s="634"/>
      <c r="I229" s="21">
        <f t="shared" si="47"/>
        <v>0</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0.05</v>
      </c>
      <c r="H230" s="634"/>
      <c r="I230" s="21">
        <f t="shared" si="47"/>
        <v>0</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0.05</v>
      </c>
      <c r="H231" s="634"/>
      <c r="I231" s="21">
        <f t="shared" si="47"/>
        <v>0</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0.05</v>
      </c>
      <c r="H232" s="634"/>
      <c r="I232" s="21">
        <f t="shared" si="47"/>
        <v>0</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0.05</v>
      </c>
      <c r="H233" s="634"/>
      <c r="I233" s="21">
        <f t="shared" si="47"/>
        <v>0</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0.05</v>
      </c>
      <c r="H234" s="634"/>
      <c r="I234" s="21">
        <f t="shared" si="47"/>
        <v>0</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0.05</v>
      </c>
      <c r="H235" s="634"/>
      <c r="I235" s="21">
        <f t="shared" si="47"/>
        <v>0</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0.05</v>
      </c>
      <c r="H236" s="634"/>
      <c r="I236" s="21">
        <f t="shared" si="47"/>
        <v>0</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0.05</v>
      </c>
      <c r="H237" s="634"/>
      <c r="I237" s="21">
        <f t="shared" si="47"/>
        <v>0</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0.05</v>
      </c>
      <c r="H238" s="634"/>
      <c r="I238" s="21">
        <f t="shared" si="47"/>
        <v>0</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0.05</v>
      </c>
      <c r="H239" s="634"/>
      <c r="I239" s="21">
        <f t="shared" si="47"/>
        <v>0</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0.05</v>
      </c>
      <c r="H240" s="634"/>
      <c r="I240" s="21">
        <f t="shared" si="47"/>
        <v>0</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0.05</v>
      </c>
      <c r="H241" s="634"/>
      <c r="I241" s="21">
        <f t="shared" si="47"/>
        <v>0</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0.05</v>
      </c>
      <c r="H242" s="634"/>
      <c r="I242" s="21">
        <f t="shared" si="47"/>
        <v>0</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0.05</v>
      </c>
      <c r="H243" s="634"/>
      <c r="I243" s="21">
        <f t="shared" si="47"/>
        <v>0</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0.05</v>
      </c>
      <c r="H244" s="634"/>
      <c r="I244" s="21">
        <f t="shared" si="47"/>
        <v>0</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0.05</v>
      </c>
      <c r="H245" s="634"/>
      <c r="I245" s="21">
        <f t="shared" si="47"/>
        <v>0</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0.05</v>
      </c>
      <c r="H246" s="634"/>
      <c r="I246" s="21">
        <f t="shared" si="47"/>
        <v>0</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0.05</v>
      </c>
      <c r="H247" s="634"/>
      <c r="I247" s="21">
        <f t="shared" si="47"/>
        <v>0</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0.05</v>
      </c>
      <c r="H248" s="634"/>
      <c r="I248" s="21">
        <f t="shared" si="47"/>
        <v>0</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0.05</v>
      </c>
      <c r="H249" s="634"/>
      <c r="I249" s="21">
        <f t="shared" si="47"/>
        <v>0</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0.05</v>
      </c>
      <c r="H250" s="634"/>
      <c r="I250" s="21">
        <f t="shared" si="47"/>
        <v>0</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0.05</v>
      </c>
      <c r="H251" s="634"/>
      <c r="I251" s="21">
        <f t="shared" si="47"/>
        <v>0</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0.05</v>
      </c>
      <c r="H252" s="634"/>
      <c r="I252" s="21">
        <f t="shared" si="47"/>
        <v>0</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0.05</v>
      </c>
      <c r="H253" s="634"/>
      <c r="I253" s="21">
        <f t="shared" si="47"/>
        <v>0</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0.05</v>
      </c>
      <c r="H254" s="634"/>
      <c r="I254" s="21">
        <f t="shared" si="47"/>
        <v>0</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0.05</v>
      </c>
      <c r="H255" s="634"/>
      <c r="I255" s="21">
        <f t="shared" si="47"/>
        <v>0</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0.05</v>
      </c>
      <c r="H256" s="634"/>
      <c r="I256" s="21">
        <f t="shared" si="47"/>
        <v>0</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0.05</v>
      </c>
      <c r="H257" s="634"/>
      <c r="I257" s="21">
        <f t="shared" si="47"/>
        <v>0</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0.05</v>
      </c>
      <c r="H258" s="634"/>
      <c r="I258" s="21">
        <f t="shared" si="47"/>
        <v>0</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0.05</v>
      </c>
      <c r="H259" s="634"/>
      <c r="I259" s="21">
        <f t="shared" si="47"/>
        <v>0</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0.05</v>
      </c>
      <c r="H260" s="634"/>
      <c r="I260" s="21">
        <f t="shared" si="47"/>
        <v>0</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0.05</v>
      </c>
      <c r="H261" s="634"/>
      <c r="I261" s="21">
        <f t="shared" si="47"/>
        <v>0</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0.05</v>
      </c>
      <c r="H262" s="634"/>
      <c r="I262" s="21">
        <f t="shared" si="47"/>
        <v>0</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0.05</v>
      </c>
      <c r="H263" s="634"/>
      <c r="I263" s="21">
        <f t="shared" si="47"/>
        <v>0</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0.05</v>
      </c>
      <c r="H264" s="634"/>
      <c r="I264" s="21">
        <f t="shared" si="47"/>
        <v>0</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0.05</v>
      </c>
      <c r="H265" s="634"/>
      <c r="I265" s="21">
        <f t="shared" si="47"/>
        <v>0</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0.05</v>
      </c>
      <c r="H266" s="634"/>
      <c r="I266" s="21">
        <f t="shared" si="47"/>
        <v>0</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0.05</v>
      </c>
      <c r="H267" s="634"/>
      <c r="I267" s="21">
        <f t="shared" si="47"/>
        <v>0</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0.05</v>
      </c>
      <c r="H268" s="634"/>
      <c r="I268" s="21">
        <f t="shared" si="47"/>
        <v>0</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0.05</v>
      </c>
      <c r="H269" s="634"/>
      <c r="I269" s="21">
        <f t="shared" si="47"/>
        <v>0</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0.05</v>
      </c>
      <c r="H270" s="634"/>
      <c r="I270" s="21">
        <f t="shared" si="47"/>
        <v>0</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0.05</v>
      </c>
      <c r="H271" s="634"/>
      <c r="I271" s="21">
        <f t="shared" si="47"/>
        <v>0</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0.05</v>
      </c>
      <c r="H272" s="634"/>
      <c r="I272" s="21">
        <f t="shared" si="47"/>
        <v>0</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0.05</v>
      </c>
      <c r="H273" s="634"/>
      <c r="I273" s="21">
        <f t="shared" si="47"/>
        <v>0</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0.05</v>
      </c>
      <c r="H274" s="634"/>
      <c r="I274" s="21">
        <f t="shared" si="47"/>
        <v>0</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0.05</v>
      </c>
      <c r="H275" s="634"/>
      <c r="I275" s="21">
        <f t="shared" si="47"/>
        <v>0</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0.05</v>
      </c>
      <c r="H276" s="634"/>
      <c r="I276" s="21">
        <f t="shared" si="47"/>
        <v>0</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0.05</v>
      </c>
      <c r="H277" s="634"/>
      <c r="I277" s="21">
        <f t="shared" si="47"/>
        <v>0</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0.05</v>
      </c>
      <c r="H278" s="634"/>
      <c r="I278" s="21">
        <f t="shared" si="47"/>
        <v>0</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0.05</v>
      </c>
      <c r="H279" s="634"/>
      <c r="I279" s="21">
        <f t="shared" si="47"/>
        <v>0</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0.05</v>
      </c>
      <c r="H280" s="634"/>
      <c r="I280" s="21">
        <f t="shared" si="47"/>
        <v>0</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0.05</v>
      </c>
      <c r="H281" s="634"/>
      <c r="I281" s="21">
        <f t="shared" si="47"/>
        <v>0</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0.05</v>
      </c>
      <c r="H282" s="634"/>
      <c r="I282" s="21">
        <f t="shared" ref="I282:I345" si="57">(SUMIF($9:$9,H282,$10:$10)-SUMIF($9:$9,$H$24,$10:$10)+100)/100</f>
        <v>0</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0.05</v>
      </c>
      <c r="H283" s="634"/>
      <c r="I283" s="21">
        <f t="shared" si="57"/>
        <v>0</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0.05</v>
      </c>
      <c r="H284" s="634"/>
      <c r="I284" s="21">
        <f t="shared" si="57"/>
        <v>0</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0.05</v>
      </c>
      <c r="H285" s="634"/>
      <c r="I285" s="21">
        <f t="shared" si="57"/>
        <v>0</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0.05</v>
      </c>
      <c r="H286" s="634"/>
      <c r="I286" s="21">
        <f t="shared" si="57"/>
        <v>0</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0.05</v>
      </c>
      <c r="H287" s="634"/>
      <c r="I287" s="21">
        <f t="shared" si="57"/>
        <v>0</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0.05</v>
      </c>
      <c r="H288" s="634"/>
      <c r="I288" s="21">
        <f t="shared" si="57"/>
        <v>0</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0.05</v>
      </c>
      <c r="H289" s="634"/>
      <c r="I289" s="21">
        <f t="shared" si="57"/>
        <v>0</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0.05</v>
      </c>
      <c r="H290" s="634"/>
      <c r="I290" s="21">
        <f t="shared" si="57"/>
        <v>0</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0.05</v>
      </c>
      <c r="H291" s="634"/>
      <c r="I291" s="21">
        <f t="shared" si="57"/>
        <v>0</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0.05</v>
      </c>
      <c r="H292" s="634"/>
      <c r="I292" s="21">
        <f t="shared" si="57"/>
        <v>0</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0.05</v>
      </c>
      <c r="H293" s="634"/>
      <c r="I293" s="21">
        <f t="shared" si="57"/>
        <v>0</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0.05</v>
      </c>
      <c r="H294" s="634"/>
      <c r="I294" s="21">
        <f t="shared" si="57"/>
        <v>0</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0.05</v>
      </c>
      <c r="H295" s="634"/>
      <c r="I295" s="21">
        <f t="shared" si="57"/>
        <v>0</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0.05</v>
      </c>
      <c r="H296" s="634"/>
      <c r="I296" s="21">
        <f t="shared" si="57"/>
        <v>0</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0.05</v>
      </c>
      <c r="H297" s="634"/>
      <c r="I297" s="21">
        <f t="shared" si="57"/>
        <v>0</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0.05</v>
      </c>
      <c r="H298" s="634"/>
      <c r="I298" s="21">
        <f t="shared" si="57"/>
        <v>0</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0.05</v>
      </c>
      <c r="H299" s="634"/>
      <c r="I299" s="21">
        <f t="shared" si="57"/>
        <v>0</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0.05</v>
      </c>
      <c r="H300" s="634"/>
      <c r="I300" s="21">
        <f t="shared" si="57"/>
        <v>0</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0.05</v>
      </c>
      <c r="H301" s="634"/>
      <c r="I301" s="21">
        <f t="shared" si="57"/>
        <v>0</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0.05</v>
      </c>
      <c r="H302" s="634"/>
      <c r="I302" s="21">
        <f t="shared" si="57"/>
        <v>0</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0.05</v>
      </c>
      <c r="H303" s="634"/>
      <c r="I303" s="21">
        <f t="shared" si="57"/>
        <v>0</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0.05</v>
      </c>
      <c r="H304" s="634"/>
      <c r="I304" s="21">
        <f t="shared" si="57"/>
        <v>0</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0.05</v>
      </c>
      <c r="H305" s="634"/>
      <c r="I305" s="21">
        <f t="shared" si="57"/>
        <v>0</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0.05</v>
      </c>
      <c r="H306" s="634"/>
      <c r="I306" s="21">
        <f t="shared" si="57"/>
        <v>0</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0.05</v>
      </c>
      <c r="H307" s="634"/>
      <c r="I307" s="21">
        <f t="shared" si="57"/>
        <v>0</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0.05</v>
      </c>
      <c r="H308" s="634"/>
      <c r="I308" s="21">
        <f t="shared" si="57"/>
        <v>0</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0.05</v>
      </c>
      <c r="H309" s="634"/>
      <c r="I309" s="21">
        <f t="shared" si="57"/>
        <v>0</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0.05</v>
      </c>
      <c r="H310" s="634"/>
      <c r="I310" s="21">
        <f t="shared" si="57"/>
        <v>0</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0.05</v>
      </c>
      <c r="H311" s="634"/>
      <c r="I311" s="21">
        <f t="shared" si="57"/>
        <v>0</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0.05</v>
      </c>
      <c r="H312" s="634"/>
      <c r="I312" s="21">
        <f t="shared" si="57"/>
        <v>0</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0.05</v>
      </c>
      <c r="H313" s="634"/>
      <c r="I313" s="21">
        <f t="shared" si="57"/>
        <v>0</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0.05</v>
      </c>
      <c r="H314" s="634"/>
      <c r="I314" s="21">
        <f t="shared" si="57"/>
        <v>0</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0.05</v>
      </c>
      <c r="H315" s="634"/>
      <c r="I315" s="21">
        <f t="shared" si="57"/>
        <v>0</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0.05</v>
      </c>
      <c r="H316" s="634"/>
      <c r="I316" s="21">
        <f t="shared" si="57"/>
        <v>0</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0.05</v>
      </c>
      <c r="H317" s="634"/>
      <c r="I317" s="21">
        <f t="shared" si="57"/>
        <v>0</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0.05</v>
      </c>
      <c r="H318" s="634"/>
      <c r="I318" s="21">
        <f t="shared" si="57"/>
        <v>0</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0.05</v>
      </c>
      <c r="H319" s="634"/>
      <c r="I319" s="21">
        <f t="shared" si="57"/>
        <v>0</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0.05</v>
      </c>
      <c r="H320" s="634"/>
      <c r="I320" s="21">
        <f t="shared" si="57"/>
        <v>0</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0.05</v>
      </c>
      <c r="H321" s="634"/>
      <c r="I321" s="21">
        <f t="shared" si="57"/>
        <v>0</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0.05</v>
      </c>
      <c r="H322" s="634"/>
      <c r="I322" s="21">
        <f t="shared" si="57"/>
        <v>0</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0.05</v>
      </c>
      <c r="H323" s="634"/>
      <c r="I323" s="21">
        <f t="shared" si="57"/>
        <v>0</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0.05</v>
      </c>
      <c r="H324" s="634"/>
      <c r="I324" s="21">
        <f t="shared" si="57"/>
        <v>0</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0.05</v>
      </c>
      <c r="H325" s="634"/>
      <c r="I325" s="21">
        <f t="shared" si="57"/>
        <v>0</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0.05</v>
      </c>
      <c r="H326" s="634"/>
      <c r="I326" s="21">
        <f t="shared" si="57"/>
        <v>0</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0.05</v>
      </c>
      <c r="H327" s="634"/>
      <c r="I327" s="21">
        <f t="shared" si="57"/>
        <v>0</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0.05</v>
      </c>
      <c r="H328" s="634"/>
      <c r="I328" s="21">
        <f t="shared" si="57"/>
        <v>0</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0.05</v>
      </c>
      <c r="H329" s="634"/>
      <c r="I329" s="21">
        <f t="shared" si="57"/>
        <v>0</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0.05</v>
      </c>
      <c r="H330" s="634"/>
      <c r="I330" s="21">
        <f t="shared" si="57"/>
        <v>0</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0.05</v>
      </c>
      <c r="H331" s="634"/>
      <c r="I331" s="21">
        <f t="shared" si="57"/>
        <v>0</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0.05</v>
      </c>
      <c r="H332" s="634"/>
      <c r="I332" s="21">
        <f t="shared" si="57"/>
        <v>0</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0.05</v>
      </c>
      <c r="H333" s="634"/>
      <c r="I333" s="21">
        <f t="shared" si="57"/>
        <v>0</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0.05</v>
      </c>
      <c r="H334" s="634"/>
      <c r="I334" s="21">
        <f t="shared" si="57"/>
        <v>0</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0.05</v>
      </c>
      <c r="H335" s="634"/>
      <c r="I335" s="21">
        <f t="shared" si="57"/>
        <v>0</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0.05</v>
      </c>
      <c r="H336" s="634"/>
      <c r="I336" s="21">
        <f t="shared" si="57"/>
        <v>0</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0.05</v>
      </c>
      <c r="H337" s="634"/>
      <c r="I337" s="21">
        <f t="shared" si="57"/>
        <v>0</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0.05</v>
      </c>
      <c r="H338" s="634"/>
      <c r="I338" s="21">
        <f t="shared" si="57"/>
        <v>0</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0.05</v>
      </c>
      <c r="H339" s="634"/>
      <c r="I339" s="21">
        <f t="shared" si="57"/>
        <v>0</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0.05</v>
      </c>
      <c r="H340" s="634"/>
      <c r="I340" s="21">
        <f t="shared" si="57"/>
        <v>0</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0.05</v>
      </c>
      <c r="H341" s="634"/>
      <c r="I341" s="21">
        <f t="shared" si="57"/>
        <v>0</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0.05</v>
      </c>
      <c r="H342" s="634"/>
      <c r="I342" s="21">
        <f t="shared" si="57"/>
        <v>0</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0.05</v>
      </c>
      <c r="H343" s="634"/>
      <c r="I343" s="21">
        <f t="shared" si="57"/>
        <v>0</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0.05</v>
      </c>
      <c r="H344" s="634"/>
      <c r="I344" s="21">
        <f t="shared" si="57"/>
        <v>0</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0.05</v>
      </c>
      <c r="H345" s="634"/>
      <c r="I345" s="21">
        <f t="shared" si="57"/>
        <v>0</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0.05</v>
      </c>
      <c r="H346" s="634"/>
      <c r="I346" s="21">
        <f t="shared" ref="I346:I409" si="68">(SUMIF($9:$9,H346,$10:$10)-SUMIF($9:$9,$H$24,$10:$10)+100)/100</f>
        <v>0</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0.05</v>
      </c>
      <c r="H347" s="634"/>
      <c r="I347" s="21">
        <f t="shared" si="68"/>
        <v>0</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0.05</v>
      </c>
      <c r="H348" s="634"/>
      <c r="I348" s="21">
        <f t="shared" si="68"/>
        <v>0</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0.05</v>
      </c>
      <c r="H349" s="634"/>
      <c r="I349" s="21">
        <f t="shared" si="68"/>
        <v>0</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0.05</v>
      </c>
      <c r="H350" s="634"/>
      <c r="I350" s="21">
        <f t="shared" si="68"/>
        <v>0</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0.05</v>
      </c>
      <c r="H351" s="634"/>
      <c r="I351" s="21">
        <f t="shared" si="68"/>
        <v>0</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0.05</v>
      </c>
      <c r="H352" s="634"/>
      <c r="I352" s="21">
        <f t="shared" si="68"/>
        <v>0</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0.05</v>
      </c>
      <c r="H353" s="634"/>
      <c r="I353" s="21">
        <f t="shared" si="68"/>
        <v>0</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0.05</v>
      </c>
      <c r="H354" s="634"/>
      <c r="I354" s="21">
        <f t="shared" si="68"/>
        <v>0</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0.05</v>
      </c>
      <c r="H355" s="634"/>
      <c r="I355" s="21">
        <f t="shared" si="68"/>
        <v>0</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0.05</v>
      </c>
      <c r="H356" s="634"/>
      <c r="I356" s="21">
        <f t="shared" si="68"/>
        <v>0</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0.05</v>
      </c>
      <c r="H357" s="634"/>
      <c r="I357" s="21">
        <f t="shared" si="68"/>
        <v>0</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0.05</v>
      </c>
      <c r="H358" s="634"/>
      <c r="I358" s="21">
        <f t="shared" si="68"/>
        <v>0</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0.05</v>
      </c>
      <c r="H359" s="634"/>
      <c r="I359" s="21">
        <f t="shared" si="68"/>
        <v>0</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0.05</v>
      </c>
      <c r="H360" s="634"/>
      <c r="I360" s="21">
        <f t="shared" si="68"/>
        <v>0</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0.05</v>
      </c>
      <c r="H361" s="634"/>
      <c r="I361" s="21">
        <f t="shared" si="68"/>
        <v>0</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0.05</v>
      </c>
      <c r="H362" s="634"/>
      <c r="I362" s="21">
        <f t="shared" si="68"/>
        <v>0</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0.05</v>
      </c>
      <c r="H363" s="634"/>
      <c r="I363" s="21">
        <f t="shared" si="68"/>
        <v>0</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0.05</v>
      </c>
      <c r="H364" s="634"/>
      <c r="I364" s="21">
        <f t="shared" si="68"/>
        <v>0</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0.05</v>
      </c>
      <c r="H365" s="634"/>
      <c r="I365" s="21">
        <f t="shared" si="68"/>
        <v>0</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0.05</v>
      </c>
      <c r="H366" s="634"/>
      <c r="I366" s="21">
        <f t="shared" si="68"/>
        <v>0</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0.05</v>
      </c>
      <c r="H367" s="634"/>
      <c r="I367" s="21">
        <f t="shared" si="68"/>
        <v>0</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0.05</v>
      </c>
      <c r="H368" s="634"/>
      <c r="I368" s="21">
        <f t="shared" si="68"/>
        <v>0</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0.05</v>
      </c>
      <c r="H369" s="634"/>
      <c r="I369" s="21">
        <f t="shared" si="68"/>
        <v>0</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0.05</v>
      </c>
      <c r="H370" s="634"/>
      <c r="I370" s="21">
        <f t="shared" si="68"/>
        <v>0</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0.05</v>
      </c>
      <c r="H371" s="634"/>
      <c r="I371" s="21">
        <f t="shared" si="68"/>
        <v>0</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0.05</v>
      </c>
      <c r="H372" s="634"/>
      <c r="I372" s="21">
        <f t="shared" si="68"/>
        <v>0</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0.05</v>
      </c>
      <c r="H373" s="634"/>
      <c r="I373" s="21">
        <f t="shared" si="68"/>
        <v>0</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0.05</v>
      </c>
      <c r="H374" s="634"/>
      <c r="I374" s="21">
        <f t="shared" si="68"/>
        <v>0</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0.05</v>
      </c>
      <c r="H375" s="634"/>
      <c r="I375" s="21">
        <f t="shared" si="68"/>
        <v>0</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0.05</v>
      </c>
      <c r="H376" s="634"/>
      <c r="I376" s="21">
        <f t="shared" si="68"/>
        <v>0</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0.05</v>
      </c>
      <c r="H377" s="634"/>
      <c r="I377" s="21">
        <f t="shared" si="68"/>
        <v>0</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0.05</v>
      </c>
      <c r="H378" s="634"/>
      <c r="I378" s="21">
        <f t="shared" si="68"/>
        <v>0</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0.05</v>
      </c>
      <c r="H379" s="634"/>
      <c r="I379" s="21">
        <f t="shared" si="68"/>
        <v>0</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0.05</v>
      </c>
      <c r="H380" s="634"/>
      <c r="I380" s="21">
        <f t="shared" si="68"/>
        <v>0</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0.05</v>
      </c>
      <c r="H381" s="634"/>
      <c r="I381" s="21">
        <f t="shared" si="68"/>
        <v>0</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0.05</v>
      </c>
      <c r="H382" s="634"/>
      <c r="I382" s="21">
        <f t="shared" si="68"/>
        <v>0</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0.05</v>
      </c>
      <c r="H383" s="634"/>
      <c r="I383" s="21">
        <f t="shared" si="68"/>
        <v>0</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0.05</v>
      </c>
      <c r="H384" s="634"/>
      <c r="I384" s="21">
        <f t="shared" si="68"/>
        <v>0</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0.05</v>
      </c>
      <c r="H385" s="634"/>
      <c r="I385" s="21">
        <f t="shared" si="68"/>
        <v>0</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0.05</v>
      </c>
      <c r="H386" s="634"/>
      <c r="I386" s="21">
        <f t="shared" si="68"/>
        <v>0</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0.05</v>
      </c>
      <c r="H387" s="634"/>
      <c r="I387" s="21">
        <f t="shared" si="68"/>
        <v>0</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0.05</v>
      </c>
      <c r="H388" s="634"/>
      <c r="I388" s="21">
        <f t="shared" si="68"/>
        <v>0</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0.05</v>
      </c>
      <c r="H389" s="634"/>
      <c r="I389" s="21">
        <f t="shared" si="68"/>
        <v>0</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0.05</v>
      </c>
      <c r="H390" s="634"/>
      <c r="I390" s="21">
        <f t="shared" si="68"/>
        <v>0</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0.05</v>
      </c>
      <c r="H391" s="634"/>
      <c r="I391" s="21">
        <f t="shared" si="68"/>
        <v>0</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0.05</v>
      </c>
      <c r="H392" s="634"/>
      <c r="I392" s="21">
        <f t="shared" si="68"/>
        <v>0</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0.05</v>
      </c>
      <c r="H393" s="634"/>
      <c r="I393" s="21">
        <f t="shared" si="68"/>
        <v>0</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0.05</v>
      </c>
      <c r="H394" s="634"/>
      <c r="I394" s="21">
        <f t="shared" si="68"/>
        <v>0</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0.05</v>
      </c>
      <c r="H395" s="634"/>
      <c r="I395" s="21">
        <f t="shared" si="68"/>
        <v>0</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0.05</v>
      </c>
      <c r="H396" s="634"/>
      <c r="I396" s="21">
        <f t="shared" si="68"/>
        <v>0</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0.05</v>
      </c>
      <c r="H397" s="634"/>
      <c r="I397" s="21">
        <f t="shared" si="68"/>
        <v>0</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0.05</v>
      </c>
      <c r="H398" s="634"/>
      <c r="I398" s="21">
        <f t="shared" si="68"/>
        <v>0</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0.05</v>
      </c>
      <c r="H399" s="634"/>
      <c r="I399" s="21">
        <f t="shared" si="68"/>
        <v>0</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0.05</v>
      </c>
      <c r="H400" s="634"/>
      <c r="I400" s="21">
        <f t="shared" si="68"/>
        <v>0</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0.05</v>
      </c>
      <c r="H401" s="634"/>
      <c r="I401" s="21">
        <f t="shared" si="68"/>
        <v>0</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0.05</v>
      </c>
      <c r="H402" s="634"/>
      <c r="I402" s="21">
        <f t="shared" si="68"/>
        <v>0</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0.05</v>
      </c>
      <c r="H403" s="634"/>
      <c r="I403" s="21">
        <f t="shared" si="68"/>
        <v>0</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0.05</v>
      </c>
      <c r="H404" s="634"/>
      <c r="I404" s="21">
        <f t="shared" si="68"/>
        <v>0</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0.05</v>
      </c>
      <c r="H405" s="634"/>
      <c r="I405" s="21">
        <f t="shared" si="68"/>
        <v>0</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0.05</v>
      </c>
      <c r="H406" s="634"/>
      <c r="I406" s="21">
        <f t="shared" si="68"/>
        <v>0</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0.05</v>
      </c>
      <c r="H407" s="634"/>
      <c r="I407" s="21">
        <f t="shared" si="68"/>
        <v>0</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0.05</v>
      </c>
      <c r="H408" s="634"/>
      <c r="I408" s="21">
        <f t="shared" si="68"/>
        <v>0</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0.05</v>
      </c>
      <c r="H409" s="634"/>
      <c r="I409" s="21">
        <f t="shared" si="68"/>
        <v>0</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0.05</v>
      </c>
      <c r="H410" s="634"/>
      <c r="I410" s="21">
        <f t="shared" ref="I410:I473" si="78">(SUMIF($9:$9,H410,$10:$10)-SUMIF($9:$9,$H$24,$10:$10)+100)/100</f>
        <v>0</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0.05</v>
      </c>
      <c r="H411" s="634"/>
      <c r="I411" s="21">
        <f t="shared" si="78"/>
        <v>0</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0.05</v>
      </c>
      <c r="H412" s="634"/>
      <c r="I412" s="21">
        <f t="shared" si="78"/>
        <v>0</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0.05</v>
      </c>
      <c r="H413" s="634"/>
      <c r="I413" s="21">
        <f t="shared" si="78"/>
        <v>0</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0.05</v>
      </c>
      <c r="H414" s="634"/>
      <c r="I414" s="21">
        <f t="shared" si="78"/>
        <v>0</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0.05</v>
      </c>
      <c r="H415" s="634"/>
      <c r="I415" s="21">
        <f t="shared" si="78"/>
        <v>0</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0.05</v>
      </c>
      <c r="H416" s="634"/>
      <c r="I416" s="21">
        <f t="shared" si="78"/>
        <v>0</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0.05</v>
      </c>
      <c r="H417" s="634"/>
      <c r="I417" s="21">
        <f t="shared" si="78"/>
        <v>0</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0.05</v>
      </c>
      <c r="H418" s="634"/>
      <c r="I418" s="21">
        <f t="shared" si="78"/>
        <v>0</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0.05</v>
      </c>
      <c r="H419" s="634"/>
      <c r="I419" s="21">
        <f t="shared" si="78"/>
        <v>0</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0.05</v>
      </c>
      <c r="H420" s="634"/>
      <c r="I420" s="21">
        <f t="shared" si="78"/>
        <v>0</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0.05</v>
      </c>
      <c r="H421" s="634"/>
      <c r="I421" s="21">
        <f t="shared" si="78"/>
        <v>0</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0.05</v>
      </c>
      <c r="H422" s="634"/>
      <c r="I422" s="21">
        <f t="shared" si="78"/>
        <v>0</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0.05</v>
      </c>
      <c r="H423" s="634"/>
      <c r="I423" s="21">
        <f t="shared" si="78"/>
        <v>0</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0.05</v>
      </c>
      <c r="H424" s="634"/>
      <c r="I424" s="21">
        <f t="shared" si="78"/>
        <v>0</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0.05</v>
      </c>
      <c r="H425" s="634"/>
      <c r="I425" s="21">
        <f t="shared" si="78"/>
        <v>0</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0.05</v>
      </c>
      <c r="H426" s="634"/>
      <c r="I426" s="21">
        <f t="shared" si="78"/>
        <v>0</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0.05</v>
      </c>
      <c r="H427" s="634"/>
      <c r="I427" s="21">
        <f t="shared" si="78"/>
        <v>0</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0.05</v>
      </c>
      <c r="H428" s="634"/>
      <c r="I428" s="21">
        <f t="shared" si="78"/>
        <v>0</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0.05</v>
      </c>
      <c r="H429" s="634"/>
      <c r="I429" s="21">
        <f t="shared" si="78"/>
        <v>0</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0.05</v>
      </c>
      <c r="H430" s="634"/>
      <c r="I430" s="21">
        <f t="shared" si="78"/>
        <v>0</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0.05</v>
      </c>
      <c r="H431" s="634"/>
      <c r="I431" s="21">
        <f t="shared" si="78"/>
        <v>0</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0.05</v>
      </c>
      <c r="H432" s="634"/>
      <c r="I432" s="21">
        <f t="shared" si="78"/>
        <v>0</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0.05</v>
      </c>
      <c r="H433" s="634"/>
      <c r="I433" s="21">
        <f t="shared" si="78"/>
        <v>0</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0.05</v>
      </c>
      <c r="H434" s="634"/>
      <c r="I434" s="21">
        <f t="shared" si="78"/>
        <v>0</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0.05</v>
      </c>
      <c r="H435" s="634"/>
      <c r="I435" s="21">
        <f t="shared" si="78"/>
        <v>0</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0.05</v>
      </c>
      <c r="H436" s="634"/>
      <c r="I436" s="21">
        <f t="shared" si="78"/>
        <v>0</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0.05</v>
      </c>
      <c r="H437" s="634"/>
      <c r="I437" s="21">
        <f t="shared" si="78"/>
        <v>0</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0.05</v>
      </c>
      <c r="H438" s="634"/>
      <c r="I438" s="21">
        <f t="shared" si="78"/>
        <v>0</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0.05</v>
      </c>
      <c r="H439" s="634"/>
      <c r="I439" s="21">
        <f t="shared" si="78"/>
        <v>0</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0.05</v>
      </c>
      <c r="H440" s="634"/>
      <c r="I440" s="21">
        <f t="shared" si="78"/>
        <v>0</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0.05</v>
      </c>
      <c r="H441" s="634"/>
      <c r="I441" s="21">
        <f t="shared" si="78"/>
        <v>0</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0.05</v>
      </c>
      <c r="H442" s="634"/>
      <c r="I442" s="21">
        <f t="shared" si="78"/>
        <v>0</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0.05</v>
      </c>
      <c r="H443" s="634"/>
      <c r="I443" s="21">
        <f t="shared" si="78"/>
        <v>0</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0.05</v>
      </c>
      <c r="H444" s="634"/>
      <c r="I444" s="21">
        <f t="shared" si="78"/>
        <v>0</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0.05</v>
      </c>
      <c r="H445" s="634"/>
      <c r="I445" s="21">
        <f t="shared" si="78"/>
        <v>0</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0.05</v>
      </c>
      <c r="H446" s="634"/>
      <c r="I446" s="21">
        <f t="shared" si="78"/>
        <v>0</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0.05</v>
      </c>
      <c r="H447" s="634"/>
      <c r="I447" s="21">
        <f t="shared" si="78"/>
        <v>0</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0.05</v>
      </c>
      <c r="H448" s="634"/>
      <c r="I448" s="21">
        <f t="shared" si="78"/>
        <v>0</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0.05</v>
      </c>
      <c r="H449" s="634"/>
      <c r="I449" s="21">
        <f t="shared" si="78"/>
        <v>0</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0.05</v>
      </c>
      <c r="H450" s="634"/>
      <c r="I450" s="21">
        <f t="shared" si="78"/>
        <v>0</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0.05</v>
      </c>
      <c r="H451" s="634"/>
      <c r="I451" s="21">
        <f t="shared" si="78"/>
        <v>0</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0.05</v>
      </c>
      <c r="H452" s="634"/>
      <c r="I452" s="21">
        <f t="shared" si="78"/>
        <v>0</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0.05</v>
      </c>
      <c r="H453" s="634"/>
      <c r="I453" s="21">
        <f t="shared" si="78"/>
        <v>0</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0.05</v>
      </c>
      <c r="H454" s="634"/>
      <c r="I454" s="21">
        <f t="shared" si="78"/>
        <v>0</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0.05</v>
      </c>
      <c r="H455" s="634"/>
      <c r="I455" s="21">
        <f t="shared" si="78"/>
        <v>0</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0.05</v>
      </c>
      <c r="H456" s="634"/>
      <c r="I456" s="21">
        <f t="shared" si="78"/>
        <v>0</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0.05</v>
      </c>
      <c r="H457" s="634"/>
      <c r="I457" s="21">
        <f t="shared" si="78"/>
        <v>0</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0.05</v>
      </c>
      <c r="H458" s="634"/>
      <c r="I458" s="21">
        <f t="shared" si="78"/>
        <v>0</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0.05</v>
      </c>
      <c r="H459" s="634"/>
      <c r="I459" s="21">
        <f t="shared" si="78"/>
        <v>0</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0.05</v>
      </c>
      <c r="H460" s="634"/>
      <c r="I460" s="21">
        <f t="shared" si="78"/>
        <v>0</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0.05</v>
      </c>
      <c r="H461" s="634"/>
      <c r="I461" s="21">
        <f t="shared" si="78"/>
        <v>0</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0.05</v>
      </c>
      <c r="H462" s="634"/>
      <c r="I462" s="21">
        <f t="shared" si="78"/>
        <v>0</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0.05</v>
      </c>
      <c r="H463" s="634"/>
      <c r="I463" s="21">
        <f t="shared" si="78"/>
        <v>0</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0.05</v>
      </c>
      <c r="H464" s="634"/>
      <c r="I464" s="21">
        <f t="shared" si="78"/>
        <v>0</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0.05</v>
      </c>
      <c r="H465" s="634"/>
      <c r="I465" s="21">
        <f t="shared" si="78"/>
        <v>0</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0.05</v>
      </c>
      <c r="H466" s="634"/>
      <c r="I466" s="21">
        <f t="shared" si="78"/>
        <v>0</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0.05</v>
      </c>
      <c r="H467" s="634"/>
      <c r="I467" s="21">
        <f t="shared" si="78"/>
        <v>0</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0.05</v>
      </c>
      <c r="H468" s="634"/>
      <c r="I468" s="21">
        <f t="shared" si="78"/>
        <v>0</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0.05</v>
      </c>
      <c r="H469" s="634"/>
      <c r="I469" s="21">
        <f t="shared" si="78"/>
        <v>0</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0.05</v>
      </c>
      <c r="H470" s="634"/>
      <c r="I470" s="21">
        <f t="shared" si="78"/>
        <v>0</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0.05</v>
      </c>
      <c r="H471" s="634"/>
      <c r="I471" s="21">
        <f t="shared" si="78"/>
        <v>0</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0.05</v>
      </c>
      <c r="H472" s="634"/>
      <c r="I472" s="21">
        <f t="shared" si="78"/>
        <v>0</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0.05</v>
      </c>
      <c r="H473" s="634"/>
      <c r="I473" s="21">
        <f t="shared" si="78"/>
        <v>0</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0.05</v>
      </c>
      <c r="H474" s="634"/>
      <c r="I474" s="21">
        <f t="shared" ref="I474:I524" si="89">(SUMIF($9:$9,H474,$10:$10)-SUMIF($9:$9,$H$24,$10:$10)+100)/100</f>
        <v>0</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0.05</v>
      </c>
      <c r="H475" s="634"/>
      <c r="I475" s="21">
        <f t="shared" si="89"/>
        <v>0</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0.05</v>
      </c>
      <c r="H476" s="634"/>
      <c r="I476" s="21">
        <f t="shared" si="89"/>
        <v>0</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0.05</v>
      </c>
      <c r="H477" s="634"/>
      <c r="I477" s="21">
        <f t="shared" si="89"/>
        <v>0</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0.05</v>
      </c>
      <c r="H478" s="634"/>
      <c r="I478" s="21">
        <f t="shared" si="89"/>
        <v>0</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0.05</v>
      </c>
      <c r="H479" s="634"/>
      <c r="I479" s="21">
        <f t="shared" si="89"/>
        <v>0</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0.05</v>
      </c>
      <c r="H480" s="634"/>
      <c r="I480" s="21">
        <f t="shared" si="89"/>
        <v>0</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0.05</v>
      </c>
      <c r="H481" s="634"/>
      <c r="I481" s="21">
        <f t="shared" si="89"/>
        <v>0</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0.05</v>
      </c>
      <c r="H482" s="634"/>
      <c r="I482" s="21">
        <f t="shared" si="89"/>
        <v>0</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0.05</v>
      </c>
      <c r="H483" s="634"/>
      <c r="I483" s="21">
        <f t="shared" si="89"/>
        <v>0</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0.05</v>
      </c>
      <c r="H484" s="634"/>
      <c r="I484" s="21">
        <f t="shared" si="89"/>
        <v>0</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0.05</v>
      </c>
      <c r="H485" s="634"/>
      <c r="I485" s="21">
        <f t="shared" si="89"/>
        <v>0</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0.05</v>
      </c>
      <c r="H486" s="634"/>
      <c r="I486" s="21">
        <f t="shared" si="89"/>
        <v>0</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0.05</v>
      </c>
      <c r="H487" s="634"/>
      <c r="I487" s="21">
        <f t="shared" si="89"/>
        <v>0</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0.05</v>
      </c>
      <c r="H488" s="634"/>
      <c r="I488" s="21">
        <f t="shared" si="89"/>
        <v>0</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0.05</v>
      </c>
      <c r="H489" s="634"/>
      <c r="I489" s="21">
        <f t="shared" si="89"/>
        <v>0</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0.05</v>
      </c>
      <c r="H490" s="634"/>
      <c r="I490" s="21">
        <f t="shared" si="89"/>
        <v>0</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0.05</v>
      </c>
      <c r="H491" s="634"/>
      <c r="I491" s="21">
        <f t="shared" si="89"/>
        <v>0</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0.05</v>
      </c>
      <c r="H492" s="634"/>
      <c r="I492" s="21">
        <f t="shared" si="89"/>
        <v>0</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0.05</v>
      </c>
      <c r="H493" s="634"/>
      <c r="I493" s="21">
        <f t="shared" si="89"/>
        <v>0</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0.05</v>
      </c>
      <c r="H494" s="634"/>
      <c r="I494" s="21">
        <f t="shared" si="89"/>
        <v>0</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0.05</v>
      </c>
      <c r="H495" s="634"/>
      <c r="I495" s="21">
        <f t="shared" si="89"/>
        <v>0</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0.05</v>
      </c>
      <c r="H496" s="634"/>
      <c r="I496" s="21">
        <f t="shared" si="89"/>
        <v>0</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0.05</v>
      </c>
      <c r="H497" s="634"/>
      <c r="I497" s="21">
        <f t="shared" si="89"/>
        <v>0</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0.05</v>
      </c>
      <c r="H498" s="634"/>
      <c r="I498" s="21">
        <f t="shared" si="89"/>
        <v>0</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0.05</v>
      </c>
      <c r="H499" s="634"/>
      <c r="I499" s="21">
        <f t="shared" si="89"/>
        <v>0</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0.05</v>
      </c>
      <c r="H500" s="634"/>
      <c r="I500" s="21">
        <f t="shared" si="89"/>
        <v>0</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0.05</v>
      </c>
      <c r="H501" s="634"/>
      <c r="I501" s="21">
        <f t="shared" si="89"/>
        <v>0</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0.05</v>
      </c>
      <c r="H502" s="634"/>
      <c r="I502" s="21">
        <f t="shared" si="89"/>
        <v>0</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0.05</v>
      </c>
      <c r="H503" s="634"/>
      <c r="I503" s="21">
        <f t="shared" si="89"/>
        <v>0</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0.05</v>
      </c>
      <c r="H504" s="634"/>
      <c r="I504" s="21">
        <f t="shared" si="89"/>
        <v>0</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0.05</v>
      </c>
      <c r="H505" s="634"/>
      <c r="I505" s="21">
        <f t="shared" si="89"/>
        <v>0</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0.05</v>
      </c>
      <c r="H506" s="634"/>
      <c r="I506" s="21">
        <f t="shared" si="89"/>
        <v>0</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0.05</v>
      </c>
      <c r="H507" s="634"/>
      <c r="I507" s="21">
        <f t="shared" si="89"/>
        <v>0</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0.05</v>
      </c>
      <c r="H508" s="634"/>
      <c r="I508" s="21">
        <f t="shared" si="89"/>
        <v>0</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0.05</v>
      </c>
      <c r="H509" s="634"/>
      <c r="I509" s="21">
        <f t="shared" si="89"/>
        <v>0</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0.05</v>
      </c>
      <c r="H510" s="634"/>
      <c r="I510" s="21">
        <f t="shared" si="89"/>
        <v>0</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0.05</v>
      </c>
      <c r="H511" s="634"/>
      <c r="I511" s="21">
        <f t="shared" si="89"/>
        <v>0</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0.05</v>
      </c>
      <c r="H512" s="634"/>
      <c r="I512" s="21">
        <f t="shared" si="89"/>
        <v>0</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0.05</v>
      </c>
      <c r="H513" s="634"/>
      <c r="I513" s="21">
        <f t="shared" si="89"/>
        <v>0</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0.05</v>
      </c>
      <c r="H514" s="634"/>
      <c r="I514" s="21">
        <f t="shared" si="89"/>
        <v>0</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0.05</v>
      </c>
      <c r="H515" s="634"/>
      <c r="I515" s="21">
        <f t="shared" si="89"/>
        <v>0</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0.05</v>
      </c>
      <c r="H516" s="634"/>
      <c r="I516" s="21">
        <f t="shared" si="89"/>
        <v>0</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0.05</v>
      </c>
      <c r="H517" s="634"/>
      <c r="I517" s="21">
        <f t="shared" si="89"/>
        <v>0</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0.05</v>
      </c>
      <c r="H518" s="634"/>
      <c r="I518" s="21">
        <f t="shared" si="89"/>
        <v>0</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0.05</v>
      </c>
      <c r="H519" s="634"/>
      <c r="I519" s="21">
        <f t="shared" si="89"/>
        <v>0</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0.05</v>
      </c>
      <c r="H520" s="634"/>
      <c r="I520" s="21">
        <f t="shared" si="89"/>
        <v>0</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0.05</v>
      </c>
      <c r="H521" s="634"/>
      <c r="I521" s="21">
        <f t="shared" si="89"/>
        <v>0</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0.05</v>
      </c>
      <c r="H522" s="634"/>
      <c r="I522" s="21">
        <f t="shared" si="89"/>
        <v>0</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0.05</v>
      </c>
      <c r="H523" s="634"/>
      <c r="I523" s="21">
        <f t="shared" si="89"/>
        <v>0</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0.05</v>
      </c>
      <c r="H524" s="634"/>
      <c r="I524" s="21">
        <f t="shared" si="89"/>
        <v>0</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0" t="s">
        <v>2081</v>
      </c>
      <c r="B1" s="4"/>
      <c r="C1" s="4"/>
      <c r="D1" s="4"/>
      <c r="E1" s="4"/>
      <c r="F1" s="2537"/>
      <c r="G1" s="2537"/>
      <c r="H1" s="2537"/>
      <c r="I1" s="2537"/>
      <c r="J1" s="2537"/>
      <c r="K1" s="2537"/>
      <c r="L1" s="2537"/>
      <c r="M1" s="2537"/>
      <c r="N1" s="2537"/>
      <c r="O1" s="2537"/>
      <c r="P1" s="2537"/>
    </row>
    <row r="2" spans="1:16" ht="15.6">
      <c r="A2" s="1979" t="s">
        <v>2073</v>
      </c>
      <c r="B2" s="2381" t="e">
        <f ca="1">SUMIF(B6:B13,"&lt;&gt;#ref!",B6:B13)</f>
        <v>#DIV/0!</v>
      </c>
      <c r="C2" s="1979" t="s">
        <v>2074</v>
      </c>
      <c r="D2" s="1979" t="s">
        <v>2075</v>
      </c>
      <c r="E2" s="2391">
        <f ca="1">SUMIF(E6:E13,"&lt;&gt;#ref!",E6:E13)</f>
        <v>0</v>
      </c>
      <c r="F2" s="2537"/>
      <c r="G2" s="2537"/>
      <c r="H2" s="2537"/>
      <c r="I2" s="2537"/>
      <c r="J2" s="2537"/>
      <c r="K2" s="2537"/>
      <c r="L2" s="2537"/>
      <c r="M2" s="2537"/>
      <c r="N2" s="2537"/>
      <c r="O2" s="2537"/>
      <c r="P2" s="2537"/>
    </row>
    <row r="3" spans="1:16" ht="15.6">
      <c r="A3" s="1979" t="s">
        <v>2076</v>
      </c>
      <c r="B3" s="2381" t="e">
        <f ca="1">ROUND(B2*10000/E2,0)</f>
        <v>#DIV/0!</v>
      </c>
      <c r="C3" s="1979"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2077</v>
      </c>
      <c r="B5" s="2389" t="s">
        <v>2078</v>
      </c>
      <c r="C5" s="1980"/>
      <c r="D5" s="2537"/>
      <c r="E5" s="2390" t="s">
        <v>2079</v>
      </c>
      <c r="F5" s="2537"/>
      <c r="G5" s="2537"/>
      <c r="H5" s="2537"/>
      <c r="I5" s="2537"/>
      <c r="J5" s="2537"/>
      <c r="K5" s="2537"/>
      <c r="L5" s="2537"/>
      <c r="M5" s="2537"/>
      <c r="N5" s="2537"/>
      <c r="O5" s="2537"/>
      <c r="P5" s="2537"/>
    </row>
    <row r="6" spans="1:16" ht="15.6">
      <c r="A6" s="2388" t="s">
        <v>2080</v>
      </c>
      <c r="B6" s="2381" t="e">
        <f ca="1">SUMIF(INDIRECT("'"&amp;A6&amp;"'"&amp;"!A:A"),"总价",INDIRECT("'"&amp;A6&amp;"'"&amp;"!B:B"))</f>
        <v>#DIV/0!</v>
      </c>
      <c r="C6" s="1979" t="s">
        <v>2074</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79"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79" t="s">
        <v>2074</v>
      </c>
      <c r="D8" s="2537"/>
      <c r="E8" s="2391" t="e">
        <f t="shared" ca="1" si="0"/>
        <v>#REF!</v>
      </c>
      <c r="F8" s="2537"/>
      <c r="G8" s="2537"/>
      <c r="H8" s="2537"/>
      <c r="I8" s="2537"/>
      <c r="J8" s="2537"/>
      <c r="K8" s="2537"/>
      <c r="L8" s="2537"/>
      <c r="M8" s="2537"/>
      <c r="N8" s="2537"/>
      <c r="O8" s="2537"/>
      <c r="P8" s="2537"/>
    </row>
    <row r="9" spans="1:16" ht="15.6">
      <c r="A9" s="2388"/>
      <c r="B9" s="2381" t="e">
        <f t="shared" ca="1" si="1"/>
        <v>#REF!</v>
      </c>
      <c r="C9" s="1979" t="s">
        <v>2074</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79" t="s">
        <v>2074</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79" t="s">
        <v>2074</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79" t="s">
        <v>2074</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79"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86"/>
      <c r="B4" s="3175" t="s">
        <v>917</v>
      </c>
      <c r="C4" s="3175"/>
      <c r="D4" s="3175"/>
      <c r="E4" s="1386"/>
    </row>
    <row r="5" spans="1:5" ht="16.2" thickTop="1">
      <c r="B5" s="3173" t="s">
        <v>909</v>
      </c>
      <c r="C5" s="1387" t="s">
        <v>910</v>
      </c>
      <c r="D5" s="796">
        <f ca="1">结果表!H101</f>
        <v>227</v>
      </c>
    </row>
    <row r="6" spans="1:5" ht="15.6">
      <c r="B6" s="3173"/>
      <c r="C6" s="1387" t="s">
        <v>911</v>
      </c>
      <c r="D6" s="796" t="str">
        <f ca="1">NUMBERSTRING(INT(D5*10000),2)&amp;"元整"</f>
        <v>贰佰贰拾柒万元整</v>
      </c>
    </row>
    <row r="7" spans="1:5" ht="15.6">
      <c r="B7" s="3178"/>
      <c r="C7" s="1388" t="s">
        <v>912</v>
      </c>
      <c r="D7" s="797">
        <f ca="1">结果表!H102</f>
        <v>18633</v>
      </c>
    </row>
    <row r="8" spans="1:5" ht="15.6">
      <c r="B8" s="3179" t="str">
        <f>结果表!E103</f>
        <v>2.估价师知悉的法定优先受偿款</v>
      </c>
      <c r="C8" s="1389" t="s">
        <v>913</v>
      </c>
      <c r="D8" s="797">
        <f>结果表!H103</f>
        <v>0</v>
      </c>
    </row>
    <row r="9" spans="1:5" ht="15.6">
      <c r="B9" s="3181"/>
      <c r="C9" s="1387" t="s">
        <v>911</v>
      </c>
      <c r="D9" s="796" t="str">
        <f>NUMBERSTRING(INT(D8*10000),2)&amp;"元整"</f>
        <v>零元整</v>
      </c>
    </row>
    <row r="10" spans="1:5" ht="15.6">
      <c r="B10" s="1390" t="s">
        <v>916</v>
      </c>
      <c r="C10" s="1391" t="s">
        <v>914</v>
      </c>
      <c r="D10" s="798">
        <f>结果表!H104</f>
        <v>0</v>
      </c>
    </row>
    <row r="11" spans="1:5" ht="15.6">
      <c r="B11" s="1390" t="s">
        <v>918</v>
      </c>
      <c r="C11" s="1391" t="s">
        <v>919</v>
      </c>
      <c r="D11" s="798">
        <f>结果表!H105</f>
        <v>0</v>
      </c>
    </row>
    <row r="12" spans="1:5" ht="15.6">
      <c r="B12" s="1390" t="s">
        <v>920</v>
      </c>
      <c r="C12" s="1391" t="s">
        <v>919</v>
      </c>
      <c r="D12" s="798">
        <f>结果表!H106</f>
        <v>0</v>
      </c>
    </row>
    <row r="13" spans="1:5" ht="15.6">
      <c r="B13" s="3172" t="str">
        <f>结果表!E107</f>
        <v>3.房地产抵押价值</v>
      </c>
      <c r="C13" s="1392" t="s">
        <v>910</v>
      </c>
      <c r="D13" s="799">
        <f ca="1">结果表!H107</f>
        <v>227</v>
      </c>
    </row>
    <row r="14" spans="1:5" ht="15.6">
      <c r="B14" s="3173"/>
      <c r="C14" s="1387" t="s">
        <v>911</v>
      </c>
      <c r="D14" s="796" t="str">
        <f ca="1">NUMBERSTRING(INT(D13*10000),2)&amp;"元整"</f>
        <v>贰佰贰拾柒万元整</v>
      </c>
    </row>
    <row r="15" spans="1:5" ht="15.6">
      <c r="B15" s="3178"/>
      <c r="C15" s="1388" t="s">
        <v>921</v>
      </c>
      <c r="D15" s="805">
        <f ca="1">结果表!H108</f>
        <v>18633</v>
      </c>
    </row>
    <row r="16" spans="1:5" ht="15.6">
      <c r="B16" s="3179" t="str">
        <f>结果表!E109</f>
        <v>——</v>
      </c>
      <c r="C16" s="1392" t="s">
        <v>922</v>
      </c>
      <c r="D16" s="1393" t="str">
        <f>结果表!H109</f>
        <v>——</v>
      </c>
    </row>
    <row r="17" spans="1:5" ht="15.6">
      <c r="B17" s="3180"/>
      <c r="C17" s="1387" t="s">
        <v>923</v>
      </c>
      <c r="D17" s="796" t="e">
        <f>NUMBERSTRING(INT(D16*10000),2)&amp;"元整"</f>
        <v>#VALUE!</v>
      </c>
    </row>
    <row r="18" spans="1:5" ht="15.6">
      <c r="B18" s="3181"/>
      <c r="C18" s="1388" t="s">
        <v>912</v>
      </c>
      <c r="D18" s="805" t="str">
        <f>结果表!H110</f>
        <v>——</v>
      </c>
    </row>
    <row r="19" spans="1:5" ht="15.6">
      <c r="B19" s="3172" t="str">
        <f>结果表!E111</f>
        <v>——</v>
      </c>
      <c r="C19" s="1392" t="s">
        <v>910</v>
      </c>
      <c r="D19" s="797" t="str">
        <f>结果表!H111</f>
        <v>——</v>
      </c>
    </row>
    <row r="20" spans="1:5" ht="15.6">
      <c r="B20" s="3173"/>
      <c r="C20" s="1387" t="s">
        <v>923</v>
      </c>
      <c r="D20" s="796" t="e">
        <f>NUMBERSTRING(INT(D19*10000),2)&amp;"元整"</f>
        <v>#VALUE!</v>
      </c>
    </row>
    <row r="21" spans="1:5" ht="16.2" thickBot="1">
      <c r="B21" s="3174"/>
      <c r="C21" s="1394" t="s">
        <v>921</v>
      </c>
      <c r="D21" s="806" t="str">
        <f>结果表!H112</f>
        <v>——</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69" t="s">
        <v>3558</v>
      </c>
      <c r="C1" s="1712" t="s">
        <v>1563</v>
      </c>
      <c r="D1" s="190"/>
      <c r="E1" s="190"/>
      <c r="F1" s="190"/>
      <c r="G1" s="1059">
        <f>MATCH(B1,'数据-取费表'!A6:A16,0)+5</f>
        <v>6</v>
      </c>
      <c r="H1" s="995" t="str">
        <f>IF(ISERROR(FIND("住宅",B1)),"非住宅","住宅")</f>
        <v>住宅</v>
      </c>
    </row>
    <row r="2" spans="1:8" s="192" customFormat="1" ht="18" customHeight="1">
      <c r="A2" s="193" t="s">
        <v>1462</v>
      </c>
      <c r="B2" s="3115">
        <f ca="1">ROUND(IF(D2="——",C52/10000,C52/10000-E2),4)</f>
        <v>64.842799999999997</v>
      </c>
      <c r="C2" s="191" t="s">
        <v>1463</v>
      </c>
      <c r="D2" s="1706" t="s">
        <v>43</v>
      </c>
      <c r="E2" s="1086"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5316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35371</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35371</v>
      </c>
      <c r="D8" s="214"/>
      <c r="E8" s="212"/>
      <c r="F8" s="213"/>
      <c r="G8" s="1709" t="s">
        <v>3561</v>
      </c>
    </row>
    <row r="9" spans="1:8" s="206" customFormat="1" ht="13.5" customHeight="1">
      <c r="A9" s="732" t="s">
        <v>355</v>
      </c>
      <c r="B9" s="216" t="s">
        <v>1478</v>
      </c>
      <c r="C9" s="217">
        <f ca="1">ROUND(D9*E9,0)</f>
        <v>35371</v>
      </c>
      <c r="D9" s="794">
        <f ca="1">IF(B1="",'数据-汇总表'!E5,IF(INDIRECT("'数据-取费表'!c"&amp;$G$1)="住宅",INDIRECT("'数据-取费表'!k"&amp;$G$1),0))</f>
        <v>121.97</v>
      </c>
      <c r="E9" s="217">
        <f>'数据-取费表'!B27</f>
        <v>290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320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121.97</v>
      </c>
      <c r="E19" s="203">
        <f>'数据-取费表'!B31</f>
        <v>200</v>
      </c>
      <c r="F19" s="223"/>
      <c r="G19" s="1709" t="s">
        <v>3562</v>
      </c>
    </row>
    <row r="20" spans="1:7" s="206" customFormat="1" ht="13.5" customHeight="1">
      <c r="A20" s="247" t="s">
        <v>1574</v>
      </c>
      <c r="B20" s="202" t="s">
        <v>1575</v>
      </c>
      <c r="C20" s="224">
        <f ca="1">ROUND((C5+C19)*F20,0)</f>
        <v>707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2434</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2410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24</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5412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5412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47588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493979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426895</v>
      </c>
      <c r="D34" s="209"/>
      <c r="E34" s="212"/>
      <c r="F34" s="249"/>
      <c r="G34" s="211"/>
    </row>
    <row r="35" spans="1:7" ht="13.5" customHeight="1">
      <c r="A35" s="733" t="s">
        <v>351</v>
      </c>
      <c r="B35" s="207" t="s">
        <v>1527</v>
      </c>
      <c r="C35" s="212">
        <f ca="1">ROUND(C34*F35,0)</f>
        <v>12807</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21345</v>
      </c>
      <c r="D36" s="212"/>
      <c r="E36" s="212"/>
      <c r="F36" s="251">
        <f>'数据-取费表'!B34</f>
        <v>0.05</v>
      </c>
      <c r="G36" s="252" t="s">
        <v>1530</v>
      </c>
    </row>
    <row r="37" spans="1:7" s="250" customFormat="1" ht="13.5" customHeight="1">
      <c r="A37" s="733" t="s">
        <v>353</v>
      </c>
      <c r="B37" s="207" t="s">
        <v>1531</v>
      </c>
      <c r="C37" s="241">
        <f ca="1">ROUND(E37*D37,0)</f>
        <v>24394</v>
      </c>
      <c r="D37" s="209">
        <f ca="1">D19</f>
        <v>121.97</v>
      </c>
      <c r="E37" s="241">
        <f>'数据-取费表'!B35</f>
        <v>200</v>
      </c>
      <c r="F37" s="251"/>
      <c r="G37" s="253"/>
    </row>
    <row r="38" spans="1:7" ht="13.5" customHeight="1">
      <c r="A38" s="733" t="s">
        <v>354</v>
      </c>
      <c r="B38" s="207" t="s">
        <v>1533</v>
      </c>
      <c r="C38" s="212">
        <f ca="1">ROUND(C34*F38,0)</f>
        <v>8538</v>
      </c>
      <c r="D38" s="212"/>
      <c r="E38" s="212"/>
      <c r="F38" s="251">
        <f>'数据-取费表'!B36</f>
        <v>0.02</v>
      </c>
      <c r="G38" s="211" t="s">
        <v>1528</v>
      </c>
    </row>
    <row r="39" spans="1:7" s="206" customFormat="1" ht="13.5" customHeight="1">
      <c r="A39" s="247" t="s">
        <v>1534</v>
      </c>
      <c r="B39" s="202" t="s">
        <v>1535</v>
      </c>
      <c r="C39" s="224">
        <f ca="1">ROUND(C33*F20,0)</f>
        <v>9880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16879</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16548</v>
      </c>
      <c r="D42" s="230"/>
      <c r="E42" s="230"/>
      <c r="F42" s="231"/>
      <c r="G42" s="3353" t="s">
        <v>1591</v>
      </c>
    </row>
    <row r="43" spans="1:7" ht="13.5" customHeight="1">
      <c r="A43" s="733" t="s">
        <v>347</v>
      </c>
      <c r="B43" s="207" t="s">
        <v>1545</v>
      </c>
      <c r="C43" s="230">
        <f ca="1">ROUND(IF('数据-取费表'!B22&lt;=1,C39*F22*'数据-取费表'!B20/2,C39*(POWER((1+F22),'数据-取费表'!B20/2)-1)),0)</f>
        <v>331</v>
      </c>
      <c r="D43" s="230"/>
      <c r="E43" s="230"/>
      <c r="F43" s="231"/>
      <c r="G43" s="3354"/>
    </row>
    <row r="44" spans="1:7" ht="13.5" customHeight="1">
      <c r="A44" s="733" t="s">
        <v>348</v>
      </c>
      <c r="B44" s="207" t="s">
        <v>1546</v>
      </c>
      <c r="C44" s="230">
        <f ca="1">ROUND(IF('数据-取费表'!B22&lt;=1,C40*F22*'数据-取费表'!B20/2,C40*(POWER((1+F22),'数据-取费表'!B20/2)-1)),4)</f>
        <v>6.9999999999999999E-4</v>
      </c>
      <c r="D44" s="230"/>
      <c r="E44" s="230"/>
      <c r="F44" s="231"/>
      <c r="G44" s="3355"/>
    </row>
    <row r="45" spans="1:7" s="206" customFormat="1" ht="13.5" customHeight="1">
      <c r="A45" s="247" t="s">
        <v>1547</v>
      </c>
      <c r="B45" s="236" t="s">
        <v>1513</v>
      </c>
      <c r="C45" s="237">
        <f ca="1">C46</f>
        <v>75579</v>
      </c>
      <c r="D45" s="227">
        <f ca="1">C47</f>
        <v>3.0000000000000001E-3</v>
      </c>
      <c r="E45" s="228" t="s">
        <v>1539</v>
      </c>
      <c r="F45" s="238">
        <f ca="1">F27</f>
        <v>0.15</v>
      </c>
      <c r="G45" s="239" t="s">
        <v>1548</v>
      </c>
    </row>
    <row r="46" spans="1:7" s="206" customFormat="1" ht="13.5" customHeight="1">
      <c r="A46" s="733" t="s">
        <v>346</v>
      </c>
      <c r="B46" s="240" t="s">
        <v>1549</v>
      </c>
      <c r="C46" s="241">
        <f ca="1">ROUND((C33+C39)*F27,0)</f>
        <v>75579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646064</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600840</v>
      </c>
      <c r="D51" s="224"/>
      <c r="E51" s="224"/>
      <c r="F51" s="256"/>
      <c r="G51" s="226" t="s">
        <v>1560</v>
      </c>
    </row>
    <row r="52" spans="1:7" s="200" customFormat="1" ht="16.8" thickBot="1">
      <c r="A52" s="257" t="s">
        <v>1561</v>
      </c>
      <c r="B52" s="258"/>
      <c r="C52" s="259">
        <f ca="1">C31+C51</f>
        <v>648428</v>
      </c>
      <c r="D52" s="258"/>
      <c r="E52" s="258"/>
      <c r="F52" s="258"/>
      <c r="G52" s="260"/>
    </row>
    <row r="55" spans="1:7" ht="15">
      <c r="B55" s="262" t="s">
        <v>1562</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4.4">
      <c r="A4" s="345" t="s">
        <v>1769</v>
      </c>
      <c r="B4" s="346"/>
      <c r="C4" s="3401" t="s">
        <v>1770</v>
      </c>
      <c r="D4" s="3402"/>
      <c r="E4" s="3403" t="s">
        <v>1771</v>
      </c>
      <c r="F4" s="3404"/>
      <c r="G4" s="3401" t="s">
        <v>1772</v>
      </c>
      <c r="H4" s="3402"/>
      <c r="I4" s="3401" t="s">
        <v>1773</v>
      </c>
      <c r="J4" s="3402"/>
      <c r="K4" s="537" t="s">
        <v>1774</v>
      </c>
      <c r="L4" s="2479"/>
      <c r="M4" s="2480"/>
      <c r="N4" s="2480"/>
      <c r="O4" s="2480"/>
      <c r="P4" s="3405" t="s">
        <v>1775</v>
      </c>
      <c r="Q4" s="3406"/>
      <c r="R4" s="3387" t="s">
        <v>1771</v>
      </c>
      <c r="S4" s="3388"/>
      <c r="T4" s="3387" t="s">
        <v>1772</v>
      </c>
      <c r="U4" s="3388"/>
      <c r="V4" s="3413" t="s">
        <v>1773</v>
      </c>
      <c r="W4" s="3413"/>
      <c r="X4" s="1260"/>
      <c r="Y4" s="3387" t="s">
        <v>1775</v>
      </c>
      <c r="Z4" s="3388"/>
      <c r="AA4" s="3382" t="s">
        <v>1771</v>
      </c>
      <c r="AB4" s="3383" t="s">
        <v>1772</v>
      </c>
      <c r="AC4" s="3382" t="s">
        <v>1773</v>
      </c>
    </row>
    <row r="5" spans="1:29">
      <c r="A5" s="348"/>
      <c r="B5" s="349"/>
      <c r="C5" s="3397" t="s">
        <v>1673</v>
      </c>
      <c r="D5" s="3394"/>
      <c r="E5" s="3391" t="s">
        <v>1674</v>
      </c>
      <c r="F5" s="3392"/>
      <c r="G5" s="3397" t="s">
        <v>1675</v>
      </c>
      <c r="H5" s="3394"/>
      <c r="I5" s="3397" t="s">
        <v>1676</v>
      </c>
      <c r="J5" s="3394"/>
      <c r="K5" s="537"/>
      <c r="L5" s="2479"/>
      <c r="M5" s="2480"/>
      <c r="N5" s="2480"/>
      <c r="O5" s="2480"/>
      <c r="P5" s="3407"/>
      <c r="Q5" s="3408"/>
      <c r="R5" s="3389"/>
      <c r="S5" s="3390"/>
      <c r="T5" s="3389"/>
      <c r="U5" s="3390"/>
      <c r="V5" s="3413"/>
      <c r="W5" s="3413"/>
      <c r="X5" s="1260"/>
      <c r="Y5" s="3389"/>
      <c r="Z5" s="3390"/>
      <c r="AA5" s="3383"/>
      <c r="AB5" s="3383"/>
      <c r="AC5" s="3383"/>
    </row>
    <row r="6" spans="1:29" ht="15" thickBot="1">
      <c r="A6" s="350"/>
      <c r="B6" s="351"/>
      <c r="C6" s="3395" t="s">
        <v>1677</v>
      </c>
      <c r="D6" s="3396"/>
      <c r="E6" s="3398" t="s">
        <v>1677</v>
      </c>
      <c r="F6" s="3399"/>
      <c r="G6" s="3395" t="s">
        <v>1677</v>
      </c>
      <c r="H6" s="3396"/>
      <c r="I6" s="3395" t="s">
        <v>1677</v>
      </c>
      <c r="J6" s="3396"/>
      <c r="K6" s="537" t="s">
        <v>1678</v>
      </c>
      <c r="L6" s="2479"/>
      <c r="M6" s="2480"/>
      <c r="N6" s="2480"/>
      <c r="O6" s="2480"/>
      <c r="P6" s="3409"/>
      <c r="Q6" s="3410"/>
      <c r="R6" s="3389"/>
      <c r="S6" s="3390"/>
      <c r="T6" s="3411"/>
      <c r="U6" s="3412"/>
      <c r="V6" s="3413"/>
      <c r="W6" s="3413"/>
      <c r="X6" s="1260"/>
      <c r="Y6" s="3411"/>
      <c r="Z6" s="3412"/>
      <c r="AA6" s="3384"/>
      <c r="AB6" s="3384"/>
      <c r="AC6" s="3384"/>
    </row>
    <row r="7" spans="1:29" s="102" customFormat="1" ht="15" thickBot="1">
      <c r="A7" s="352" t="s">
        <v>1679</v>
      </c>
      <c r="B7" s="353"/>
      <c r="C7" s="354">
        <f>'数据-取费表'!B2</f>
        <v>45555</v>
      </c>
      <c r="D7" s="355">
        <v>100</v>
      </c>
      <c r="E7" s="356"/>
      <c r="F7" s="357">
        <f>SUMIF(69:69,YEAR(E7)&amp;"-"&amp;INT((MONTH(E7)+2)/3),70:70)</f>
        <v>0</v>
      </c>
      <c r="G7" s="1817"/>
      <c r="H7" s="355">
        <f>SUMIF(69:69,YEAR(G7)&amp;"-"&amp;INT((MONTH(G7)+2)/3),70:70)</f>
        <v>0</v>
      </c>
      <c r="I7" s="1817"/>
      <c r="J7" s="355">
        <f>SUMIF(69:69,YEAR(I7)&amp;"-"&amp;INT((MONTH(I7)+2)/3),70:70)</f>
        <v>0</v>
      </c>
      <c r="K7" s="38"/>
      <c r="L7" s="2481"/>
      <c r="M7" s="2433"/>
      <c r="N7" s="2433"/>
      <c r="O7" s="2433"/>
      <c r="P7" s="3385" t="s">
        <v>1680</v>
      </c>
      <c r="Q7" s="3414"/>
      <c r="R7" s="663" t="s">
        <v>14</v>
      </c>
      <c r="S7" s="664">
        <f t="shared" ref="S7:S15" si="0">F7</f>
        <v>0</v>
      </c>
      <c r="T7" s="663" t="s">
        <v>14</v>
      </c>
      <c r="U7" s="664">
        <f t="shared" ref="U7:U15" si="1">H7</f>
        <v>0</v>
      </c>
      <c r="V7" s="663" t="s">
        <v>14</v>
      </c>
      <c r="W7" s="664">
        <f t="shared" ref="W7:W15" si="2">J7</f>
        <v>0</v>
      </c>
      <c r="X7" s="665"/>
      <c r="Y7" s="3385" t="s">
        <v>1680</v>
      </c>
      <c r="Z7" s="338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385" t="s">
        <v>1683</v>
      </c>
      <c r="Q8" s="3386"/>
      <c r="R8" s="663" t="s">
        <v>14</v>
      </c>
      <c r="S8" s="664">
        <f t="shared" si="0"/>
        <v>0</v>
      </c>
      <c r="T8" s="663" t="s">
        <v>14</v>
      </c>
      <c r="U8" s="664">
        <f t="shared" si="1"/>
        <v>0</v>
      </c>
      <c r="V8" s="663" t="s">
        <v>14</v>
      </c>
      <c r="W8" s="664">
        <f t="shared" si="2"/>
        <v>0</v>
      </c>
      <c r="X8" s="665"/>
      <c r="Y8" s="3385" t="s">
        <v>1683</v>
      </c>
      <c r="Z8" s="3386"/>
      <c r="AA8" s="50" t="e">
        <f t="shared" ref="AA8:AA45" si="3">D8/F8</f>
        <v>#DIV/0!</v>
      </c>
      <c r="AB8" s="50" t="e">
        <f t="shared" ref="AB8:AB45" si="4">D8/H8</f>
        <v>#DIV/0!</v>
      </c>
      <c r="AC8" s="50" t="e">
        <f t="shared" ref="AC8:AC45" si="5">D8/J8</f>
        <v>#DIV/0!</v>
      </c>
    </row>
    <row r="9" spans="1:29" s="102" customFormat="1" ht="14.4">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1"/>
      <c r="M9" s="2433"/>
      <c r="N9" s="2433"/>
      <c r="O9" s="2533"/>
      <c r="P9" s="3418" t="s">
        <v>1686</v>
      </c>
      <c r="Q9" s="530" t="str">
        <f t="shared" ref="Q9:Q15" si="6">B9</f>
        <v>用途</v>
      </c>
      <c r="R9" s="663" t="s">
        <v>14</v>
      </c>
      <c r="S9" s="664">
        <f t="shared" si="0"/>
        <v>100</v>
      </c>
      <c r="T9" s="663" t="s">
        <v>14</v>
      </c>
      <c r="U9" s="664">
        <f t="shared" si="1"/>
        <v>100</v>
      </c>
      <c r="V9" s="663" t="s">
        <v>14</v>
      </c>
      <c r="W9" s="664">
        <f t="shared" si="2"/>
        <v>100</v>
      </c>
      <c r="X9" s="665"/>
      <c r="Y9" s="332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105</v>
      </c>
      <c r="G10" s="402"/>
      <c r="H10" s="119">
        <f>ROUND(100/'数据-取费表'!G16,0)</f>
        <v>105</v>
      </c>
      <c r="I10" s="402"/>
      <c r="J10" s="119">
        <f>ROUND(100/'数据-取费表'!G16,0)</f>
        <v>105</v>
      </c>
      <c r="K10" s="592"/>
      <c r="L10" s="2482"/>
      <c r="M10" s="2483"/>
      <c r="N10" s="2483"/>
      <c r="O10" s="2534"/>
      <c r="P10" s="3418"/>
      <c r="Q10" s="530" t="str">
        <f t="shared" si="6"/>
        <v>土地使用年限（年）</v>
      </c>
      <c r="R10" s="663" t="s">
        <v>14</v>
      </c>
      <c r="S10" s="664">
        <f t="shared" si="0"/>
        <v>105</v>
      </c>
      <c r="T10" s="663" t="s">
        <v>14</v>
      </c>
      <c r="U10" s="664">
        <f t="shared" si="1"/>
        <v>105</v>
      </c>
      <c r="V10" s="663" t="s">
        <v>14</v>
      </c>
      <c r="W10" s="664">
        <f t="shared" si="2"/>
        <v>105</v>
      </c>
      <c r="X10" s="665"/>
      <c r="Y10" s="3329"/>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18"/>
      <c r="Q11" s="530"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418"/>
      <c r="Q12" s="530" t="str">
        <f t="shared" si="6"/>
        <v>配建</v>
      </c>
      <c r="R12" s="663" t="s">
        <v>14</v>
      </c>
      <c r="S12" s="664">
        <f t="shared" si="0"/>
        <v>100</v>
      </c>
      <c r="T12" s="663" t="s">
        <v>14</v>
      </c>
      <c r="U12" s="664">
        <f t="shared" si="1"/>
        <v>100</v>
      </c>
      <c r="V12" s="663" t="s">
        <v>14</v>
      </c>
      <c r="W12" s="664">
        <f t="shared" si="2"/>
        <v>100</v>
      </c>
      <c r="X12" s="665"/>
      <c r="Y12" s="332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18"/>
      <c r="Q13" s="530">
        <f t="shared" si="6"/>
        <v>111</v>
      </c>
      <c r="R13" s="663" t="s">
        <v>14</v>
      </c>
      <c r="S13" s="664">
        <f t="shared" si="0"/>
        <v>100</v>
      </c>
      <c r="T13" s="663" t="s">
        <v>14</v>
      </c>
      <c r="U13" s="664">
        <f t="shared" si="1"/>
        <v>100</v>
      </c>
      <c r="V13" s="663" t="s">
        <v>14</v>
      </c>
      <c r="W13" s="664">
        <f t="shared" si="2"/>
        <v>100</v>
      </c>
      <c r="X13" s="665"/>
      <c r="Y13" s="3329"/>
      <c r="Z13" s="50">
        <f t="shared" si="7"/>
        <v>111</v>
      </c>
      <c r="AA13" s="50">
        <f>D13/F13</f>
        <v>1</v>
      </c>
      <c r="AB13" s="50">
        <f>D13/H13</f>
        <v>1</v>
      </c>
      <c r="AC13" s="50">
        <f>D13/J13</f>
        <v>1</v>
      </c>
    </row>
    <row r="14" spans="1:29" ht="15.6"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18"/>
      <c r="Q14" s="530">
        <f t="shared" si="6"/>
        <v>111</v>
      </c>
      <c r="R14" s="663" t="s">
        <v>14</v>
      </c>
      <c r="S14" s="664">
        <f t="shared" si="0"/>
        <v>100</v>
      </c>
      <c r="T14" s="663" t="s">
        <v>14</v>
      </c>
      <c r="U14" s="664">
        <f t="shared" si="1"/>
        <v>100</v>
      </c>
      <c r="V14" s="663" t="s">
        <v>14</v>
      </c>
      <c r="W14" s="664">
        <f t="shared" si="2"/>
        <v>100</v>
      </c>
      <c r="X14" s="665"/>
      <c r="Y14" s="3329"/>
      <c r="Z14" s="50">
        <f t="shared" si="7"/>
        <v>111</v>
      </c>
      <c r="AA14" s="50">
        <f>D14/F14</f>
        <v>1</v>
      </c>
      <c r="AB14" s="50">
        <f>D14/H14</f>
        <v>1</v>
      </c>
      <c r="AC14" s="50">
        <f>D14/J14</f>
        <v>1</v>
      </c>
    </row>
    <row r="15" spans="1:29" ht="96.6">
      <c r="A15" s="379" t="s">
        <v>1690</v>
      </c>
      <c r="B15" s="58" t="s">
        <v>1257</v>
      </c>
      <c r="C15" s="174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19" t="s">
        <v>1691</v>
      </c>
      <c r="Q15" s="1258" t="str">
        <f t="shared" si="6"/>
        <v>居住社区成熟度</v>
      </c>
      <c r="R15" s="666" t="s">
        <v>14</v>
      </c>
      <c r="S15" s="667">
        <f t="shared" si="0"/>
        <v>100</v>
      </c>
      <c r="T15" s="666" t="s">
        <v>14</v>
      </c>
      <c r="U15" s="667">
        <f t="shared" si="1"/>
        <v>100</v>
      </c>
      <c r="V15" s="666" t="s">
        <v>14</v>
      </c>
      <c r="W15" s="667">
        <f t="shared" si="2"/>
        <v>100</v>
      </c>
      <c r="X15" s="1260"/>
      <c r="Y15" s="3419"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5"/>
      <c r="M16" s="2480"/>
      <c r="N16" s="2480"/>
      <c r="O16" s="2535"/>
      <c r="P16" s="3420"/>
      <c r="Q16" s="1258"/>
      <c r="R16" s="666"/>
      <c r="S16" s="667"/>
      <c r="T16" s="666"/>
      <c r="U16" s="667"/>
      <c r="V16" s="666"/>
      <c r="W16" s="667"/>
      <c r="X16" s="1260"/>
      <c r="Y16" s="3420"/>
      <c r="Z16" s="1259"/>
      <c r="AA16" s="1259">
        <v>1</v>
      </c>
      <c r="AB16" s="1259">
        <v>1</v>
      </c>
      <c r="AC16" s="1259">
        <v>1</v>
      </c>
    </row>
    <row r="17" spans="1:29" ht="82.8">
      <c r="A17" s="367"/>
      <c r="B17" s="390" t="s">
        <v>1777</v>
      </c>
      <c r="C17" s="1801"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20"/>
      <c r="Q17" s="1258" t="str">
        <f>B17</f>
        <v>商业繁华度</v>
      </c>
      <c r="R17" s="666" t="s">
        <v>14</v>
      </c>
      <c r="S17" s="667">
        <f>F17</f>
        <v>100</v>
      </c>
      <c r="T17" s="666" t="s">
        <v>14</v>
      </c>
      <c r="U17" s="667">
        <f>H17</f>
        <v>100</v>
      </c>
      <c r="V17" s="666" t="s">
        <v>14</v>
      </c>
      <c r="W17" s="667">
        <f>J17</f>
        <v>100</v>
      </c>
      <c r="X17" s="1260"/>
      <c r="Y17" s="3420"/>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5"/>
      <c r="M18" s="2480"/>
      <c r="N18" s="2480"/>
      <c r="O18" s="2535"/>
      <c r="P18" s="3420"/>
      <c r="Q18" s="1258"/>
      <c r="R18" s="666"/>
      <c r="S18" s="667"/>
      <c r="T18" s="666"/>
      <c r="U18" s="667"/>
      <c r="V18" s="666"/>
      <c r="W18" s="667"/>
      <c r="X18" s="1260"/>
      <c r="Y18" s="3420"/>
      <c r="Z18" s="1259"/>
      <c r="AA18" s="1259">
        <v>1</v>
      </c>
      <c r="AB18" s="1259">
        <v>1</v>
      </c>
      <c r="AC18" s="1259">
        <v>1</v>
      </c>
    </row>
    <row r="19" spans="1:29" ht="82.8">
      <c r="A19" s="367"/>
      <c r="B19" s="390" t="s">
        <v>1811</v>
      </c>
      <c r="C19" s="1801"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20"/>
      <c r="Q19" s="1258" t="str">
        <f>B19</f>
        <v>办公集聚程度</v>
      </c>
      <c r="R19" s="666" t="s">
        <v>14</v>
      </c>
      <c r="S19" s="667">
        <f>F19</f>
        <v>100</v>
      </c>
      <c r="T19" s="666" t="s">
        <v>14</v>
      </c>
      <c r="U19" s="667">
        <f>H19</f>
        <v>100</v>
      </c>
      <c r="V19" s="666" t="s">
        <v>14</v>
      </c>
      <c r="W19" s="667">
        <f>J19</f>
        <v>100</v>
      </c>
      <c r="X19" s="1260"/>
      <c r="Y19" s="3420"/>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5"/>
      <c r="M20" s="2480"/>
      <c r="N20" s="2480"/>
      <c r="O20" s="2535"/>
      <c r="P20" s="3420"/>
      <c r="Q20" s="1258"/>
      <c r="R20" s="666"/>
      <c r="S20" s="667"/>
      <c r="T20" s="666"/>
      <c r="U20" s="667"/>
      <c r="V20" s="666"/>
      <c r="W20" s="667"/>
      <c r="X20" s="1260"/>
      <c r="Y20" s="3420"/>
      <c r="Z20" s="1259"/>
      <c r="AA20" s="1259">
        <v>1</v>
      </c>
      <c r="AB20" s="1259">
        <v>1</v>
      </c>
      <c r="AC20" s="1259">
        <v>1</v>
      </c>
    </row>
    <row r="21" spans="1:29" ht="96.6">
      <c r="A21" s="367"/>
      <c r="B21" s="390" t="s">
        <v>1833</v>
      </c>
      <c r="C21" s="174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20"/>
      <c r="Q21" s="1258" t="str">
        <f>B21</f>
        <v>交通便捷度</v>
      </c>
      <c r="R21" s="666" t="s">
        <v>14</v>
      </c>
      <c r="S21" s="667">
        <f>F21</f>
        <v>100</v>
      </c>
      <c r="T21" s="666" t="s">
        <v>14</v>
      </c>
      <c r="U21" s="667">
        <f>H21</f>
        <v>100</v>
      </c>
      <c r="V21" s="666" t="s">
        <v>14</v>
      </c>
      <c r="W21" s="667">
        <f>J21</f>
        <v>100</v>
      </c>
      <c r="X21" s="1260"/>
      <c r="Y21" s="3420"/>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5"/>
      <c r="M22" s="2480"/>
      <c r="N22" s="2480"/>
      <c r="O22" s="2535"/>
      <c r="P22" s="3420"/>
      <c r="Q22" s="1258"/>
      <c r="R22" s="666"/>
      <c r="S22" s="667"/>
      <c r="T22" s="666"/>
      <c r="U22" s="667"/>
      <c r="V22" s="666"/>
      <c r="W22" s="667"/>
      <c r="X22" s="1260"/>
      <c r="Y22" s="3420"/>
      <c r="Z22" s="1259"/>
      <c r="AA22" s="1259">
        <v>1</v>
      </c>
      <c r="AB22" s="1259">
        <v>1</v>
      </c>
      <c r="AC22" s="1259">
        <v>1</v>
      </c>
    </row>
    <row r="23" spans="1:29" ht="28.8">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20"/>
      <c r="Q23" s="1258" t="str">
        <f t="shared" ref="Q23:Q37" si="8">B23</f>
        <v>区域土地利用方向</v>
      </c>
      <c r="R23" s="666" t="s">
        <v>14</v>
      </c>
      <c r="S23" s="667">
        <f>F23</f>
        <v>100</v>
      </c>
      <c r="T23" s="666" t="s">
        <v>14</v>
      </c>
      <c r="U23" s="667">
        <f>H23</f>
        <v>100</v>
      </c>
      <c r="V23" s="666" t="s">
        <v>14</v>
      </c>
      <c r="W23" s="667">
        <f>J23</f>
        <v>100</v>
      </c>
      <c r="X23" s="1260"/>
      <c r="Y23" s="3420"/>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5"/>
      <c r="M24" s="2480"/>
      <c r="N24" s="2480"/>
      <c r="O24" s="2535"/>
      <c r="P24" s="3420"/>
      <c r="Q24" s="1258"/>
      <c r="R24" s="666"/>
      <c r="S24" s="667"/>
      <c r="T24" s="666"/>
      <c r="U24" s="667"/>
      <c r="V24" s="666"/>
      <c r="W24" s="667"/>
      <c r="X24" s="1260"/>
      <c r="Y24" s="3420"/>
      <c r="Z24" s="1259"/>
      <c r="AA24" s="1259"/>
      <c r="AB24" s="1259"/>
      <c r="AC24" s="1259"/>
    </row>
    <row r="25" spans="1:29" ht="55.2">
      <c r="A25" s="348"/>
      <c r="B25" s="586" t="s">
        <v>1872</v>
      </c>
      <c r="C25" s="1801"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20"/>
      <c r="Q25" s="1258" t="str">
        <f t="shared" si="8"/>
        <v>自然及人文环境状况</v>
      </c>
      <c r="R25" s="666" t="s">
        <v>14</v>
      </c>
      <c r="S25" s="667">
        <f>F25</f>
        <v>100</v>
      </c>
      <c r="T25" s="666" t="s">
        <v>14</v>
      </c>
      <c r="U25" s="667">
        <f>H25</f>
        <v>100</v>
      </c>
      <c r="V25" s="666" t="s">
        <v>14</v>
      </c>
      <c r="W25" s="667">
        <f>J25</f>
        <v>100</v>
      </c>
      <c r="X25" s="1260"/>
      <c r="Y25" s="3420"/>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5"/>
      <c r="M26" s="2480"/>
      <c r="N26" s="2480"/>
      <c r="O26" s="2535"/>
      <c r="P26" s="3420"/>
      <c r="Q26" s="1258"/>
      <c r="R26" s="666"/>
      <c r="S26" s="667"/>
      <c r="T26" s="666"/>
      <c r="U26" s="667"/>
      <c r="V26" s="666"/>
      <c r="W26" s="667"/>
      <c r="X26" s="1260"/>
      <c r="Y26" s="3420"/>
      <c r="Z26" s="1259"/>
      <c r="AA26" s="1259">
        <v>1</v>
      </c>
      <c r="AB26" s="1259">
        <v>1</v>
      </c>
      <c r="AC26" s="1259">
        <v>1</v>
      </c>
    </row>
    <row r="27" spans="1:29" s="102" customFormat="1" ht="41.4">
      <c r="A27" s="443"/>
      <c r="B27" s="586" t="s">
        <v>1778</v>
      </c>
      <c r="C27" s="174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3"/>
      <c r="N27" s="2433"/>
      <c r="O27" s="2533"/>
      <c r="P27" s="3420"/>
      <c r="Q27" s="530" t="str">
        <f t="shared" si="8"/>
        <v>公共配套设施</v>
      </c>
      <c r="R27" s="663" t="s">
        <v>14</v>
      </c>
      <c r="S27" s="664">
        <f>F27</f>
        <v>100</v>
      </c>
      <c r="T27" s="663" t="s">
        <v>14</v>
      </c>
      <c r="U27" s="664">
        <f>H27</f>
        <v>100</v>
      </c>
      <c r="V27" s="663" t="s">
        <v>14</v>
      </c>
      <c r="W27" s="664">
        <f>J27</f>
        <v>100</v>
      </c>
      <c r="X27" s="665"/>
      <c r="Y27" s="3420"/>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81"/>
      <c r="M28" s="2433"/>
      <c r="N28" s="2433"/>
      <c r="O28" s="2533"/>
      <c r="P28" s="3420"/>
      <c r="Q28" s="530"/>
      <c r="R28" s="663"/>
      <c r="S28" s="664"/>
      <c r="T28" s="663"/>
      <c r="U28" s="664"/>
      <c r="V28" s="663"/>
      <c r="W28" s="664"/>
      <c r="X28" s="665"/>
      <c r="Y28" s="3420"/>
      <c r="Z28" s="50"/>
      <c r="AA28" s="1259">
        <v>1</v>
      </c>
      <c r="AB28" s="1259">
        <v>1</v>
      </c>
      <c r="AC28" s="1259">
        <v>1</v>
      </c>
    </row>
    <row r="29" spans="1:29" s="102" customFormat="1" ht="41.4">
      <c r="A29" s="443"/>
      <c r="B29" s="586" t="s">
        <v>1779</v>
      </c>
      <c r="C29" s="174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420"/>
      <c r="Q29" s="530" t="str">
        <f t="shared" ref="Q29" si="9">B29</f>
        <v>基础设施水平</v>
      </c>
      <c r="R29" s="663" t="s">
        <v>14</v>
      </c>
      <c r="S29" s="664">
        <f>F29</f>
        <v>100</v>
      </c>
      <c r="T29" s="663" t="s">
        <v>14</v>
      </c>
      <c r="U29" s="664">
        <f>H29</f>
        <v>100</v>
      </c>
      <c r="V29" s="663" t="s">
        <v>14</v>
      </c>
      <c r="W29" s="664">
        <f>J29</f>
        <v>100</v>
      </c>
      <c r="X29" s="665"/>
      <c r="Y29" s="3420"/>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81"/>
      <c r="M30" s="2433"/>
      <c r="N30" s="2433"/>
      <c r="O30" s="2533"/>
      <c r="P30" s="3420"/>
      <c r="Q30" s="530"/>
      <c r="R30" s="663"/>
      <c r="S30" s="664"/>
      <c r="T30" s="663"/>
      <c r="U30" s="664"/>
      <c r="V30" s="663"/>
      <c r="W30" s="664"/>
      <c r="X30" s="665"/>
      <c r="Y30" s="3420"/>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20"/>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420"/>
      <c r="Z31" s="1259" t="str">
        <f t="shared" ref="Z31:Z45" si="13">Q31</f>
        <v>临街状况</v>
      </c>
      <c r="AA31" s="1259">
        <f t="shared" si="3"/>
        <v>1</v>
      </c>
      <c r="AB31" s="1259">
        <f t="shared" si="4"/>
        <v>1</v>
      </c>
      <c r="AC31" s="1259">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20"/>
      <c r="Q32" s="1258" t="str">
        <f t="shared" si="8"/>
        <v>毗邻道路的类型与等级</v>
      </c>
      <c r="R32" s="666" t="s">
        <v>14</v>
      </c>
      <c r="S32" s="667">
        <f t="shared" si="10"/>
        <v>100</v>
      </c>
      <c r="T32" s="666" t="s">
        <v>14</v>
      </c>
      <c r="U32" s="667">
        <f t="shared" si="11"/>
        <v>100</v>
      </c>
      <c r="V32" s="666" t="s">
        <v>14</v>
      </c>
      <c r="W32" s="667">
        <f t="shared" si="12"/>
        <v>100</v>
      </c>
      <c r="X32" s="1260"/>
      <c r="Y32" s="3420"/>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5"/>
      <c r="M33" s="2480"/>
      <c r="N33" s="2480"/>
      <c r="O33" s="2535"/>
      <c r="P33" s="3420"/>
      <c r="Q33" s="1258"/>
      <c r="R33" s="666"/>
      <c r="S33" s="667"/>
      <c r="T33" s="666"/>
      <c r="U33" s="667"/>
      <c r="V33" s="666"/>
      <c r="W33" s="667"/>
      <c r="X33" s="1260"/>
      <c r="Y33" s="3420"/>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20"/>
      <c r="Q34" s="1258" t="str">
        <f t="shared" si="8"/>
        <v>土地级别</v>
      </c>
      <c r="R34" s="666" t="s">
        <v>14</v>
      </c>
      <c r="S34" s="667">
        <f t="shared" si="10"/>
        <v>100</v>
      </c>
      <c r="T34" s="666" t="s">
        <v>14</v>
      </c>
      <c r="U34" s="667">
        <f t="shared" si="11"/>
        <v>100</v>
      </c>
      <c r="V34" s="666" t="s">
        <v>14</v>
      </c>
      <c r="W34" s="667">
        <f t="shared" si="12"/>
        <v>100</v>
      </c>
      <c r="X34" s="1260"/>
      <c r="Y34" s="3420"/>
      <c r="Z34" s="1259" t="str">
        <f t="shared" si="13"/>
        <v>土地级别</v>
      </c>
      <c r="AA34" s="1259">
        <f t="shared" si="3"/>
        <v>1</v>
      </c>
      <c r="AB34" s="1259">
        <f t="shared" si="4"/>
        <v>1</v>
      </c>
      <c r="AC34" s="1259">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20"/>
      <c r="Q35" s="1258">
        <f t="shared" si="8"/>
        <v>111</v>
      </c>
      <c r="R35" s="666" t="s">
        <v>14</v>
      </c>
      <c r="S35" s="667">
        <f t="shared" si="10"/>
        <v>100</v>
      </c>
      <c r="T35" s="666" t="s">
        <v>14</v>
      </c>
      <c r="U35" s="667">
        <f t="shared" si="11"/>
        <v>100</v>
      </c>
      <c r="V35" s="666" t="s">
        <v>14</v>
      </c>
      <c r="W35" s="667">
        <f t="shared" si="12"/>
        <v>100</v>
      </c>
      <c r="X35" s="1260"/>
      <c r="Y35" s="3420"/>
      <c r="Z35" s="1259">
        <f t="shared" si="13"/>
        <v>111</v>
      </c>
      <c r="AA35" s="1259">
        <f t="shared" si="3"/>
        <v>1</v>
      </c>
      <c r="AB35" s="1259">
        <f t="shared" si="4"/>
        <v>1</v>
      </c>
      <c r="AC35" s="1259">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43" t="s">
        <v>1696</v>
      </c>
      <c r="Q36" s="1258">
        <f t="shared" si="8"/>
        <v>111</v>
      </c>
      <c r="R36" s="666" t="s">
        <v>14</v>
      </c>
      <c r="S36" s="667">
        <f t="shared" si="10"/>
        <v>100</v>
      </c>
      <c r="T36" s="666" t="s">
        <v>14</v>
      </c>
      <c r="U36" s="667">
        <f t="shared" si="11"/>
        <v>100</v>
      </c>
      <c r="V36" s="666" t="s">
        <v>14</v>
      </c>
      <c r="W36" s="667">
        <f t="shared" si="12"/>
        <v>100</v>
      </c>
      <c r="X36" s="1260"/>
      <c r="Y36" s="3424" t="s">
        <v>1696</v>
      </c>
      <c r="Z36" s="1259">
        <f t="shared" si="13"/>
        <v>111</v>
      </c>
      <c r="AA36" s="1259">
        <f t="shared" si="3"/>
        <v>1</v>
      </c>
      <c r="AB36" s="1259">
        <f t="shared" si="4"/>
        <v>1</v>
      </c>
      <c r="AC36" s="1259">
        <f t="shared" si="5"/>
        <v>1</v>
      </c>
    </row>
    <row r="37" spans="1:29" s="408" customFormat="1" ht="15.6"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24"/>
      <c r="Q37" s="1258">
        <f t="shared" si="8"/>
        <v>111</v>
      </c>
      <c r="R37" s="668" t="s">
        <v>14</v>
      </c>
      <c r="S37" s="669">
        <f t="shared" si="10"/>
        <v>100</v>
      </c>
      <c r="T37" s="668" t="s">
        <v>14</v>
      </c>
      <c r="U37" s="669">
        <f t="shared" si="11"/>
        <v>100</v>
      </c>
      <c r="V37" s="668" t="s">
        <v>14</v>
      </c>
      <c r="W37" s="669">
        <f t="shared" si="12"/>
        <v>100</v>
      </c>
      <c r="X37" s="670"/>
      <c r="Y37" s="3424"/>
      <c r="Z37" s="671">
        <f t="shared" si="13"/>
        <v>111</v>
      </c>
      <c r="AA37" s="1259">
        <f t="shared" si="3"/>
        <v>1</v>
      </c>
      <c r="AB37" s="1259">
        <f t="shared" si="4"/>
        <v>1</v>
      </c>
      <c r="AC37" s="1259">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24"/>
      <c r="Q38" s="1258" t="str">
        <f>B38</f>
        <v>宗地面积</v>
      </c>
      <c r="R38" s="666" t="s">
        <v>14</v>
      </c>
      <c r="S38" s="667" t="e">
        <f t="shared" si="10"/>
        <v>#N/A</v>
      </c>
      <c r="T38" s="666" t="s">
        <v>14</v>
      </c>
      <c r="U38" s="667" t="e">
        <f t="shared" si="11"/>
        <v>#N/A</v>
      </c>
      <c r="V38" s="666" t="s">
        <v>14</v>
      </c>
      <c r="W38" s="667" t="e">
        <f t="shared" si="12"/>
        <v>#N/A</v>
      </c>
      <c r="X38" s="1260"/>
      <c r="Y38" s="3424"/>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5"/>
      <c r="M39" s="2480"/>
      <c r="N39" s="2480"/>
      <c r="O39" s="2535"/>
      <c r="P39" s="3424"/>
      <c r="Q39" s="1258" t="str">
        <f t="shared" ref="Q39:Q45" si="14">B39</f>
        <v>宗地形状</v>
      </c>
      <c r="R39" s="666" t="s">
        <v>14</v>
      </c>
      <c r="S39" s="667">
        <f t="shared" si="10"/>
        <v>100</v>
      </c>
      <c r="T39" s="666" t="s">
        <v>14</v>
      </c>
      <c r="U39" s="667">
        <f t="shared" si="11"/>
        <v>100</v>
      </c>
      <c r="V39" s="666" t="s">
        <v>14</v>
      </c>
      <c r="W39" s="667">
        <f t="shared" si="12"/>
        <v>100</v>
      </c>
      <c r="X39" s="1260"/>
      <c r="Y39" s="3424"/>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5"/>
      <c r="M40" s="2480"/>
      <c r="N40" s="2480"/>
      <c r="O40" s="2535"/>
      <c r="P40" s="3424"/>
      <c r="Q40" s="1258" t="str">
        <f t="shared" si="14"/>
        <v>临街宽度及深度</v>
      </c>
      <c r="R40" s="666" t="s">
        <v>14</v>
      </c>
      <c r="S40" s="667">
        <f t="shared" si="10"/>
        <v>100</v>
      </c>
      <c r="T40" s="666" t="s">
        <v>14</v>
      </c>
      <c r="U40" s="667">
        <f t="shared" si="11"/>
        <v>100</v>
      </c>
      <c r="V40" s="666" t="s">
        <v>14</v>
      </c>
      <c r="W40" s="667">
        <f t="shared" si="12"/>
        <v>100</v>
      </c>
      <c r="X40" s="1260"/>
      <c r="Y40" s="3424"/>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1"/>
      <c r="M41" s="2433"/>
      <c r="N41" s="2433"/>
      <c r="O41" s="2533"/>
      <c r="P41" s="3424"/>
      <c r="Q41" s="1258" t="str">
        <f t="shared" si="14"/>
        <v>宗地开发程度</v>
      </c>
      <c r="R41" s="663" t="s">
        <v>14</v>
      </c>
      <c r="S41" s="664">
        <f t="shared" si="10"/>
        <v>100</v>
      </c>
      <c r="T41" s="663" t="s">
        <v>14</v>
      </c>
      <c r="U41" s="664">
        <f t="shared" si="11"/>
        <v>100</v>
      </c>
      <c r="V41" s="663" t="s">
        <v>14</v>
      </c>
      <c r="W41" s="664">
        <f t="shared" si="12"/>
        <v>100</v>
      </c>
      <c r="X41" s="665"/>
      <c r="Y41" s="3424"/>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5"/>
      <c r="M42" s="2480"/>
      <c r="N42" s="2480"/>
      <c r="O42" s="2535"/>
      <c r="P42" s="3424" t="s">
        <v>1696</v>
      </c>
      <c r="Q42" s="1258" t="str">
        <f t="shared" si="14"/>
        <v>工程地质条件</v>
      </c>
      <c r="R42" s="666" t="s">
        <v>14</v>
      </c>
      <c r="S42" s="667">
        <f t="shared" si="10"/>
        <v>100</v>
      </c>
      <c r="T42" s="666" t="s">
        <v>14</v>
      </c>
      <c r="U42" s="667">
        <f t="shared" si="11"/>
        <v>100</v>
      </c>
      <c r="V42" s="666" t="s">
        <v>14</v>
      </c>
      <c r="W42" s="667">
        <f t="shared" si="12"/>
        <v>100</v>
      </c>
      <c r="X42" s="1260"/>
      <c r="Y42" s="3424" t="s">
        <v>1696</v>
      </c>
      <c r="Z42" s="1259" t="str">
        <f t="shared" si="13"/>
        <v>工程地质条件</v>
      </c>
      <c r="AA42" s="1259">
        <f t="shared" si="3"/>
        <v>1</v>
      </c>
      <c r="AB42" s="1259">
        <f t="shared" si="4"/>
        <v>1</v>
      </c>
      <c r="AC42" s="1259">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24"/>
      <c r="Q43" s="1258">
        <f t="shared" si="14"/>
        <v>111</v>
      </c>
      <c r="R43" s="666" t="s">
        <v>14</v>
      </c>
      <c r="S43" s="667">
        <f t="shared" si="10"/>
        <v>100</v>
      </c>
      <c r="T43" s="666" t="s">
        <v>14</v>
      </c>
      <c r="U43" s="667">
        <f t="shared" si="11"/>
        <v>100</v>
      </c>
      <c r="V43" s="666" t="s">
        <v>14</v>
      </c>
      <c r="W43" s="667">
        <f t="shared" si="12"/>
        <v>100</v>
      </c>
      <c r="X43" s="1260"/>
      <c r="Y43" s="3424"/>
      <c r="Z43" s="1259">
        <f t="shared" si="13"/>
        <v>111</v>
      </c>
      <c r="AA43" s="1259">
        <f t="shared" si="3"/>
        <v>1</v>
      </c>
      <c r="AB43" s="1259">
        <f t="shared" si="4"/>
        <v>1</v>
      </c>
      <c r="AC43" s="1259">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24"/>
      <c r="Q44" s="1258">
        <f t="shared" si="14"/>
        <v>111</v>
      </c>
      <c r="R44" s="666" t="s">
        <v>14</v>
      </c>
      <c r="S44" s="667">
        <f t="shared" si="10"/>
        <v>100</v>
      </c>
      <c r="T44" s="666" t="s">
        <v>14</v>
      </c>
      <c r="U44" s="667">
        <f t="shared" si="11"/>
        <v>100</v>
      </c>
      <c r="V44" s="666" t="s">
        <v>14</v>
      </c>
      <c r="W44" s="667">
        <f t="shared" si="12"/>
        <v>100</v>
      </c>
      <c r="X44" s="1260"/>
      <c r="Y44" s="3424"/>
      <c r="Z44" s="1259">
        <f t="shared" si="13"/>
        <v>111</v>
      </c>
      <c r="AA44" s="1259">
        <f t="shared" si="3"/>
        <v>1</v>
      </c>
      <c r="AB44" s="1259">
        <f t="shared" si="4"/>
        <v>1</v>
      </c>
      <c r="AC44" s="1259">
        <f t="shared" si="5"/>
        <v>1</v>
      </c>
    </row>
    <row r="45" spans="1:29" s="408" customFormat="1" ht="15.6" thickBot="1">
      <c r="A45" s="406"/>
      <c r="B45" s="1064">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24"/>
      <c r="Q45" s="1258">
        <f t="shared" si="14"/>
        <v>111</v>
      </c>
      <c r="R45" s="668" t="s">
        <v>14</v>
      </c>
      <c r="S45" s="669">
        <f t="shared" si="10"/>
        <v>100</v>
      </c>
      <c r="T45" s="668" t="s">
        <v>14</v>
      </c>
      <c r="U45" s="669">
        <f t="shared" si="11"/>
        <v>100</v>
      </c>
      <c r="V45" s="668" t="s">
        <v>14</v>
      </c>
      <c r="W45" s="669">
        <f t="shared" si="12"/>
        <v>100</v>
      </c>
      <c r="X45" s="670"/>
      <c r="Y45" s="3424"/>
      <c r="Z45" s="671">
        <f t="shared" si="13"/>
        <v>111</v>
      </c>
      <c r="AA45" s="1259">
        <f t="shared" si="3"/>
        <v>1</v>
      </c>
      <c r="AB45" s="1259">
        <f t="shared" si="4"/>
        <v>1</v>
      </c>
      <c r="AC45" s="1259">
        <f t="shared" si="5"/>
        <v>1</v>
      </c>
    </row>
    <row r="46" spans="1:29" ht="14.4">
      <c r="A46" s="416" t="s">
        <v>1844</v>
      </c>
      <c r="B46" s="1825" t="s">
        <v>1879</v>
      </c>
      <c r="C46" s="602" t="s">
        <v>0</v>
      </c>
      <c r="D46" s="418"/>
      <c r="E46" s="419"/>
      <c r="F46" s="420"/>
      <c r="G46" s="421"/>
      <c r="H46" s="422"/>
      <c r="I46" s="419"/>
      <c r="J46" s="422"/>
      <c r="K46" s="673"/>
      <c r="L46" s="2487"/>
      <c r="M46" s="2480"/>
      <c r="N46" s="2480"/>
      <c r="O46" s="2480"/>
      <c r="P46" s="3418" t="str">
        <f>A46</f>
        <v>成交单价</v>
      </c>
      <c r="Q46" s="3418"/>
      <c r="R46" s="3413">
        <f>E46</f>
        <v>0</v>
      </c>
      <c r="S46" s="3413"/>
      <c r="T46" s="3413">
        <f>G46</f>
        <v>0</v>
      </c>
      <c r="U46" s="3413"/>
      <c r="V46" s="3413">
        <f>I46</f>
        <v>0</v>
      </c>
      <c r="W46" s="3413"/>
      <c r="X46" s="385"/>
      <c r="Y46" s="672"/>
      <c r="Z46" s="385"/>
      <c r="AA46" s="385"/>
      <c r="AB46" s="385"/>
      <c r="AC46" s="385"/>
    </row>
    <row r="47" spans="1:29" ht="15" thickBot="1">
      <c r="A47" s="423" t="s">
        <v>1793</v>
      </c>
      <c r="B47" s="603"/>
      <c r="C47" s="426" t="e">
        <f>R48</f>
        <v>#DIV/0!</v>
      </c>
      <c r="D47" s="2136" t="s">
        <v>2133</v>
      </c>
      <c r="E47" s="426" t="e">
        <f>R47</f>
        <v>#DIV/0!</v>
      </c>
      <c r="F47" s="2137"/>
      <c r="G47" s="425" t="e">
        <f>T47</f>
        <v>#DIV/0!</v>
      </c>
      <c r="H47" s="2137"/>
      <c r="I47" s="426" t="e">
        <f>V47</f>
        <v>#DIV/0!</v>
      </c>
      <c r="J47" s="2137"/>
      <c r="K47" s="2139">
        <f>F47+H47+J47</f>
        <v>0</v>
      </c>
      <c r="L47" s="2487"/>
      <c r="M47" s="2480"/>
      <c r="N47" s="2480"/>
      <c r="O47" s="2480"/>
      <c r="P47" s="3418" t="str">
        <f>A47</f>
        <v>比较价值（元/平方米）</v>
      </c>
      <c r="Q47" s="3418"/>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87"/>
      <c r="M48" s="2480"/>
      <c r="N48" s="2480"/>
      <c r="O48" s="2480"/>
      <c r="P48" s="3415" t="str">
        <f>A48</f>
        <v>估价对象XX用房的比较价值（楼面单价，元/平方米）</v>
      </c>
      <c r="Q48" s="3416"/>
      <c r="R48" s="3445" t="e">
        <f>ROUND(IF(D47="简单平均",AVERAGE(R47:W47),R47*F47+T47*H47+V47*J47),0)</f>
        <v>#DIV/0!</v>
      </c>
      <c r="S48" s="3445"/>
      <c r="T48" s="3445"/>
      <c r="U48" s="3445"/>
      <c r="V48" s="3445"/>
      <c r="W48" s="3445"/>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6" t="s">
        <v>1883</v>
      </c>
      <c r="D55" s="1827" t="s">
        <v>1884</v>
      </c>
      <c r="E55" s="606" t="s">
        <v>1885</v>
      </c>
      <c r="F55" s="836" t="s">
        <v>1886</v>
      </c>
      <c r="G55" s="3401" t="s">
        <v>1887</v>
      </c>
      <c r="H55" s="3447"/>
      <c r="I55" s="127" t="s">
        <v>1888</v>
      </c>
      <c r="J55" s="1828" t="str">
        <f>项目基本情况!F35</f>
        <v>天津市</v>
      </c>
      <c r="K55" s="1829"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8">
        <v>1</v>
      </c>
      <c r="E56" s="610">
        <f>'数据-汇总表'!E8+'数据-汇总表'!E9</f>
        <v>121.97</v>
      </c>
      <c r="F56" s="832" t="e">
        <f t="shared" ref="F56:F64" si="15">ROUND(B56*E56/10000,0)</f>
        <v>#DIV/0!</v>
      </c>
      <c r="G56" s="3400"/>
      <c r="H56" s="3418"/>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v>
      </c>
      <c r="D57" s="889">
        <v>0.25</v>
      </c>
      <c r="E57" s="614"/>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v>
      </c>
      <c r="D58" s="889">
        <v>0.25</v>
      </c>
      <c r="E58" s="614"/>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v>
      </c>
      <c r="D59" s="889">
        <v>0.25</v>
      </c>
      <c r="E59" s="614"/>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v>
      </c>
      <c r="D60" s="889">
        <v>0.25</v>
      </c>
      <c r="E60" s="209">
        <f>'数据-汇总表'!E11</f>
        <v>0</v>
      </c>
      <c r="F60" s="832" t="e">
        <f t="shared" si="15"/>
        <v>#DIV/0!</v>
      </c>
      <c r="G60" s="1830"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v>
      </c>
      <c r="D61" s="889">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9">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v>
      </c>
      <c r="D63" s="889">
        <v>0.25</v>
      </c>
      <c r="E63" s="209">
        <f>'数据-汇总表'!E14</f>
        <v>0</v>
      </c>
      <c r="F63" s="832" t="e">
        <f t="shared" si="15"/>
        <v>#DIV/0!</v>
      </c>
      <c r="G63" s="1830"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1902</v>
      </c>
      <c r="B64" s="210" t="e">
        <f t="shared" si="17"/>
        <v>#DIV/0!</v>
      </c>
      <c r="C64" s="163">
        <f t="shared" si="16"/>
        <v>0</v>
      </c>
      <c r="D64" s="889">
        <v>0.25</v>
      </c>
      <c r="E64" s="209">
        <f>'数据-汇总表'!E15</f>
        <v>0</v>
      </c>
      <c r="F64" s="832" t="e">
        <f t="shared" si="15"/>
        <v>#DIV/0!</v>
      </c>
      <c r="G64" s="1831"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1903</v>
      </c>
      <c r="B65" s="616" t="s">
        <v>22</v>
      </c>
      <c r="C65" s="616" t="s">
        <v>23</v>
      </c>
      <c r="D65" s="616" t="s">
        <v>392</v>
      </c>
      <c r="E65" s="616">
        <f>IF(B46="楼面地价",SUM(E56:E64),'数据-汇总表'!D3)</f>
        <v>121.97</v>
      </c>
      <c r="F65" s="617"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59"/>
      <c r="K66" s="834"/>
      <c r="L66" s="835"/>
      <c r="M66" s="859"/>
      <c r="N66" s="859"/>
      <c r="O66" s="859"/>
      <c r="P66" s="2480"/>
      <c r="Q66" s="2480"/>
      <c r="R66" s="2480"/>
      <c r="S66" s="2480"/>
      <c r="T66" s="2480"/>
      <c r="U66" s="2480"/>
      <c r="V66" s="2480"/>
      <c r="W66" s="2480"/>
      <c r="X66" s="2480"/>
      <c r="Y66" s="2480"/>
      <c r="Z66" s="2480"/>
      <c r="AA66" s="2480"/>
      <c r="AB66" s="2480"/>
      <c r="AC66" s="2480"/>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0"/>
      <c r="Q67" s="2480"/>
      <c r="R67" s="2480"/>
      <c r="S67" s="2480"/>
      <c r="T67" s="2480"/>
      <c r="U67" s="2480"/>
      <c r="V67" s="2480"/>
      <c r="W67" s="2480"/>
      <c r="X67" s="2480"/>
      <c r="Y67" s="2480"/>
      <c r="Z67" s="2480"/>
      <c r="AA67" s="2480"/>
      <c r="AB67" s="2480"/>
      <c r="AC67" s="2480"/>
    </row>
    <row r="68" spans="1:29" ht="22.2" thickBot="1">
      <c r="A68" s="657" t="s">
        <v>1798</v>
      </c>
      <c r="B68" s="385"/>
      <c r="C68" s="658"/>
      <c r="D68" s="658"/>
      <c r="E68" s="658"/>
      <c r="F68" s="659"/>
      <c r="G68" s="659"/>
      <c r="H68" s="658"/>
      <c r="I68" s="658"/>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5" t="s">
        <v>1904</v>
      </c>
      <c r="B69" s="1043"/>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3"/>
      <c r="Q69" s="2503"/>
      <c r="R69" s="2503"/>
      <c r="S69" s="2503"/>
      <c r="T69" s="2503"/>
      <c r="U69" s="2503"/>
      <c r="V69" s="2503"/>
      <c r="W69" s="2503"/>
      <c r="X69" s="2503"/>
      <c r="Y69" s="2503"/>
      <c r="Z69" s="2503"/>
      <c r="AA69" s="2503"/>
      <c r="AB69" s="2503"/>
      <c r="AC69" s="2503"/>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1"/>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2"/>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2"/>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G5" sqref="G5"/>
    </sheetView>
  </sheetViews>
  <sheetFormatPr defaultColWidth="12" defaultRowHeight="13.2"/>
  <cols>
    <col min="1" max="1" width="9.77734375" style="1890" customWidth="1"/>
    <col min="2" max="2" width="22.44140625" style="1978" customWidth="1"/>
    <col min="3" max="3" width="12" style="1840"/>
    <col min="4" max="4" width="14.88671875" style="1840" customWidth="1"/>
    <col min="5" max="5" width="14.6640625" style="1840" customWidth="1"/>
    <col min="6" max="8" width="12" style="1840"/>
    <col min="9" max="9" width="12.21875" style="1840" bestFit="1" customWidth="1"/>
    <col min="10" max="10" width="12" style="1840"/>
    <col min="11" max="11" width="8.109375" style="1886" customWidth="1"/>
    <col min="12" max="12" width="19.44140625" style="1840" customWidth="1"/>
    <col min="13" max="13" width="8.44140625" style="1840" customWidth="1"/>
    <col min="14" max="14" width="9.77734375" style="1840" customWidth="1"/>
    <col min="15" max="25" width="12" style="1840"/>
    <col min="26" max="26" width="9.33203125" style="1890" customWidth="1"/>
    <col min="27" max="32" width="9.33203125" style="1055" customWidth="1"/>
    <col min="33" max="36" width="9.33203125" style="1890" customWidth="1"/>
    <col min="37" max="38" width="9.33203125" style="1840" customWidth="1"/>
    <col min="39" max="16384" width="12" style="1840"/>
  </cols>
  <sheetData>
    <row r="1" spans="1:36" ht="31.2">
      <c r="A1" s="188" t="s">
        <v>1926</v>
      </c>
      <c r="B1" s="189"/>
      <c r="C1" s="193" t="s">
        <v>1927</v>
      </c>
      <c r="D1" s="333">
        <f>SUM(D33:D34,D37:D42)</f>
        <v>0</v>
      </c>
      <c r="E1" s="1837"/>
      <c r="F1" s="1837"/>
      <c r="G1" s="1837"/>
      <c r="H1" s="1837"/>
      <c r="I1" s="1837"/>
      <c r="J1" s="1837"/>
      <c r="K1" s="1053"/>
      <c r="L1" s="1838" t="s">
        <v>1928</v>
      </c>
      <c r="M1" s="809">
        <f>SUMPRODUCT((区片价!B5:B9=I2)*(区片价!C3:G3=E2)*(区片价!C5:G9))</f>
        <v>0</v>
      </c>
      <c r="N1" s="812">
        <f>SUMPRODUCT((因素修正幅度!B5:B9=I2)*(因素修正幅度!C3:G3=E2)*(因素修正幅度!C5:G9))</f>
        <v>0</v>
      </c>
      <c r="O1" s="1839"/>
      <c r="P1" s="1839"/>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t="e">
        <f>C30</f>
        <v>#DIV/0!</v>
      </c>
      <c r="C2" s="1841" t="s">
        <v>1935</v>
      </c>
      <c r="D2" s="162" t="s">
        <v>1936</v>
      </c>
      <c r="E2" s="3113" t="s">
        <v>3558</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7"/>
      <c r="K2" s="1053"/>
      <c r="L2" s="1842" t="s">
        <v>1939</v>
      </c>
      <c r="M2" s="810">
        <f>SUMPRODUCT((区片价!B10:B29=I2)*(区片价!C3:G3=E2)*(区片价!C10:G29))</f>
        <v>0</v>
      </c>
      <c r="N2" s="812">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6">
      <c r="A3" s="195" t="s">
        <v>1940</v>
      </c>
      <c r="B3" s="196" t="e">
        <f>ROUND(B2*10000/D1,0)</f>
        <v>#DIV/0!</v>
      </c>
      <c r="C3" s="1841" t="s">
        <v>1941</v>
      </c>
      <c r="D3" s="162" t="s">
        <v>1942</v>
      </c>
      <c r="E3" s="3111" t="s">
        <v>3566</v>
      </c>
      <c r="F3" s="1843" t="s">
        <v>3567</v>
      </c>
      <c r="G3" s="707">
        <f>IF(F3="宗地容积率",'数据-汇总表'!I4,IF(F3="估价对象容积率",'数据-汇总表'!I6,'数据-汇总表'!I7))</f>
        <v>0</v>
      </c>
      <c r="H3" s="162" t="s">
        <v>1943</v>
      </c>
      <c r="I3" s="728"/>
      <c r="J3" s="1837" t="s">
        <v>1944</v>
      </c>
      <c r="K3" s="1053"/>
      <c r="L3" s="1842" t="s">
        <v>1945</v>
      </c>
      <c r="M3" s="810">
        <f>SUMPRODUCT((区片价!B30:B54=I2)*(区片价!C3:G3=E2)*(区片价!C30:G54))</f>
        <v>0</v>
      </c>
      <c r="N3" s="812">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6">
      <c r="A4" s="3465"/>
      <c r="B4" s="3466"/>
      <c r="C4" s="3466"/>
      <c r="D4" s="3467"/>
      <c r="E4" s="3467"/>
      <c r="F4" s="3467"/>
      <c r="G4" s="3467"/>
      <c r="H4" s="3467"/>
      <c r="I4" s="3467"/>
      <c r="J4" s="3468"/>
      <c r="K4" s="1053"/>
      <c r="L4" s="1842" t="s">
        <v>1946</v>
      </c>
      <c r="M4" s="810">
        <f>SUMPRODUCT((区片价!B55:B86=I2)*(区片价!C3:G3=E2)*(区片价!C55:G86))</f>
        <v>0</v>
      </c>
      <c r="N4" s="812">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3" customFormat="1" ht="15.6" thickBot="1">
      <c r="A5" s="1844" t="s">
        <v>362</v>
      </c>
      <c r="B5" s="1845" t="s">
        <v>1947</v>
      </c>
      <c r="C5" s="708" t="e">
        <f>ROUND(IF(E2="商业",C6*C7*C17+C20,(IF(E2="住宅",C6*C13*C17+C20,IF(E2="办公",C6*C12*C17+C20,C6+C20)))),0)</f>
        <v>#DIV/0!</v>
      </c>
      <c r="D5" s="1247" t="e">
        <f>ROUND(C6*C17+C20,0)</f>
        <v>#DIV/0!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0"/>
      <c r="AD5" s="1851"/>
      <c r="AE5" s="1851"/>
      <c r="AF5" s="1851"/>
      <c r="AG5" s="1851"/>
      <c r="AH5" s="1851"/>
      <c r="AI5" s="1851"/>
      <c r="AJ5" s="1852"/>
    </row>
    <row r="6" spans="1:36" ht="15.6" thickBot="1">
      <c r="A6" s="1854" t="s">
        <v>1949</v>
      </c>
      <c r="B6" s="1855" t="s">
        <v>1950</v>
      </c>
      <c r="C6" s="709">
        <f>SUMIF(L1:L12,G2,M1:M12)</f>
        <v>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0"/>
      <c r="AD6" s="1851"/>
      <c r="AE6" s="1851"/>
      <c r="AF6" s="1851"/>
      <c r="AG6" s="1851"/>
      <c r="AH6" s="1851"/>
      <c r="AI6" s="1851"/>
      <c r="AJ6" s="1852"/>
    </row>
    <row r="7" spans="1:36" ht="24.6" thickBot="1">
      <c r="A7" s="3005" t="s">
        <v>3234</v>
      </c>
      <c r="B7" s="1860" t="s">
        <v>1952</v>
      </c>
      <c r="C7" s="710" t="e">
        <f>IF(C8="不临65条商业街",1,ROUND(1+(1.6*E8+1.2*E9+0.8*E10+0.4*E11)*C9,4))</f>
        <v>#DIV/0!</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3"/>
      <c r="P7" s="1053"/>
      <c r="Q7" s="1053"/>
      <c r="R7" s="1126">
        <v>6</v>
      </c>
      <c r="S7" s="3110"/>
      <c r="T7" s="3056" t="e">
        <f t="shared" si="0"/>
        <v>#DIV/0!</v>
      </c>
      <c r="U7" s="1127"/>
      <c r="V7" s="3056" t="e">
        <f t="shared" si="1"/>
        <v>#DIV/0!</v>
      </c>
      <c r="W7" s="1262" t="s">
        <v>1955</v>
      </c>
      <c r="X7" s="1128">
        <f>G2</f>
        <v>0</v>
      </c>
      <c r="Y7" s="1128" t="s">
        <v>1956</v>
      </c>
      <c r="Z7" s="1129">
        <f>G3</f>
        <v>0</v>
      </c>
      <c r="AA7" s="1130"/>
      <c r="AB7" s="1130"/>
      <c r="AC7" s="1131"/>
      <c r="AD7" s="1132"/>
      <c r="AE7" s="1132"/>
      <c r="AF7" s="1132"/>
      <c r="AG7" s="1132"/>
      <c r="AH7" s="1132"/>
      <c r="AI7" s="1132"/>
      <c r="AJ7" s="1133"/>
    </row>
    <row r="8" spans="1:36" ht="15">
      <c r="A8" s="3002"/>
      <c r="B8" s="162" t="s">
        <v>1957</v>
      </c>
      <c r="C8" s="1865"/>
      <c r="D8" s="711" t="s">
        <v>112</v>
      </c>
      <c r="E8" s="712" t="e">
        <f>ROUND(C11/E7,4)</f>
        <v>#DIV/0!</v>
      </c>
      <c r="F8" s="1866" t="s">
        <v>1958</v>
      </c>
      <c r="G8" s="1867"/>
      <c r="H8" s="1867"/>
      <c r="I8" s="1867"/>
      <c r="J8" s="1868"/>
      <c r="K8" s="1053"/>
      <c r="L8" s="1842" t="s">
        <v>1959</v>
      </c>
      <c r="M8" s="810">
        <f>SUMPRODUCT((区片价!B234:B276=I2)*(区片价!C3:G3=E2)*(区片价!C234:G276))</f>
        <v>0</v>
      </c>
      <c r="N8" s="812">
        <f>SUMPRODUCT((因素修正幅度!B234:B276=I2)*(因素修正幅度!C3:G3=E2)*(因素修正幅度!C234:G276))</f>
        <v>0</v>
      </c>
      <c r="O8" s="1053"/>
      <c r="P8" s="1053"/>
      <c r="Q8" s="1053"/>
      <c r="R8" s="1126">
        <v>7</v>
      </c>
      <c r="S8" s="1127"/>
      <c r="T8" s="3056" t="e">
        <f t="shared" si="0"/>
        <v>#DIV/0!</v>
      </c>
      <c r="U8" s="1127"/>
      <c r="V8" s="3056" t="e">
        <f t="shared" si="1"/>
        <v>#DIV/0!</v>
      </c>
      <c r="W8" s="3462" t="s">
        <v>1960</v>
      </c>
      <c r="X8" s="346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2" t="s">
        <v>1973</v>
      </c>
      <c r="C9" s="713">
        <f>SUMIF(修正!C71:C138,C8,修正!E71:E138)</f>
        <v>0</v>
      </c>
      <c r="D9" s="163" t="s">
        <v>113</v>
      </c>
      <c r="E9" s="163" t="e">
        <f>ROUND(C11/E7,4)</f>
        <v>#DIV/0!</v>
      </c>
      <c r="F9" s="1866" t="s">
        <v>1974</v>
      </c>
      <c r="G9" s="1867"/>
      <c r="H9" s="1867"/>
      <c r="I9" s="1867"/>
      <c r="J9" s="1868"/>
      <c r="K9" s="1053"/>
      <c r="L9" s="1842" t="s">
        <v>1975</v>
      </c>
      <c r="M9" s="810">
        <f>SUMPRODUCT((区片价!B277:B326=I2)*(区片价!C3:G3=E2)*(区片价!C277:G326))</f>
        <v>0</v>
      </c>
      <c r="N9" s="812">
        <f>SUMPRODUCT((因素修正幅度!B277:B326=I2)*(因素修正幅度!C3:G3=E2)*(因素修正幅度!C277:G326))</f>
        <v>0</v>
      </c>
      <c r="O9" s="1053"/>
      <c r="P9" s="1053"/>
      <c r="Q9" s="1053"/>
      <c r="R9" s="1126">
        <v>8</v>
      </c>
      <c r="S9" s="1127"/>
      <c r="T9" s="3056" t="e">
        <f t="shared" si="0"/>
        <v>#DIV/0!</v>
      </c>
      <c r="U9" s="1127"/>
      <c r="V9" s="3056" t="e">
        <f t="shared" si="1"/>
        <v>#DIV/0!</v>
      </c>
      <c r="W9" s="3464"/>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6" t="s">
        <v>1977</v>
      </c>
      <c r="G10" s="1867"/>
      <c r="H10" s="1867"/>
      <c r="I10" s="1867"/>
      <c r="J10" s="1868"/>
      <c r="K10" s="1053"/>
      <c r="L10" s="1842" t="s">
        <v>1978</v>
      </c>
      <c r="M10" s="810">
        <f>SUMPRODUCT((区片价!B327:B357=I2)*(区片价!C3:G3=E2)*(区片价!C327:G357))</f>
        <v>0</v>
      </c>
      <c r="N10" s="812">
        <f>SUMPRODUCT((因素修正幅度!B327:B357=I2)*(因素修正幅度!C3:G3=E2)*(因素修正幅度!C327:G357))</f>
        <v>0</v>
      </c>
      <c r="O10" s="1053"/>
      <c r="P10" s="1053"/>
      <c r="Q10" s="1053"/>
      <c r="R10" s="1126">
        <v>9</v>
      </c>
      <c r="S10" s="1127"/>
      <c r="T10" s="3056" t="e">
        <f t="shared" si="0"/>
        <v>#DIV/0!</v>
      </c>
      <c r="U10" s="1127"/>
      <c r="V10" s="3056" t="e">
        <f t="shared" si="1"/>
        <v>#DIV/0!</v>
      </c>
      <c r="W10" s="3464"/>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9" t="s">
        <v>1979</v>
      </c>
      <c r="C11" s="714">
        <f>C10/4</f>
        <v>0</v>
      </c>
      <c r="D11" s="714" t="s">
        <v>115</v>
      </c>
      <c r="E11" s="714" t="e">
        <f>ROUND(C11/E7,4)</f>
        <v>#DIV/0!</v>
      </c>
      <c r="F11" s="1870" t="s">
        <v>1980</v>
      </c>
      <c r="G11" s="1871"/>
      <c r="H11" s="1871"/>
      <c r="I11" s="1871"/>
      <c r="J11" s="1872"/>
      <c r="K11" s="1053"/>
      <c r="L11" s="1842" t="s">
        <v>1981</v>
      </c>
      <c r="M11" s="810">
        <f>SUMPRODUCT((区片价!B358:B377=I2)*(区片价!C3:G3=E2)*(区片价!C358:G377))</f>
        <v>0</v>
      </c>
      <c r="N11" s="812">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8" thickBot="1">
      <c r="A12" s="3005" t="s">
        <v>3235</v>
      </c>
      <c r="B12" s="3006" t="s">
        <v>3236</v>
      </c>
      <c r="C12" s="3007"/>
      <c r="D12" s="3008" t="s">
        <v>3237</v>
      </c>
      <c r="E12" s="3009" t="s">
        <v>3238</v>
      </c>
      <c r="F12" s="3010"/>
      <c r="G12" s="3011"/>
      <c r="H12" s="3011"/>
      <c r="I12" s="3011"/>
      <c r="J12" s="3012"/>
      <c r="K12" s="1053"/>
      <c r="L12" s="1791" t="s">
        <v>1984</v>
      </c>
      <c r="M12" s="811">
        <f>SUMPRODUCT((区片价!B378:B384=I2)*(区片价!C3:G3=E2)*(区片价!C378:G384))</f>
        <v>0</v>
      </c>
      <c r="N12" s="812">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24.6" thickBot="1">
      <c r="A13" s="3005" t="s">
        <v>3239</v>
      </c>
      <c r="B13" s="1873" t="s">
        <v>1982</v>
      </c>
      <c r="C13" s="710">
        <f>ROUND(C16*D16*E16*F16*G16*H16*I16*J16,4)</f>
        <v>0</v>
      </c>
      <c r="D13" s="1874" t="s">
        <v>1983</v>
      </c>
      <c r="E13" s="1875"/>
      <c r="F13" s="1875"/>
      <c r="G13" s="1876"/>
      <c r="H13" s="1876"/>
      <c r="I13" s="1876"/>
      <c r="J13" s="1877"/>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24">
      <c r="A14" s="3001"/>
      <c r="B14" s="1878" t="s">
        <v>1985</v>
      </c>
      <c r="C14" s="1879" t="s">
        <v>1986</v>
      </c>
      <c r="D14" s="1256"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0"/>
      <c r="C15" s="1881"/>
      <c r="D15" s="1882"/>
      <c r="E15" s="1883"/>
      <c r="F15" s="1465" t="s">
        <v>3241</v>
      </c>
      <c r="G15" s="1923"/>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3"/>
      <c r="L16" s="1839"/>
      <c r="M16" s="1839"/>
      <c r="N16" s="1839"/>
      <c r="O16" s="1839"/>
      <c r="P16" s="1839"/>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ht="24">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3.8">
      <c r="A18" s="3031"/>
      <c r="B18" s="2303"/>
      <c r="C18" s="3027"/>
      <c r="D18" s="3022" t="s">
        <v>3245</v>
      </c>
      <c r="E18" s="2350"/>
      <c r="F18" s="3023" t="s">
        <v>3248</v>
      </c>
      <c r="G18" s="3027">
        <f>ROUND(1-(1/(POWER(1+G24,E18))),4)</f>
        <v>0</v>
      </c>
      <c r="H18" s="3023" t="s">
        <v>3250</v>
      </c>
      <c r="I18" s="3027">
        <f>ROUND(1-(1/(POWER(1+G24,J24))),4)</f>
        <v>0.96709999999999996</v>
      </c>
      <c r="J18" s="3032"/>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5"/>
    </row>
    <row r="19" spans="1:37" s="1853" customFormat="1" ht="14.4" thickBot="1">
      <c r="A19" s="3033"/>
      <c r="B19" s="3034"/>
      <c r="C19" s="3035"/>
      <c r="D19" s="3035" t="s">
        <v>3246</v>
      </c>
      <c r="E19" s="3036"/>
      <c r="F19" s="3037" t="s">
        <v>3249</v>
      </c>
      <c r="G19" s="3036"/>
      <c r="H19" s="3035"/>
      <c r="I19" s="3035"/>
      <c r="J19" s="3038"/>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48"/>
      <c r="AH19" s="1975"/>
      <c r="AI19" s="561"/>
      <c r="AJ19" s="561"/>
      <c r="AK19" s="1894"/>
    </row>
    <row r="20" spans="1:37" s="1853" customFormat="1" ht="13.8">
      <c r="A20" s="3469" t="s">
        <v>3251</v>
      </c>
      <c r="B20" s="159" t="s">
        <v>1994</v>
      </c>
      <c r="C20" s="3024" t="e">
        <f>ROUND(IF(F21="与级别开发程度一致",0,(G21-E21)/C21),0)</f>
        <v>#DIV/0!</v>
      </c>
      <c r="D20" s="3039" t="s">
        <v>1998</v>
      </c>
      <c r="E20" s="3040"/>
      <c r="F20" s="3475" t="s">
        <v>1995</v>
      </c>
      <c r="G20" s="3476"/>
      <c r="H20" s="3025"/>
      <c r="I20" s="3025"/>
      <c r="J20" s="3026"/>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3" customFormat="1" ht="14.4" thickBot="1">
      <c r="A21" s="3470"/>
      <c r="B21" s="1997" t="s">
        <v>1997</v>
      </c>
      <c r="C21" s="1998">
        <f>IF(E3="M4科研用地",SUMPRODUCT((修正!A2:A7=E3)*(修正!B1:M1=G2)*(修正!B2:M7)),SUMPRODUCT((修正!A2:A7=E2)*(修正!B1:M1=G2)*(修正!B2:M7)))</f>
        <v>0</v>
      </c>
      <c r="D21" s="179"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3" customFormat="1" ht="15" thickBot="1">
      <c r="A22" s="1991" t="s">
        <v>363</v>
      </c>
      <c r="B22" s="1992" t="s">
        <v>2000</v>
      </c>
      <c r="C22" s="1993">
        <f>SUMIF(修正!C20:C51,E3,修正!E20:E51)</f>
        <v>1</v>
      </c>
      <c r="D22" s="1994"/>
      <c r="E22" s="1995"/>
      <c r="F22" s="1995"/>
      <c r="G22" s="1995"/>
      <c r="H22" s="1995"/>
      <c r="I22" s="1995"/>
      <c r="J22" s="1996"/>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7" thickBot="1">
      <c r="A23" s="1887" t="s">
        <v>364</v>
      </c>
      <c r="B23" s="1888"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1" t="s">
        <v>2002</v>
      </c>
      <c r="E23" s="716">
        <v>44197</v>
      </c>
      <c r="F23" s="1891" t="s">
        <v>2003</v>
      </c>
      <c r="G23" s="717">
        <f>'数据-取费表'!B2</f>
        <v>45555</v>
      </c>
      <c r="H23" s="3041" t="s">
        <v>3253</v>
      </c>
      <c r="I23" s="3042" t="str">
        <f>IF(H23="季度增幅（自定义）",SUMIF(N25:N28,E2,O25:O28),"")</f>
        <v/>
      </c>
      <c r="J23" s="3134" t="s">
        <v>3252</v>
      </c>
      <c r="K23" s="1058"/>
      <c r="L23" s="1892" t="s">
        <v>2004</v>
      </c>
      <c r="M23" s="1237">
        <f>ROUND(SUMIF(地价!B2:G2,E2,地价!B16:G16),0)</f>
        <v>687</v>
      </c>
      <c r="N23" s="1893" t="s">
        <v>2005</v>
      </c>
      <c r="O23" s="718">
        <f>ROUNDDOWN(DATEDIF(E23,G23,"M")/3,0)</f>
        <v>14</v>
      </c>
      <c r="P23" s="1054"/>
      <c r="Q23" s="2545"/>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6" thickBot="1">
      <c r="A24" s="1895" t="s">
        <v>365</v>
      </c>
      <c r="B24" s="1896" t="s">
        <v>2006</v>
      </c>
      <c r="C24" s="719">
        <f>ROUND(POWER(1+G24,J24-I24)*(POWER(1+G24,I24)-1)/(POWER(1+G24,J24)-1),4)</f>
        <v>0.96579999999999999</v>
      </c>
      <c r="D24" s="1897" t="s">
        <v>2007</v>
      </c>
      <c r="E24" s="1244">
        <f>存贷款利率!E26/100</f>
        <v>4.3499999999999997E-2</v>
      </c>
      <c r="F24" s="1897" t="s">
        <v>1999</v>
      </c>
      <c r="G24" s="723">
        <f>SUMIF(M30:Q30,E2,M33:Q33)</f>
        <v>0.05</v>
      </c>
      <c r="H24" s="1897" t="s">
        <v>2008</v>
      </c>
      <c r="I24" s="724">
        <f>SUMIF('数据-取费表'!C6:C15,E2,'数据-取费表'!F6:F15)/COUNTIF('数据-取费表'!C6:C15,E2)</f>
        <v>55.72</v>
      </c>
      <c r="J24" s="725">
        <f>IF(E2="住宅",70,IF(E2="商业",40,50))</f>
        <v>70</v>
      </c>
      <c r="K24" s="1058"/>
      <c r="L24" s="1898" t="s">
        <v>2009</v>
      </c>
      <c r="M24" s="1238">
        <f>ROUND(SUMPRODUCT((地价!A4:A16=YEAR(G23)&amp;"-"&amp;ROUNDUP(MONTH(G23)/3,0))*(地价!B2:G2=E2)*(地价!B4:G16)),0)</f>
        <v>0</v>
      </c>
      <c r="N24" s="1899" t="s">
        <v>2010</v>
      </c>
      <c r="O24" s="1900" t="s">
        <v>2011</v>
      </c>
      <c r="P24" s="1901" t="s">
        <v>2012</v>
      </c>
      <c r="Q24" s="1839"/>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4.4">
      <c r="A25" s="1902" t="s">
        <v>366</v>
      </c>
      <c r="B25" s="1903" t="s">
        <v>3332</v>
      </c>
      <c r="C25" s="461">
        <f>IF(B25="容积率修正",IF(G3&lt;10,D26,J26),C27)</f>
        <v>0</v>
      </c>
      <c r="D25" s="1904"/>
      <c r="E25" s="1904"/>
      <c r="F25" s="1904"/>
      <c r="G25" s="1904"/>
      <c r="H25" s="1904"/>
      <c r="I25" s="1904"/>
      <c r="J25" s="1905"/>
      <c r="K25" s="1058"/>
      <c r="L25" s="2545"/>
      <c r="M25" s="2545"/>
      <c r="N25" s="1906"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4">
      <c r="A26" s="1801" t="s">
        <v>2014</v>
      </c>
      <c r="B26" s="1907" t="s">
        <v>2015</v>
      </c>
      <c r="C26" s="1907" t="s">
        <v>3254</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3255</v>
      </c>
      <c r="J26" s="374" t="str">
        <f>IF(G3&gt;=10,D115,"——")</f>
        <v>——</v>
      </c>
      <c r="K26" s="1058"/>
      <c r="L26" s="2545"/>
      <c r="M26" s="2545"/>
      <c r="N26" s="1906" t="s">
        <v>2016</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 thickBot="1">
      <c r="A27" s="1801" t="s">
        <v>2017</v>
      </c>
      <c r="B27" s="1908" t="s">
        <v>2018</v>
      </c>
      <c r="C27" s="790">
        <f>ROUND(IF(I3&lt;6,SUMPRODUCT((B106:B110=I3)*(C105:N105=G2)*(C106:N110)),SUMIF(C105:N105,G2,C112:N112)),4)</f>
        <v>0</v>
      </c>
      <c r="D27" s="1837"/>
      <c r="E27" s="1837"/>
      <c r="F27" s="1909"/>
      <c r="G27" s="1910"/>
      <c r="H27" s="1911"/>
      <c r="I27" s="1912"/>
      <c r="J27" s="1913"/>
      <c r="K27" s="1053"/>
      <c r="L27" s="1839"/>
      <c r="M27" s="1839"/>
      <c r="N27" s="1906" t="s">
        <v>2019</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 thickBot="1">
      <c r="A28" s="1895" t="s">
        <v>367</v>
      </c>
      <c r="B28" s="1888" t="s">
        <v>2020</v>
      </c>
      <c r="C28" s="715">
        <f>SUMIF(A47:A101,E2,B47:B101)</f>
        <v>1</v>
      </c>
      <c r="D28" s="1889"/>
      <c r="E28" s="1914"/>
      <c r="F28" s="1914"/>
      <c r="G28" s="1914"/>
      <c r="H28" s="1914"/>
      <c r="I28" s="1914"/>
      <c r="J28" s="1915"/>
      <c r="K28" s="1058"/>
      <c r="L28" s="2545"/>
      <c r="M28" s="2545"/>
      <c r="N28" s="1916"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 thickBot="1">
      <c r="A29" s="1895" t="s">
        <v>368</v>
      </c>
      <c r="B29" s="1917" t="s">
        <v>2022</v>
      </c>
      <c r="C29" s="720"/>
      <c r="D29" s="1863"/>
      <c r="E29" s="1863"/>
      <c r="F29" s="1918"/>
      <c r="G29" s="1863"/>
      <c r="H29" s="1863"/>
      <c r="I29" s="1863"/>
      <c r="J29" s="1864"/>
      <c r="K29" s="1053"/>
      <c r="L29" s="1839"/>
      <c r="M29" s="1839"/>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4.4">
      <c r="A30" s="1919"/>
      <c r="B30" s="1907" t="s">
        <v>2024</v>
      </c>
      <c r="C30" s="2140" t="e">
        <f>IF(B25="容积率修正",E33+SUM(E37:E42),SUM(V2:V16)+SUM(E37:E42))</f>
        <v>#DIV/0!</v>
      </c>
      <c r="D30" s="1920"/>
      <c r="E30" s="1837"/>
      <c r="F30" s="1921"/>
      <c r="G30" s="1837"/>
      <c r="H30" s="1837"/>
      <c r="I30" s="1837"/>
      <c r="J30" s="1922"/>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 thickBot="1">
      <c r="A31" s="1919"/>
      <c r="B31" s="1923" t="s">
        <v>2025</v>
      </c>
      <c r="C31" s="721" t="e">
        <f>E34+SUM(I37:I42)</f>
        <v>#DIV/0!</v>
      </c>
      <c r="D31" s="1924"/>
      <c r="E31" s="1925"/>
      <c r="F31" s="1926"/>
      <c r="G31" s="1925"/>
      <c r="H31" s="1925"/>
      <c r="I31" s="1925"/>
      <c r="J31" s="1927"/>
      <c r="K31" s="1053"/>
      <c r="L31" s="3050" t="s">
        <v>1996</v>
      </c>
      <c r="M31" s="162">
        <v>0.25</v>
      </c>
      <c r="N31" s="162">
        <v>0.2</v>
      </c>
      <c r="O31" s="162">
        <v>0.15</v>
      </c>
      <c r="P31" s="162">
        <v>0.1</v>
      </c>
      <c r="Q31" s="3045">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 thickBot="1">
      <c r="A32" s="1928"/>
      <c r="B32" s="1929" t="s">
        <v>2026</v>
      </c>
      <c r="C32" s="1930" t="s">
        <v>2027</v>
      </c>
      <c r="D32" s="1930" t="s">
        <v>2028</v>
      </c>
      <c r="E32" s="1931" t="s">
        <v>2029</v>
      </c>
      <c r="F32" s="1932"/>
      <c r="G32" s="1876"/>
      <c r="H32" s="1876"/>
      <c r="I32" s="1876"/>
      <c r="J32" s="1877"/>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3.8">
      <c r="A33" s="1933"/>
      <c r="B33" s="1934" t="s">
        <v>2030</v>
      </c>
      <c r="C33" s="167" t="e">
        <f>ROUND(C5*C22*C23*C24*C25*C28,0)</f>
        <v>#DIV/0!</v>
      </c>
      <c r="D33" s="1935"/>
      <c r="E33" s="726" t="e">
        <f>ROUND(C33*D33/10000,0)</f>
        <v>#DIV/0!</v>
      </c>
      <c r="F33" s="3043" t="s">
        <v>3257</v>
      </c>
      <c r="G33" s="1936"/>
      <c r="H33" s="1936"/>
      <c r="I33" s="1936"/>
      <c r="J33" s="1937"/>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8" thickBot="1">
      <c r="A34" s="1938"/>
      <c r="B34" s="1939" t="s">
        <v>2031</v>
      </c>
      <c r="C34" s="179" t="e">
        <f>ROUND(IF(E2="工业",C33*M42,IF(B25="楼层修正",SUM(V2:V16)*M41*10000/D34,C33*M41)),0)</f>
        <v>#DIV/0!</v>
      </c>
      <c r="D34" s="1940"/>
      <c r="E34" s="726" t="e">
        <f>ROUND(IF(B25="楼层修正",SUM(V2:V16)*M40,C34*D34/10000),0)</f>
        <v>#DIV/0!</v>
      </c>
      <c r="F34" s="1941" t="s">
        <v>2032</v>
      </c>
      <c r="G34" s="1942"/>
      <c r="H34" s="1942"/>
      <c r="I34" s="1942"/>
      <c r="J34" s="1943"/>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2033</v>
      </c>
      <c r="C35" s="3044" t="s">
        <v>3258</v>
      </c>
      <c r="D35" s="1876"/>
      <c r="E35" s="1946"/>
      <c r="F35" s="1946"/>
      <c r="G35" s="1874" t="s">
        <v>2034</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36.6" thickBot="1">
      <c r="A36" s="1933"/>
      <c r="B36" s="1948"/>
      <c r="C36" s="436" t="s">
        <v>2027</v>
      </c>
      <c r="D36" s="433" t="s">
        <v>2028</v>
      </c>
      <c r="E36" s="433" t="s">
        <v>2029</v>
      </c>
      <c r="F36" s="333" t="s">
        <v>2035</v>
      </c>
      <c r="G36" s="1949" t="s">
        <v>2027</v>
      </c>
      <c r="H36" s="1949" t="s">
        <v>2028</v>
      </c>
      <c r="I36" s="1949" t="s">
        <v>2029</v>
      </c>
      <c r="J36" s="235"/>
      <c r="K36" s="1959" t="s">
        <v>3262</v>
      </c>
      <c r="L36" s="3135">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6" thickBot="1">
      <c r="A37" s="3473"/>
      <c r="B37" s="1950" t="s">
        <v>2036</v>
      </c>
      <c r="C37" s="167" t="e">
        <f>ROUND(D5*C22*C23*C24*C28*F37,0)</f>
        <v>#DIV/0!</v>
      </c>
      <c r="D37" s="1935"/>
      <c r="E37" s="163" t="e">
        <f>ROUND(C37*D37/10000,0)</f>
        <v>#DIV/0!</v>
      </c>
      <c r="F37" s="163">
        <f>SUMIF(修正!A57:A68,G2,修正!B57:B68)</f>
        <v>0</v>
      </c>
      <c r="G37" s="163" t="e">
        <f>ROUND(IF(E2="工业",C37*$M$42,C37*$M$41),0)</f>
        <v>#DIV/0!</v>
      </c>
      <c r="H37" s="163">
        <f>D37</f>
        <v>0</v>
      </c>
      <c r="I37" s="163" t="e">
        <f>ROUND(G37*H37/10000,0)</f>
        <v>#DIV/0!</v>
      </c>
      <c r="J37" s="2747"/>
      <c r="K37" s="3054" t="s">
        <v>3263</v>
      </c>
      <c r="L37" s="1959">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474"/>
      <c r="B38" s="1879" t="s">
        <v>2037</v>
      </c>
      <c r="C38" s="167" t="e">
        <f>ROUND(D5*C22*C23*C24*C28*F38,0)</f>
        <v>#DIV/0!</v>
      </c>
      <c r="D38" s="1935"/>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8" thickBot="1">
      <c r="A39" s="3474"/>
      <c r="B39" s="1879" t="s">
        <v>3256</v>
      </c>
      <c r="C39" s="167" t="e">
        <f>ROUND(D5*C22*C23*C24*C28*F39,0)</f>
        <v>#DIV/0!</v>
      </c>
      <c r="D39" s="1935"/>
      <c r="E39" s="163" t="e">
        <f t="shared" si="4"/>
        <v>#DIV/0!</v>
      </c>
      <c r="F39" s="163">
        <f>SUMIF(修正!A57:A68,G2,修正!D57:D68)</f>
        <v>0</v>
      </c>
      <c r="G39" s="163" t="e">
        <f>ROUND(IF(E2="工业",C39*$M$42,C39*$M$41),0)</f>
        <v>#DIV/0!</v>
      </c>
      <c r="H39" s="163">
        <f t="shared" si="5"/>
        <v>0</v>
      </c>
      <c r="I39" s="163"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2038</v>
      </c>
      <c r="C40" s="163" t="e">
        <f>ROUND(D5*C22*C23*C24*C28*F40,0)</f>
        <v>#DIV/0!</v>
      </c>
      <c r="D40" s="1935"/>
      <c r="E40" s="163" t="e">
        <f t="shared" si="4"/>
        <v>#DIV/0!</v>
      </c>
      <c r="F40" s="167">
        <f>SUMIF(修正!A57:A68,G2,修正!E57:E68)</f>
        <v>0</v>
      </c>
      <c r="G40" s="163" t="e">
        <f>ROUND(IF(E2="工业",C40*$M$42,C40*$M$41),0)</f>
        <v>#DIV/0!</v>
      </c>
      <c r="H40" s="163">
        <f t="shared" si="5"/>
        <v>0</v>
      </c>
      <c r="I40" s="163" t="e">
        <f t="shared" si="6"/>
        <v>#DIV/0!</v>
      </c>
      <c r="J40" s="937"/>
      <c r="L40" s="1952" t="s">
        <v>2039</v>
      </c>
      <c r="M40" s="1953"/>
      <c r="Z40" s="1054"/>
      <c r="AA40" s="1054"/>
      <c r="AB40" s="1054"/>
      <c r="AC40" s="1054"/>
      <c r="AD40" s="1054"/>
      <c r="AE40" s="1054"/>
      <c r="AF40" s="1054"/>
      <c r="AG40" s="1054"/>
      <c r="AH40" s="1054"/>
      <c r="AI40" s="1054"/>
      <c r="AJ40" s="1054"/>
    </row>
    <row r="41" spans="1:37" s="1053" customFormat="1">
      <c r="A41" s="1951"/>
      <c r="B41" s="1879" t="s">
        <v>2040</v>
      </c>
      <c r="C41" s="163" t="e">
        <f>ROUND(D5*C22*C23*C44*C28*F41,0)</f>
        <v>#DIV/0!</v>
      </c>
      <c r="D41" s="1935"/>
      <c r="E41" s="163" t="e">
        <f t="shared" si="4"/>
        <v>#DIV/0!</v>
      </c>
      <c r="F41" s="167">
        <f>SUMIF(修正!A57:A68,G2,修正!F57:F68)</f>
        <v>0</v>
      </c>
      <c r="G41" s="163" t="e">
        <f>ROUND(IF(E2="工业",C41*$M$42,C41*$M$41),0)</f>
        <v>#DIV/0!</v>
      </c>
      <c r="H41" s="163">
        <f t="shared" si="5"/>
        <v>0</v>
      </c>
      <c r="I41" s="163" t="e">
        <f t="shared" si="6"/>
        <v>#DIV/0!</v>
      </c>
      <c r="J41" s="937"/>
      <c r="L41" s="3055" t="s">
        <v>3264</v>
      </c>
      <c r="M41" s="1954">
        <v>0.25</v>
      </c>
      <c r="Z41" s="1054"/>
      <c r="AA41" s="1054"/>
      <c r="AB41" s="1054"/>
      <c r="AC41" s="1054"/>
      <c r="AD41" s="1054"/>
      <c r="AE41" s="1054"/>
      <c r="AF41" s="1054"/>
      <c r="AG41" s="1054"/>
      <c r="AH41" s="1054"/>
      <c r="AI41" s="1054"/>
      <c r="AJ41" s="1054"/>
    </row>
    <row r="42" spans="1:37" s="1053" customFormat="1" ht="13.8" thickBot="1">
      <c r="A42" s="1938"/>
      <c r="B42" s="1955" t="s">
        <v>2041</v>
      </c>
      <c r="C42" s="179" t="e">
        <f>ROUND(D5*C22*C23*C44*C28*F42,0)</f>
        <v>#DIV/0!</v>
      </c>
      <c r="D42" s="1940"/>
      <c r="E42" s="179" t="e">
        <f t="shared" si="4"/>
        <v>#DIV/0!</v>
      </c>
      <c r="F42" s="722">
        <f>SUMIF(修正!A57:A68,G2,修正!G57:G68)</f>
        <v>0</v>
      </c>
      <c r="G42" s="179" t="e">
        <f>ROUND(IF(E2="工业",C42*$M$42,C42*$M$41),0)</f>
        <v>#DIV/0!</v>
      </c>
      <c r="H42" s="179">
        <f t="shared" si="5"/>
        <v>0</v>
      </c>
      <c r="I42" s="179" t="e">
        <f t="shared" si="6"/>
        <v>#DIV/0!</v>
      </c>
      <c r="J42" s="1956"/>
      <c r="L42" s="1957" t="s">
        <v>1993</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7" t="s">
        <v>2117</v>
      </c>
      <c r="C44" s="333">
        <f>ROUND(POWER(1+E44,H44-G44)*(POWER(1+E44,G44)-1)/(POWER(1+E44,H44)-1),4)</f>
        <v>0</v>
      </c>
      <c r="D44" s="163" t="s">
        <v>1999</v>
      </c>
      <c r="E44" s="1986">
        <f>G24</f>
        <v>0.05</v>
      </c>
      <c r="F44" s="163" t="s">
        <v>2008</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 thickBot="1">
      <c r="A47" s="1960" t="s">
        <v>2042</v>
      </c>
      <c r="B47" s="1961"/>
      <c r="C47" s="4"/>
      <c r="D47" s="4"/>
      <c r="E47" s="4"/>
      <c r="F47" s="3"/>
      <c r="G47" s="3"/>
      <c r="H47" s="3"/>
      <c r="I47" s="1676"/>
      <c r="J47" s="1676"/>
      <c r="K47" s="1676"/>
      <c r="L47" s="1676"/>
      <c r="M47" s="1676"/>
      <c r="AA47" s="1054"/>
      <c r="AB47" s="1054"/>
      <c r="AC47" s="1054"/>
      <c r="AD47" s="1054"/>
      <c r="AE47" s="1054"/>
      <c r="AF47" s="1054"/>
      <c r="AG47" s="1054"/>
      <c r="AH47" s="1054"/>
      <c r="AI47" s="1054"/>
      <c r="AJ47" s="1054"/>
      <c r="AK47" s="1054"/>
    </row>
    <row r="48" spans="1:37" s="1053" customFormat="1" ht="14.4">
      <c r="A48" s="1962" t="s">
        <v>2043</v>
      </c>
      <c r="B48" s="1963">
        <f>1+E50</f>
        <v>1</v>
      </c>
      <c r="C48" s="1721"/>
      <c r="D48" s="698"/>
      <c r="E48" s="699"/>
      <c r="F48" s="1964"/>
      <c r="G48" s="3"/>
      <c r="H48" s="4"/>
      <c r="I48" s="1676"/>
      <c r="J48" s="1676"/>
      <c r="K48" s="1676"/>
      <c r="L48" s="1676"/>
      <c r="M48" s="1676"/>
      <c r="AA48" s="1054"/>
      <c r="AB48" s="1054"/>
      <c r="AC48" s="1054"/>
      <c r="AD48" s="1054"/>
      <c r="AE48" s="1054"/>
      <c r="AF48" s="1054"/>
      <c r="AG48" s="1054"/>
      <c r="AH48" s="1054"/>
      <c r="AI48" s="1054"/>
      <c r="AJ48" s="1054"/>
      <c r="AK48" s="1054"/>
    </row>
    <row r="49" spans="1:37" s="1053" customFormat="1" ht="25.2">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9.6">
      <c r="A50" s="1965" t="s">
        <v>2052</v>
      </c>
      <c r="B50" s="1968" t="str">
        <f>估价对象房地状况!C4</f>
        <v>估价对象位于XX商圈，周边商业氛围成熟，人流量大，商业繁华度好</v>
      </c>
      <c r="C50" s="1882"/>
      <c r="D50" s="999">
        <f t="shared" ref="D50:D58" si="7">SUMIF($J$49:$N$49,C50,J50:N50)</f>
        <v>0</v>
      </c>
      <c r="E50" s="701">
        <f>ROUND(SUM(D50:D58),4)</f>
        <v>0</v>
      </c>
      <c r="F50" s="1670"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52.8">
      <c r="A51" s="1965" t="s">
        <v>2053</v>
      </c>
      <c r="B51" s="1257" t="str">
        <f>估价对象房地状况!C18</f>
        <v>估价对象周边道路状况、公共交通通达情况、停车便捷程度，综合评价交通便捷度较好</v>
      </c>
      <c r="C51" s="1882"/>
      <c r="D51" s="999">
        <f t="shared" si="7"/>
        <v>0</v>
      </c>
      <c r="E51" s="702"/>
      <c r="F51" s="1670"/>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c r="A52" s="3063" t="s">
        <v>3266</v>
      </c>
      <c r="B52" s="1257">
        <f>估价对象房地状况!C19</f>
        <v>0</v>
      </c>
      <c r="C52" s="1882"/>
      <c r="D52" s="999">
        <f t="shared" si="7"/>
        <v>0</v>
      </c>
      <c r="E52" s="702"/>
      <c r="F52" s="1670"/>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c r="A53" s="1965" t="s">
        <v>2054</v>
      </c>
      <c r="B53" s="1969" t="s">
        <v>2055</v>
      </c>
      <c r="C53" s="1882"/>
      <c r="D53" s="999">
        <f t="shared" si="7"/>
        <v>0</v>
      </c>
      <c r="E53" s="702"/>
      <c r="F53" s="1670"/>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2056</v>
      </c>
      <c r="B54" s="1257">
        <f>估价对象房地状况!C24</f>
        <v>0</v>
      </c>
      <c r="C54" s="1882"/>
      <c r="D54" s="999">
        <f t="shared" si="7"/>
        <v>0</v>
      </c>
      <c r="E54" s="702"/>
      <c r="F54" s="1670"/>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c r="A55" s="1965" t="s">
        <v>2057</v>
      </c>
      <c r="B55" s="1970" t="s">
        <v>2058</v>
      </c>
      <c r="C55" s="1882"/>
      <c r="D55" s="999">
        <f t="shared" si="7"/>
        <v>0</v>
      </c>
      <c r="E55" s="702"/>
      <c r="F55" s="1670"/>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6.4">
      <c r="A56" s="1971" t="s">
        <v>2059</v>
      </c>
      <c r="B56" s="1236" t="str">
        <f>估价对象房地状况!C21</f>
        <v>估价对象所在区域公共配套设施齐备情况</v>
      </c>
      <c r="C56" s="1882"/>
      <c r="D56" s="999">
        <f t="shared" si="7"/>
        <v>0</v>
      </c>
      <c r="E56" s="702"/>
      <c r="F56" s="1670"/>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6.4">
      <c r="A57" s="1971" t="s">
        <v>2060</v>
      </c>
      <c r="B57" s="1257" t="str">
        <f>估价对象房地状况!C22</f>
        <v>估价对象所在区域基础设施水平</v>
      </c>
      <c r="C57" s="1882"/>
      <c r="D57" s="999">
        <f t="shared" si="7"/>
        <v>0</v>
      </c>
      <c r="E57" s="702"/>
      <c r="F57" s="1670"/>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40.200000000000003" thickBot="1">
      <c r="A58" s="1972" t="s">
        <v>2061</v>
      </c>
      <c r="B58" s="1973" t="str">
        <f>估价对象房地状况!C20</f>
        <v>区域自然环境：；人文环境；综合评价环境状况一般</v>
      </c>
      <c r="C58" s="1882"/>
      <c r="D58" s="999">
        <f t="shared" si="7"/>
        <v>0</v>
      </c>
      <c r="E58" s="703"/>
      <c r="F58" s="1670"/>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2" t="s">
        <v>2062</v>
      </c>
      <c r="B59" s="1963">
        <f>1+E61</f>
        <v>1</v>
      </c>
      <c r="C59" s="698"/>
      <c r="D59" s="698"/>
      <c r="E59" s="699"/>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9.6">
      <c r="A61" s="1965" t="s">
        <v>2064</v>
      </c>
      <c r="B61" s="1968" t="str">
        <f>估价对象房地状况!C17</f>
        <v>估价对象位于XX商圈，周边办公楼项目较多，入驻率高，办公集聚程度较好</v>
      </c>
      <c r="C61" s="1882"/>
      <c r="D61" s="999">
        <f t="shared" ref="D61:D69" si="12">SUMIF($J$60:$N$60,C61,J61:N61)</f>
        <v>0</v>
      </c>
      <c r="E61" s="701">
        <f>ROUND(SUM(D61:D69),4)</f>
        <v>0</v>
      </c>
      <c r="F61" s="1670"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52.8">
      <c r="A62" s="1965" t="s">
        <v>2053</v>
      </c>
      <c r="B62" s="1257" t="str">
        <f>估价对象房地状况!C18</f>
        <v>估价对象周边道路状况、公共交通通达情况、停车便捷程度，综合评价交通便捷度较好</v>
      </c>
      <c r="C62" s="1882"/>
      <c r="D62" s="999">
        <f t="shared" si="12"/>
        <v>0</v>
      </c>
      <c r="E62" s="702"/>
      <c r="F62" s="1670"/>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48">
      <c r="A63" s="3063" t="s">
        <v>3266</v>
      </c>
      <c r="B63" s="1257">
        <f>估价对象房地状况!C19</f>
        <v>0</v>
      </c>
      <c r="C63" s="1882"/>
      <c r="D63" s="999">
        <f t="shared" si="12"/>
        <v>0</v>
      </c>
      <c r="E63" s="702"/>
      <c r="F63" s="1670"/>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7.200000000000003">
      <c r="A64" s="1965" t="s">
        <v>2054</v>
      </c>
      <c r="B64" s="1969" t="s">
        <v>2055</v>
      </c>
      <c r="C64" s="1882"/>
      <c r="D64" s="999">
        <f t="shared" si="12"/>
        <v>0</v>
      </c>
      <c r="E64" s="702"/>
      <c r="F64" s="1670"/>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2056</v>
      </c>
      <c r="B65" s="1257">
        <f>估价对象房地状况!C24</f>
        <v>0</v>
      </c>
      <c r="C65" s="1882"/>
      <c r="D65" s="999">
        <f t="shared" si="12"/>
        <v>0</v>
      </c>
      <c r="E65" s="702"/>
      <c r="F65" s="1670"/>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36">
      <c r="A66" s="1965" t="s">
        <v>2057</v>
      </c>
      <c r="B66" s="1970" t="s">
        <v>2058</v>
      </c>
      <c r="C66" s="1882"/>
      <c r="D66" s="999">
        <f t="shared" si="12"/>
        <v>0</v>
      </c>
      <c r="E66" s="702"/>
      <c r="F66" s="1670"/>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6.4">
      <c r="A67" s="1965" t="s">
        <v>2059</v>
      </c>
      <c r="B67" s="1236" t="str">
        <f>估价对象房地状况!C21</f>
        <v>估价对象所在区域公共配套设施齐备情况</v>
      </c>
      <c r="C67" s="1882"/>
      <c r="D67" s="999">
        <f t="shared" si="12"/>
        <v>0</v>
      </c>
      <c r="E67" s="702"/>
      <c r="F67" s="1670"/>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6.4">
      <c r="A68" s="1965" t="s">
        <v>2060</v>
      </c>
      <c r="B68" s="1236" t="str">
        <f>估价对象房地状况!C22</f>
        <v>估价对象所在区域基础设施水平</v>
      </c>
      <c r="C68" s="1882"/>
      <c r="D68" s="999">
        <f t="shared" si="12"/>
        <v>0</v>
      </c>
      <c r="E68" s="702"/>
      <c r="F68" s="1670"/>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40.200000000000003" thickBot="1">
      <c r="A69" s="1972" t="s">
        <v>2061</v>
      </c>
      <c r="B69" s="1974" t="str">
        <f>估价对象房地状况!C20</f>
        <v>区域自然环境：；人文环境；综合评价环境状况一般</v>
      </c>
      <c r="C69" s="1882"/>
      <c r="D69" s="999">
        <f t="shared" si="12"/>
        <v>0</v>
      </c>
      <c r="E69" s="703"/>
      <c r="F69" s="1670"/>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4.4">
      <c r="A70" s="1962" t="s">
        <v>2065</v>
      </c>
      <c r="B70" s="1963">
        <f>1+E72</f>
        <v>1</v>
      </c>
      <c r="C70" s="698"/>
      <c r="D70" s="698"/>
      <c r="E70" s="699"/>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2.8">
      <c r="A72" s="1965" t="s">
        <v>2066</v>
      </c>
      <c r="B72" s="1968" t="str">
        <f>估价对象房地状况!C15</f>
        <v>估价对象周边居住用地比例、居住小区规模和社区发展完善程度，综合评价居住社区成熟度一般</v>
      </c>
      <c r="C72" s="1882"/>
      <c r="D72" s="999">
        <f t="shared" ref="D72:D80" si="17">SUMIF($J$71:$N$71,C72,J72:N72)</f>
        <v>0</v>
      </c>
      <c r="E72" s="701">
        <f>ROUND(SUM(D72:D80),4)</f>
        <v>0</v>
      </c>
      <c r="F72" s="1670">
        <f>IF(E2="住宅",SUMIF(L1:L12,G2,N1:N12),"——")</f>
        <v>0</v>
      </c>
      <c r="G72" s="997"/>
      <c r="H72" s="1000">
        <f t="shared" ref="H72:H80" si="18">IFERROR(ROUNDDOWN($F$72*I72/2,4),"——")</f>
        <v>0</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52.8">
      <c r="A73" s="1965" t="s">
        <v>2053</v>
      </c>
      <c r="B73" s="1257" t="str">
        <f>估价对象房地状况!C18</f>
        <v>估价对象周边道路状况、公共交通通达情况、停车便捷程度，综合评价交通便捷度较好</v>
      </c>
      <c r="C73" s="1882"/>
      <c r="D73" s="999">
        <f t="shared" si="17"/>
        <v>0</v>
      </c>
      <c r="E73" s="704"/>
      <c r="F73" s="1670"/>
      <c r="G73" s="997"/>
      <c r="H73" s="1000">
        <f t="shared" si="18"/>
        <v>0</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48">
      <c r="A74" s="3063" t="s">
        <v>3266</v>
      </c>
      <c r="B74" s="1257">
        <f>估价对象房地状况!C19</f>
        <v>0</v>
      </c>
      <c r="C74" s="1882"/>
      <c r="D74" s="999">
        <f t="shared" si="17"/>
        <v>0</v>
      </c>
      <c r="E74" s="704"/>
      <c r="F74" s="1670"/>
      <c r="G74" s="997"/>
      <c r="H74" s="1000">
        <f t="shared" si="18"/>
        <v>0</v>
      </c>
      <c r="I74" s="3061">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3.8">
      <c r="A75" s="1965" t="s">
        <v>2067</v>
      </c>
      <c r="B75" s="1257">
        <f>估价对象房地状况!C24</f>
        <v>0</v>
      </c>
      <c r="C75" s="1882"/>
      <c r="D75" s="999">
        <f t="shared" si="17"/>
        <v>0</v>
      </c>
      <c r="E75" s="704"/>
      <c r="F75" s="1670"/>
      <c r="G75" s="997"/>
      <c r="H75" s="1000">
        <f t="shared" si="18"/>
        <v>0</v>
      </c>
      <c r="I75" s="3061">
        <v>0.05</v>
      </c>
      <c r="J75" s="998">
        <f t="shared" si="19"/>
        <v>0</v>
      </c>
      <c r="K75" s="998">
        <f t="shared" si="20"/>
        <v>0</v>
      </c>
      <c r="L75" s="998">
        <v>0</v>
      </c>
      <c r="M75" s="998">
        <f t="shared" si="21"/>
        <v>0</v>
      </c>
      <c r="N75" s="998">
        <f t="shared" si="21"/>
        <v>0</v>
      </c>
      <c r="O75" s="1053"/>
      <c r="P75" s="1053"/>
      <c r="Q75" s="1839"/>
      <c r="Z75" s="1840"/>
      <c r="AA75" s="1890"/>
      <c r="AG75" s="1055"/>
      <c r="AK75" s="1890"/>
    </row>
    <row r="76" spans="1:37" ht="26.4">
      <c r="A76" s="1965" t="s">
        <v>2059</v>
      </c>
      <c r="B76" s="1236" t="str">
        <f>估价对象房地状况!C21</f>
        <v>估价对象所在区域公共配套设施齐备情况</v>
      </c>
      <c r="C76" s="1882"/>
      <c r="D76" s="999">
        <f t="shared" si="17"/>
        <v>0</v>
      </c>
      <c r="E76" s="704"/>
      <c r="F76" s="1670"/>
      <c r="G76" s="997"/>
      <c r="H76" s="1000">
        <f t="shared" si="18"/>
        <v>0</v>
      </c>
      <c r="I76" s="3061">
        <v>0.08</v>
      </c>
      <c r="J76" s="998">
        <f t="shared" si="19"/>
        <v>0</v>
      </c>
      <c r="K76" s="998">
        <f t="shared" si="20"/>
        <v>0</v>
      </c>
      <c r="L76" s="998">
        <v>0</v>
      </c>
      <c r="M76" s="998">
        <f t="shared" si="21"/>
        <v>0</v>
      </c>
      <c r="N76" s="998">
        <f t="shared" si="21"/>
        <v>0</v>
      </c>
      <c r="O76" s="1053"/>
      <c r="P76" s="1053"/>
      <c r="Z76" s="1840"/>
      <c r="AA76" s="1890"/>
      <c r="AG76" s="1055"/>
      <c r="AK76" s="1890"/>
    </row>
    <row r="77" spans="1:37" ht="26.4">
      <c r="A77" s="1965" t="s">
        <v>2060</v>
      </c>
      <c r="B77" s="1236" t="str">
        <f>估价对象房地状况!C22</f>
        <v>估价对象所在区域基础设施水平</v>
      </c>
      <c r="C77" s="1882"/>
      <c r="D77" s="999">
        <f t="shared" si="17"/>
        <v>0</v>
      </c>
      <c r="E77" s="704"/>
      <c r="F77" s="1670"/>
      <c r="G77" s="997"/>
      <c r="H77" s="1000">
        <f t="shared" si="18"/>
        <v>0</v>
      </c>
      <c r="I77" s="3061">
        <v>0.09</v>
      </c>
      <c r="J77" s="998">
        <f t="shared" si="19"/>
        <v>0</v>
      </c>
      <c r="K77" s="998">
        <f t="shared" si="20"/>
        <v>0</v>
      </c>
      <c r="L77" s="998">
        <v>0</v>
      </c>
      <c r="M77" s="998">
        <f t="shared" si="21"/>
        <v>0</v>
      </c>
      <c r="N77" s="998">
        <f t="shared" si="21"/>
        <v>0</v>
      </c>
      <c r="O77" s="1053"/>
      <c r="P77" s="1053"/>
      <c r="Z77" s="1840"/>
      <c r="AA77" s="1890"/>
      <c r="AG77" s="1055"/>
      <c r="AK77" s="1890"/>
    </row>
    <row r="78" spans="1:37" ht="36">
      <c r="A78" s="1965" t="s">
        <v>2057</v>
      </c>
      <c r="B78" s="1970" t="s">
        <v>2058</v>
      </c>
      <c r="C78" s="1882"/>
      <c r="D78" s="999">
        <f t="shared" si="17"/>
        <v>0</v>
      </c>
      <c r="E78" s="704"/>
      <c r="F78" s="1670"/>
      <c r="G78" s="997"/>
      <c r="H78" s="1000">
        <f t="shared" si="18"/>
        <v>0</v>
      </c>
      <c r="I78" s="3061">
        <v>0.05</v>
      </c>
      <c r="J78" s="998">
        <f t="shared" si="19"/>
        <v>0</v>
      </c>
      <c r="K78" s="998">
        <f t="shared" si="20"/>
        <v>0</v>
      </c>
      <c r="L78" s="998">
        <v>0</v>
      </c>
      <c r="M78" s="998">
        <f t="shared" si="21"/>
        <v>0</v>
      </c>
      <c r="N78" s="998">
        <f t="shared" si="21"/>
        <v>0</v>
      </c>
      <c r="O78" s="1839"/>
      <c r="P78" s="1839"/>
      <c r="Z78" s="1840"/>
      <c r="AA78" s="1890"/>
      <c r="AG78" s="1055"/>
      <c r="AK78" s="1890"/>
    </row>
    <row r="79" spans="1:37" ht="39.6">
      <c r="A79" s="1965" t="s">
        <v>2061</v>
      </c>
      <c r="B79" s="1968" t="str">
        <f>估价对象房地状况!C20</f>
        <v>区域自然环境：；人文环境；综合评价环境状况一般</v>
      </c>
      <c r="C79" s="1882"/>
      <c r="D79" s="999">
        <f t="shared" si="17"/>
        <v>0</v>
      </c>
      <c r="E79" s="704"/>
      <c r="F79" s="1670"/>
      <c r="G79" s="997"/>
      <c r="H79" s="1000">
        <f t="shared" si="18"/>
        <v>0</v>
      </c>
      <c r="I79" s="3061">
        <v>0.12</v>
      </c>
      <c r="J79" s="998">
        <f t="shared" si="19"/>
        <v>0</v>
      </c>
      <c r="K79" s="998">
        <f t="shared" si="20"/>
        <v>0</v>
      </c>
      <c r="L79" s="998">
        <v>0</v>
      </c>
      <c r="M79" s="998">
        <f t="shared" si="21"/>
        <v>0</v>
      </c>
      <c r="N79" s="998">
        <f t="shared" si="21"/>
        <v>0</v>
      </c>
      <c r="Z79" s="1840"/>
      <c r="AA79" s="1890"/>
      <c r="AG79" s="1055"/>
      <c r="AK79" s="1890"/>
    </row>
    <row r="80" spans="1:37" ht="36.6" thickBot="1">
      <c r="A80" s="1972" t="s">
        <v>2068</v>
      </c>
      <c r="B80" s="1976"/>
      <c r="C80" s="1882"/>
      <c r="D80" s="999">
        <f t="shared" si="17"/>
        <v>0</v>
      </c>
      <c r="E80" s="705"/>
      <c r="F80" s="1670"/>
      <c r="G80" s="997"/>
      <c r="H80" s="1000">
        <f t="shared" si="18"/>
        <v>0</v>
      </c>
      <c r="I80" s="3062">
        <v>0.05</v>
      </c>
      <c r="J80" s="998">
        <f t="shared" si="19"/>
        <v>0</v>
      </c>
      <c r="K80" s="998">
        <f t="shared" si="20"/>
        <v>0</v>
      </c>
      <c r="L80" s="998">
        <v>0</v>
      </c>
      <c r="M80" s="998">
        <f t="shared" si="21"/>
        <v>0</v>
      </c>
      <c r="N80" s="998">
        <f t="shared" si="21"/>
        <v>0</v>
      </c>
      <c r="Z80" s="1840"/>
      <c r="AA80" s="1890"/>
      <c r="AG80" s="1055"/>
      <c r="AK80" s="1890"/>
    </row>
    <row r="81" spans="1:37" ht="14.4">
      <c r="A81" s="1962" t="s">
        <v>2069</v>
      </c>
      <c r="B81" s="1963">
        <f>1+E83</f>
        <v>1</v>
      </c>
      <c r="C81" s="698"/>
      <c r="D81" s="698"/>
      <c r="E81" s="699"/>
      <c r="F81" s="1964"/>
      <c r="G81" s="3"/>
      <c r="H81" s="3"/>
      <c r="I81" s="3"/>
      <c r="J81" s="4"/>
      <c r="K81" s="4"/>
      <c r="L81" s="4"/>
      <c r="M81" s="4"/>
      <c r="N81" s="4"/>
      <c r="Z81" s="1840"/>
      <c r="AA81" s="1890"/>
      <c r="AG81" s="1055"/>
      <c r="AK81" s="1890"/>
    </row>
    <row r="82" spans="1:37" ht="25.2">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5"/>
      <c r="AK82" s="1890"/>
    </row>
    <row r="83" spans="1:37" ht="39.6">
      <c r="A83" s="1965" t="s">
        <v>2070</v>
      </c>
      <c r="B83" s="1257" t="str">
        <f>估价对象房地状况!G15</f>
        <v>估价对象位于XX开发区，园区建设成熟度XX，产业集聚程度XX</v>
      </c>
      <c r="C83" s="1882"/>
      <c r="D83" s="999">
        <f t="shared" ref="D83:D90" si="22">SUMIF($J$82:$N$82,C83,J83:N83)</f>
        <v>0</v>
      </c>
      <c r="E83" s="701">
        <f>ROUND(SUM(D83:D90),4)</f>
        <v>0</v>
      </c>
      <c r="F83" s="1670"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52.8">
      <c r="A84" s="1965" t="s">
        <v>2053</v>
      </c>
      <c r="B84" s="1257" t="str">
        <f>估价对象房地状况!G16</f>
        <v>估价对象周边道路状况、公共交通通达情况、停车便捷程度，综合评价交通便捷度较好</v>
      </c>
      <c r="C84" s="1882"/>
      <c r="D84" s="999">
        <f t="shared" si="22"/>
        <v>0</v>
      </c>
      <c r="E84" s="704"/>
      <c r="F84" s="1670"/>
      <c r="G84" s="997"/>
      <c r="H84" s="1000" t="str">
        <f t="shared" si="23"/>
        <v>——</v>
      </c>
      <c r="I84" s="3061">
        <v>0.3</v>
      </c>
      <c r="J84" s="998">
        <f t="shared" si="24"/>
        <v>0</v>
      </c>
      <c r="K84" s="998">
        <f t="shared" si="25"/>
        <v>0</v>
      </c>
      <c r="L84" s="998">
        <v>0</v>
      </c>
      <c r="M84" s="998">
        <f t="shared" si="26"/>
        <v>0</v>
      </c>
      <c r="N84" s="998">
        <f t="shared" si="26"/>
        <v>0</v>
      </c>
      <c r="Z84" s="1840"/>
      <c r="AA84" s="1890"/>
      <c r="AG84" s="1055"/>
      <c r="AK84" s="1890"/>
    </row>
    <row r="85" spans="1:37" ht="48">
      <c r="A85" s="3063" t="s">
        <v>3267</v>
      </c>
      <c r="B85" s="1257">
        <f>估价对象房地状况!G17</f>
        <v>0</v>
      </c>
      <c r="C85" s="1882"/>
      <c r="D85" s="999">
        <f t="shared" si="22"/>
        <v>0</v>
      </c>
      <c r="E85" s="704"/>
      <c r="F85" s="1670"/>
      <c r="G85" s="997"/>
      <c r="H85" s="1000" t="str">
        <f t="shared" si="23"/>
        <v>——</v>
      </c>
      <c r="I85" s="3061">
        <v>0.1</v>
      </c>
      <c r="J85" s="998">
        <f t="shared" si="24"/>
        <v>0</v>
      </c>
      <c r="K85" s="998">
        <f t="shared" si="25"/>
        <v>0</v>
      </c>
      <c r="L85" s="998">
        <v>0</v>
      </c>
      <c r="M85" s="998">
        <f t="shared" si="26"/>
        <v>0</v>
      </c>
      <c r="N85" s="998">
        <f t="shared" si="26"/>
        <v>0</v>
      </c>
      <c r="Z85" s="1840"/>
      <c r="AA85" s="1890"/>
      <c r="AG85" s="1055"/>
      <c r="AK85" s="1890"/>
    </row>
    <row r="86" spans="1:37" ht="13.8">
      <c r="A86" s="1965" t="s">
        <v>2067</v>
      </c>
      <c r="B86" s="1257">
        <f>估价对象房地状况!G22</f>
        <v>0</v>
      </c>
      <c r="C86" s="1882"/>
      <c r="D86" s="999">
        <f t="shared" si="22"/>
        <v>0</v>
      </c>
      <c r="E86" s="704"/>
      <c r="F86" s="1670"/>
      <c r="G86" s="997"/>
      <c r="H86" s="1000" t="str">
        <f t="shared" si="23"/>
        <v>——</v>
      </c>
      <c r="I86" s="3061">
        <v>0.05</v>
      </c>
      <c r="J86" s="998">
        <f t="shared" si="24"/>
        <v>0</v>
      </c>
      <c r="K86" s="998">
        <f t="shared" si="25"/>
        <v>0</v>
      </c>
      <c r="L86" s="998">
        <v>0</v>
      </c>
      <c r="M86" s="998">
        <f t="shared" si="26"/>
        <v>0</v>
      </c>
      <c r="N86" s="998">
        <f t="shared" si="26"/>
        <v>0</v>
      </c>
      <c r="Z86" s="1840"/>
      <c r="AA86" s="1890"/>
      <c r="AG86" s="1055"/>
      <c r="AK86" s="1890"/>
    </row>
    <row r="87" spans="1:37" ht="26.4">
      <c r="A87" s="1965" t="s">
        <v>2059</v>
      </c>
      <c r="B87" s="1236" t="str">
        <f>估价对象房地状况!G19</f>
        <v>估价对象所在区域公共配套设施齐备情况</v>
      </c>
      <c r="C87" s="1882"/>
      <c r="D87" s="999">
        <f t="shared" si="22"/>
        <v>0</v>
      </c>
      <c r="E87" s="704"/>
      <c r="F87" s="1670"/>
      <c r="G87" s="997"/>
      <c r="H87" s="1000" t="str">
        <f t="shared" si="23"/>
        <v>——</v>
      </c>
      <c r="I87" s="3061">
        <v>0.06</v>
      </c>
      <c r="J87" s="998">
        <f t="shared" si="24"/>
        <v>0</v>
      </c>
      <c r="K87" s="998">
        <f t="shared" si="25"/>
        <v>0</v>
      </c>
      <c r="L87" s="998">
        <v>0</v>
      </c>
      <c r="M87" s="998">
        <f t="shared" si="26"/>
        <v>0</v>
      </c>
      <c r="N87" s="998">
        <f t="shared" si="26"/>
        <v>0</v>
      </c>
    </row>
    <row r="88" spans="1:37" ht="26.4">
      <c r="A88" s="1965" t="s">
        <v>2060</v>
      </c>
      <c r="B88" s="1236" t="str">
        <f>估价对象房地状况!G20</f>
        <v>估价对象所在区域基础设施水平</v>
      </c>
      <c r="C88" s="1882"/>
      <c r="D88" s="999">
        <f t="shared" si="22"/>
        <v>0</v>
      </c>
      <c r="E88" s="704"/>
      <c r="F88" s="1670"/>
      <c r="G88" s="997"/>
      <c r="H88" s="1000" t="str">
        <f t="shared" si="23"/>
        <v>——</v>
      </c>
      <c r="I88" s="3061">
        <v>0.12</v>
      </c>
      <c r="J88" s="998">
        <f t="shared" si="24"/>
        <v>0</v>
      </c>
      <c r="K88" s="998">
        <f t="shared" si="25"/>
        <v>0</v>
      </c>
      <c r="L88" s="998">
        <v>0</v>
      </c>
      <c r="M88" s="998">
        <f t="shared" si="26"/>
        <v>0</v>
      </c>
      <c r="N88" s="998">
        <f t="shared" si="26"/>
        <v>0</v>
      </c>
    </row>
    <row r="89" spans="1:37" ht="36">
      <c r="A89" s="1965" t="s">
        <v>2057</v>
      </c>
      <c r="B89" s="1970" t="s">
        <v>2071</v>
      </c>
      <c r="C89" s="1882"/>
      <c r="D89" s="999">
        <f t="shared" si="22"/>
        <v>0</v>
      </c>
      <c r="E89" s="704"/>
      <c r="F89" s="1670"/>
      <c r="G89" s="997"/>
      <c r="H89" s="1000" t="str">
        <f t="shared" si="23"/>
        <v>——</v>
      </c>
      <c r="I89" s="3061">
        <v>0.06</v>
      </c>
      <c r="J89" s="998">
        <f t="shared" si="24"/>
        <v>0</v>
      </c>
      <c r="K89" s="998">
        <f t="shared" si="25"/>
        <v>0</v>
      </c>
      <c r="L89" s="998">
        <v>0</v>
      </c>
      <c r="M89" s="998">
        <f t="shared" si="26"/>
        <v>0</v>
      </c>
      <c r="N89" s="998">
        <f t="shared" si="26"/>
        <v>0</v>
      </c>
    </row>
    <row r="90" spans="1:37" ht="40.200000000000003" thickBot="1">
      <c r="A90" s="1972" t="s">
        <v>2072</v>
      </c>
      <c r="B90" s="1977" t="str">
        <f>估价对象房地状况!G18</f>
        <v>该园区内是否有污染型企业，绿化情况，卫生条件，整体环境状况判断</v>
      </c>
      <c r="C90" s="1882"/>
      <c r="D90" s="999">
        <f t="shared" si="22"/>
        <v>0</v>
      </c>
      <c r="E90" s="705"/>
      <c r="F90" s="1670"/>
      <c r="G90" s="997"/>
      <c r="H90" s="1000" t="str">
        <f t="shared" si="23"/>
        <v>——</v>
      </c>
      <c r="I90" s="3062">
        <v>0.05</v>
      </c>
      <c r="J90" s="998">
        <f t="shared" si="24"/>
        <v>0</v>
      </c>
      <c r="K90" s="998">
        <f t="shared" si="25"/>
        <v>0</v>
      </c>
      <c r="L90" s="998">
        <v>0</v>
      </c>
      <c r="M90" s="998">
        <f t="shared" si="26"/>
        <v>0</v>
      </c>
      <c r="N90" s="998">
        <f t="shared" si="26"/>
        <v>0</v>
      </c>
    </row>
    <row r="91" spans="1:37" ht="13.8">
      <c r="A91" s="3071" t="s">
        <v>2609</v>
      </c>
      <c r="B91" s="3072">
        <f>1+E93</f>
        <v>1</v>
      </c>
      <c r="C91" s="3065"/>
      <c r="D91" s="3066"/>
      <c r="E91" s="1670"/>
      <c r="F91" s="1670"/>
      <c r="G91" s="3067"/>
      <c r="H91" s="3068"/>
      <c r="I91" s="3069"/>
      <c r="J91" s="3070"/>
      <c r="K91" s="3070"/>
      <c r="L91" s="3070"/>
      <c r="M91" s="3070"/>
      <c r="N91" s="3070"/>
    </row>
    <row r="92" spans="1:37" ht="25.2">
      <c r="A92" s="3073" t="s">
        <v>3268</v>
      </c>
      <c r="B92" s="2303"/>
      <c r="C92" s="2303" t="s">
        <v>3277</v>
      </c>
      <c r="D92" s="2303" t="s">
        <v>3278</v>
      </c>
      <c r="E92" s="3045" t="s">
        <v>3279</v>
      </c>
      <c r="F92" s="3075" t="s">
        <v>3280</v>
      </c>
      <c r="G92" s="2303" t="s">
        <v>3281</v>
      </c>
      <c r="H92" s="3082" t="s">
        <v>3284</v>
      </c>
      <c r="I92" s="2303" t="s">
        <v>3285</v>
      </c>
      <c r="J92" s="2145" t="s">
        <v>3286</v>
      </c>
      <c r="K92" s="2145" t="s">
        <v>3287</v>
      </c>
      <c r="L92" s="2145" t="s">
        <v>3288</v>
      </c>
      <c r="M92" s="2145" t="s">
        <v>3289</v>
      </c>
      <c r="N92" s="2145" t="s">
        <v>3290</v>
      </c>
    </row>
    <row r="93" spans="1:37" ht="24">
      <c r="A93" s="3063" t="s">
        <v>3269</v>
      </c>
      <c r="B93" s="1218"/>
      <c r="C93" s="1882"/>
      <c r="D93" s="2303">
        <f>SUMIF($J$92:$N$92,C93,J93:N93)</f>
        <v>0</v>
      </c>
      <c r="E93" s="3076">
        <f>ROUND(SUM(D93:D101),4)</f>
        <v>0</v>
      </c>
      <c r="F93" s="1670" t="str">
        <f>IF(E2="公共服务",SUMIF(L1:L12,G2,N1:N12),"——")</f>
        <v>——</v>
      </c>
      <c r="G93" s="3067"/>
      <c r="H93" s="3112" t="str">
        <f>IFERROR(ROUNDDOWN($F$93*I93/2,4),"——")</f>
        <v>——</v>
      </c>
      <c r="I93" s="3061">
        <v>0.25</v>
      </c>
      <c r="J93" s="1907">
        <f t="shared" ref="J93:J101" si="27">K93+$G93</f>
        <v>0</v>
      </c>
      <c r="K93" s="1907">
        <f t="shared" ref="K93:K101" si="28">$L93+$G93</f>
        <v>0</v>
      </c>
      <c r="L93" s="1907">
        <v>0</v>
      </c>
      <c r="M93" s="1907">
        <f t="shared" ref="M93:N101" si="29">L93-$G93</f>
        <v>0</v>
      </c>
      <c r="N93" s="1907">
        <f t="shared" si="29"/>
        <v>0</v>
      </c>
    </row>
    <row r="94" spans="1:37" ht="52.8">
      <c r="A94" s="3073" t="s">
        <v>3270</v>
      </c>
      <c r="B94" s="3064" t="str">
        <f>估价对象房地状况!C18</f>
        <v>估价对象周边道路状况、公共交通通达情况、停车便捷程度，综合评价交通便捷度较好</v>
      </c>
      <c r="C94" s="1882"/>
      <c r="D94" s="2303">
        <f t="shared" ref="D94:D101" si="30">SUMIF($J$60:$N$60,C94,J94:N94)</f>
        <v>0</v>
      </c>
      <c r="E94" s="3077"/>
      <c r="F94" s="1670"/>
      <c r="G94" s="3067"/>
      <c r="H94" s="3112" t="str">
        <f>IFERROR(ROUNDDOWN($F$93*I94/2,4),"——")</f>
        <v>——</v>
      </c>
      <c r="I94" s="3061">
        <v>0.26</v>
      </c>
      <c r="J94" s="1907">
        <f t="shared" si="27"/>
        <v>0</v>
      </c>
      <c r="K94" s="1907">
        <f t="shared" si="28"/>
        <v>0</v>
      </c>
      <c r="L94" s="1907">
        <v>0</v>
      </c>
      <c r="M94" s="1907">
        <f t="shared" si="29"/>
        <v>0</v>
      </c>
      <c r="N94" s="1907">
        <f t="shared" si="29"/>
        <v>0</v>
      </c>
    </row>
    <row r="95" spans="1:37" ht="48">
      <c r="A95" s="3063" t="s">
        <v>3266</v>
      </c>
      <c r="B95" s="3064">
        <f>估价对象房地状况!C19</f>
        <v>0</v>
      </c>
      <c r="C95" s="1882"/>
      <c r="D95" s="2303">
        <f t="shared" si="30"/>
        <v>0</v>
      </c>
      <c r="E95" s="3077"/>
      <c r="F95" s="1670"/>
      <c r="G95" s="3067"/>
      <c r="H95" s="3112" t="str">
        <f t="shared" ref="H95:H101" si="31">IFERROR(ROUNDDOWN($F$93*I95/2,4),"——")</f>
        <v>——</v>
      </c>
      <c r="I95" s="3061">
        <v>0.11</v>
      </c>
      <c r="J95" s="1907">
        <f t="shared" si="27"/>
        <v>0</v>
      </c>
      <c r="K95" s="1907">
        <f t="shared" si="28"/>
        <v>0</v>
      </c>
      <c r="L95" s="1907">
        <v>0</v>
      </c>
      <c r="M95" s="1907">
        <f t="shared" si="29"/>
        <v>0</v>
      </c>
      <c r="N95" s="1907">
        <f t="shared" si="29"/>
        <v>0</v>
      </c>
    </row>
    <row r="96" spans="1:37" ht="37.200000000000003">
      <c r="A96" s="3073" t="s">
        <v>3271</v>
      </c>
      <c r="B96" s="3079" t="s">
        <v>3282</v>
      </c>
      <c r="C96" s="1882"/>
      <c r="D96" s="2303">
        <f t="shared" si="30"/>
        <v>0</v>
      </c>
      <c r="E96" s="3077"/>
      <c r="F96" s="1670"/>
      <c r="G96" s="3067"/>
      <c r="H96" s="3112" t="str">
        <f t="shared" si="31"/>
        <v>——</v>
      </c>
      <c r="I96" s="3061">
        <v>0.05</v>
      </c>
      <c r="J96" s="1907">
        <f t="shared" si="27"/>
        <v>0</v>
      </c>
      <c r="K96" s="1907">
        <f t="shared" si="28"/>
        <v>0</v>
      </c>
      <c r="L96" s="1907">
        <v>0</v>
      </c>
      <c r="M96" s="1907">
        <f t="shared" si="29"/>
        <v>0</v>
      </c>
      <c r="N96" s="1907">
        <f t="shared" si="29"/>
        <v>0</v>
      </c>
    </row>
    <row r="97" spans="1:14" ht="24">
      <c r="A97" s="3073" t="s">
        <v>3272</v>
      </c>
      <c r="B97" s="3064">
        <f>估价对象房地状况!C24</f>
        <v>0</v>
      </c>
      <c r="C97" s="1882"/>
      <c r="D97" s="2303">
        <f t="shared" si="30"/>
        <v>0</v>
      </c>
      <c r="E97" s="3077"/>
      <c r="F97" s="1670"/>
      <c r="G97" s="3067"/>
      <c r="H97" s="3112" t="str">
        <f t="shared" si="31"/>
        <v>——</v>
      </c>
      <c r="I97" s="3061">
        <v>0.05</v>
      </c>
      <c r="J97" s="1907">
        <f t="shared" si="27"/>
        <v>0</v>
      </c>
      <c r="K97" s="1907">
        <f t="shared" si="28"/>
        <v>0</v>
      </c>
      <c r="L97" s="1907">
        <v>0</v>
      </c>
      <c r="M97" s="1907">
        <f t="shared" si="29"/>
        <v>0</v>
      </c>
      <c r="N97" s="1907">
        <f t="shared" si="29"/>
        <v>0</v>
      </c>
    </row>
    <row r="98" spans="1:14" ht="36">
      <c r="A98" s="3073" t="s">
        <v>3273</v>
      </c>
      <c r="B98" s="3080" t="s">
        <v>3283</v>
      </c>
      <c r="C98" s="1882"/>
      <c r="D98" s="2303">
        <f t="shared" si="30"/>
        <v>0</v>
      </c>
      <c r="E98" s="3077"/>
      <c r="F98" s="1670"/>
      <c r="G98" s="3067"/>
      <c r="H98" s="3112" t="str">
        <f t="shared" si="31"/>
        <v>——</v>
      </c>
      <c r="I98" s="3061">
        <v>0.06</v>
      </c>
      <c r="J98" s="1907">
        <f t="shared" si="27"/>
        <v>0</v>
      </c>
      <c r="K98" s="1907">
        <f t="shared" si="28"/>
        <v>0</v>
      </c>
      <c r="L98" s="1907">
        <v>0</v>
      </c>
      <c r="M98" s="1907">
        <f t="shared" si="29"/>
        <v>0</v>
      </c>
      <c r="N98" s="1907">
        <f t="shared" si="29"/>
        <v>0</v>
      </c>
    </row>
    <row r="99" spans="1:14" ht="26.4">
      <c r="A99" s="3073" t="s">
        <v>3274</v>
      </c>
      <c r="B99" s="3064" t="str">
        <f>估价对象房地状况!C21</f>
        <v>估价对象所在区域公共配套设施齐备情况</v>
      </c>
      <c r="C99" s="1882"/>
      <c r="D99" s="2303">
        <f t="shared" si="30"/>
        <v>0</v>
      </c>
      <c r="E99" s="3077"/>
      <c r="F99" s="1670"/>
      <c r="G99" s="3067"/>
      <c r="H99" s="3112" t="str">
        <f t="shared" si="31"/>
        <v>——</v>
      </c>
      <c r="I99" s="3061">
        <v>0.06</v>
      </c>
      <c r="J99" s="1907">
        <f t="shared" si="27"/>
        <v>0</v>
      </c>
      <c r="K99" s="1907">
        <f t="shared" si="28"/>
        <v>0</v>
      </c>
      <c r="L99" s="1907">
        <v>0</v>
      </c>
      <c r="M99" s="1907">
        <f t="shared" si="29"/>
        <v>0</v>
      </c>
      <c r="N99" s="1907">
        <f t="shared" si="29"/>
        <v>0</v>
      </c>
    </row>
    <row r="100" spans="1:14" ht="26.4">
      <c r="A100" s="3073" t="s">
        <v>3275</v>
      </c>
      <c r="B100" s="3064" t="str">
        <f>估价对象房地状况!C22</f>
        <v>估价对象所在区域基础设施水平</v>
      </c>
      <c r="C100" s="1882"/>
      <c r="D100" s="2303">
        <f t="shared" si="30"/>
        <v>0</v>
      </c>
      <c r="E100" s="3077"/>
      <c r="F100" s="1670"/>
      <c r="G100" s="3067"/>
      <c r="H100" s="3112" t="str">
        <f t="shared" si="31"/>
        <v>——</v>
      </c>
      <c r="I100" s="3061">
        <v>0.09</v>
      </c>
      <c r="J100" s="1907">
        <f t="shared" si="27"/>
        <v>0</v>
      </c>
      <c r="K100" s="1907">
        <f t="shared" si="28"/>
        <v>0</v>
      </c>
      <c r="L100" s="1907">
        <v>0</v>
      </c>
      <c r="M100" s="1907">
        <f t="shared" si="29"/>
        <v>0</v>
      </c>
      <c r="N100" s="1907">
        <f t="shared" si="29"/>
        <v>0</v>
      </c>
    </row>
    <row r="101" spans="1:14" ht="40.200000000000003" thickBot="1">
      <c r="A101" s="3074" t="s">
        <v>3276</v>
      </c>
      <c r="B101" s="3081" t="str">
        <f>估价对象房地状况!C20</f>
        <v>区域自然环境：；人文环境；综合评价环境状况一般</v>
      </c>
      <c r="C101" s="1882"/>
      <c r="D101" s="2303">
        <f t="shared" si="30"/>
        <v>0</v>
      </c>
      <c r="E101" s="3078"/>
      <c r="F101" s="1670"/>
      <c r="G101" s="3067"/>
      <c r="H101" s="3112" t="str">
        <f t="shared" si="31"/>
        <v>——</v>
      </c>
      <c r="I101" s="3062">
        <v>7.0000000000000007E-2</v>
      </c>
      <c r="J101" s="1907">
        <f t="shared" si="27"/>
        <v>0</v>
      </c>
      <c r="K101" s="1907">
        <f t="shared" si="28"/>
        <v>0</v>
      </c>
      <c r="L101" s="1907">
        <v>0</v>
      </c>
      <c r="M101" s="1907">
        <f t="shared" si="29"/>
        <v>0</v>
      </c>
      <c r="N101" s="1907">
        <f t="shared" si="29"/>
        <v>0</v>
      </c>
    </row>
    <row r="103" spans="1:14">
      <c r="A103" s="3471" t="s">
        <v>3291</v>
      </c>
      <c r="B103" s="3471"/>
      <c r="C103" s="3471"/>
      <c r="D103" s="3471"/>
      <c r="E103" s="3471"/>
      <c r="F103" s="3471"/>
      <c r="G103" s="3471"/>
      <c r="H103" s="3471"/>
      <c r="I103" s="3471"/>
      <c r="J103" s="3471"/>
      <c r="K103" s="1662"/>
      <c r="L103" s="1662"/>
      <c r="M103" s="1662"/>
      <c r="N103" s="1662"/>
    </row>
    <row r="104" spans="1:14">
      <c r="A104" s="3472" t="s">
        <v>3292</v>
      </c>
      <c r="B104" s="3472" t="s">
        <v>3293</v>
      </c>
      <c r="C104" s="3083" t="s">
        <v>3294</v>
      </c>
      <c r="D104" s="3084"/>
      <c r="E104" s="3084"/>
      <c r="F104" s="3084"/>
      <c r="G104" s="3084"/>
      <c r="H104" s="3084"/>
      <c r="I104" s="3084"/>
      <c r="J104" s="3085"/>
      <c r="K104" s="3086"/>
      <c r="L104" s="3086"/>
      <c r="M104" s="3086"/>
      <c r="N104" s="3086"/>
    </row>
    <row r="105" spans="1:14">
      <c r="A105" s="3472"/>
      <c r="B105" s="3472"/>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458"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59"/>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59"/>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59"/>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59"/>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59"/>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0"/>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61" t="s">
        <v>3308</v>
      </c>
      <c r="B113" s="3461"/>
      <c r="C113" s="3461"/>
      <c r="D113" s="3461"/>
      <c r="E113" s="3461"/>
      <c r="F113" s="3461"/>
      <c r="G113" s="3461"/>
      <c r="H113" s="3461"/>
      <c r="I113" s="3461"/>
      <c r="J113" s="3461"/>
      <c r="K113" s="3089"/>
      <c r="L113" s="3089"/>
      <c r="M113" s="3089"/>
      <c r="N113" s="3089"/>
    </row>
    <row r="114" spans="1:14">
      <c r="A114" s="3090"/>
      <c r="B114" s="3090"/>
      <c r="C114" s="3090"/>
      <c r="D114" s="3090"/>
      <c r="E114" s="3090"/>
      <c r="F114" s="3090"/>
      <c r="G114" s="3090"/>
      <c r="H114" s="3090"/>
      <c r="I114" s="3090"/>
      <c r="J114" s="3090"/>
      <c r="K114" s="1959"/>
      <c r="L114" s="3090"/>
      <c r="M114" s="3090"/>
      <c r="N114" s="3090"/>
    </row>
    <row r="115" spans="1:14" ht="13.8" thickBot="1">
      <c r="A115" s="3090"/>
      <c r="B115" s="3090"/>
      <c r="C115" s="3090"/>
      <c r="D115" s="3090"/>
      <c r="E115" s="3090"/>
      <c r="F115" s="3090"/>
      <c r="G115" s="3090"/>
      <c r="H115" s="3090"/>
      <c r="I115" s="3090"/>
      <c r="J115" s="3090"/>
      <c r="K115" s="1959"/>
      <c r="L115" s="3090"/>
      <c r="M115" s="3090"/>
      <c r="N115" s="3090"/>
    </row>
    <row r="116" spans="1:14" ht="25.8" thickBot="1">
      <c r="A116" s="3091" t="s">
        <v>3309</v>
      </c>
      <c r="B116" s="3107">
        <f>G3</f>
        <v>0</v>
      </c>
      <c r="C116" s="3092" t="s">
        <v>3310</v>
      </c>
      <c r="D116" s="3093">
        <f>SUMPRODUCT((A118:A122=F116)*(B117:M117=H116)*B118:M122)</f>
        <v>0</v>
      </c>
      <c r="E116" s="162" t="s">
        <v>3311</v>
      </c>
      <c r="F116" s="3094" t="str">
        <f>E2</f>
        <v>住宅</v>
      </c>
      <c r="G116" s="162" t="s">
        <v>3312</v>
      </c>
      <c r="H116" s="3094">
        <f>G2</f>
        <v>0</v>
      </c>
      <c r="I116" s="162"/>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3326</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3327</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3328</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2609</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484" t="s">
        <v>2604</v>
      </c>
      <c r="B20" s="3477" t="s">
        <v>2625</v>
      </c>
      <c r="C20" s="2835" t="s">
        <v>2436</v>
      </c>
      <c r="D20" s="2836"/>
      <c r="E20" s="2837">
        <v>1</v>
      </c>
      <c r="F20" s="2838" t="s">
        <v>2437</v>
      </c>
      <c r="G20" s="2838"/>
    </row>
    <row r="21" spans="1:13" ht="19.5" customHeight="1">
      <c r="A21" s="3485"/>
      <c r="B21" s="3478"/>
      <c r="C21" s="2839" t="s">
        <v>2438</v>
      </c>
      <c r="D21" s="2840"/>
      <c r="E21" s="2841">
        <v>1</v>
      </c>
      <c r="F21" s="2838" t="s">
        <v>2439</v>
      </c>
      <c r="G21" s="2838"/>
    </row>
    <row r="22" spans="1:13" ht="19.5" customHeight="1">
      <c r="A22" s="3485"/>
      <c r="B22" s="3478"/>
      <c r="C22" s="2839" t="s">
        <v>2440</v>
      </c>
      <c r="D22" s="2840"/>
      <c r="E22" s="2841">
        <v>0.9</v>
      </c>
      <c r="F22" s="2838" t="s">
        <v>2441</v>
      </c>
      <c r="G22" s="2838"/>
    </row>
    <row r="23" spans="1:13" ht="19.5" customHeight="1">
      <c r="A23" s="3485"/>
      <c r="B23" s="3478"/>
      <c r="C23" s="2839" t="s">
        <v>2442</v>
      </c>
      <c r="D23" s="2840"/>
      <c r="E23" s="2841">
        <v>0.9</v>
      </c>
      <c r="F23" s="2838" t="s">
        <v>2443</v>
      </c>
      <c r="G23" s="2838"/>
    </row>
    <row r="24" spans="1:13" ht="19.5" customHeight="1">
      <c r="A24" s="3485"/>
      <c r="B24" s="3478"/>
      <c r="C24" s="2839" t="s">
        <v>2444</v>
      </c>
      <c r="D24" s="2840"/>
      <c r="E24" s="2841">
        <v>0.8</v>
      </c>
      <c r="F24" s="2838" t="s">
        <v>2445</v>
      </c>
      <c r="G24" s="2838"/>
    </row>
    <row r="25" spans="1:13" ht="19.5" customHeight="1" thickBot="1">
      <c r="A25" s="3486"/>
      <c r="B25" s="3479"/>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480" t="s">
        <v>2628</v>
      </c>
      <c r="B27" s="3477" t="s">
        <v>2609</v>
      </c>
      <c r="C27" s="2835" t="s">
        <v>2449</v>
      </c>
      <c r="D27" s="2836"/>
      <c r="E27" s="2837">
        <v>1</v>
      </c>
      <c r="F27" s="2838" t="s">
        <v>2450</v>
      </c>
      <c r="G27" s="2838"/>
    </row>
    <row r="28" spans="1:13" ht="19.5" customHeight="1">
      <c r="A28" s="3481"/>
      <c r="B28" s="3478"/>
      <c r="C28" s="2839" t="s">
        <v>2451</v>
      </c>
      <c r="D28" s="2840"/>
      <c r="E28" s="2841">
        <v>1</v>
      </c>
      <c r="F28" s="2838" t="s">
        <v>2452</v>
      </c>
      <c r="G28" s="2838"/>
    </row>
    <row r="29" spans="1:13" ht="19.5" customHeight="1">
      <c r="A29" s="3481"/>
      <c r="B29" s="3478"/>
      <c r="C29" s="2839" t="s">
        <v>2453</v>
      </c>
      <c r="D29" s="2840"/>
      <c r="E29" s="2841">
        <v>0.8</v>
      </c>
      <c r="F29" s="2838" t="s">
        <v>2454</v>
      </c>
      <c r="G29" s="2838"/>
    </row>
    <row r="30" spans="1:13" ht="19.5" customHeight="1">
      <c r="A30" s="3481"/>
      <c r="B30" s="3478"/>
      <c r="C30" s="2839" t="s">
        <v>2455</v>
      </c>
      <c r="D30" s="2840"/>
      <c r="E30" s="2841">
        <v>0.8</v>
      </c>
      <c r="F30" s="2838" t="s">
        <v>2456</v>
      </c>
      <c r="G30" s="2838"/>
    </row>
    <row r="31" spans="1:13" ht="19.5" customHeight="1">
      <c r="A31" s="3481"/>
      <c r="B31" s="3478"/>
      <c r="C31" s="2839" t="s">
        <v>2457</v>
      </c>
      <c r="D31" s="2840"/>
      <c r="E31" s="2841">
        <v>0.8</v>
      </c>
      <c r="F31" s="2838" t="s">
        <v>2458</v>
      </c>
      <c r="G31" s="2838"/>
    </row>
    <row r="32" spans="1:13" ht="19.5" customHeight="1">
      <c r="A32" s="3481"/>
      <c r="B32" s="3478"/>
      <c r="C32" s="2839" t="s">
        <v>2459</v>
      </c>
      <c r="D32" s="2840"/>
      <c r="E32" s="2841">
        <v>0.7</v>
      </c>
      <c r="F32" s="2838" t="s">
        <v>2460</v>
      </c>
      <c r="G32" s="2838"/>
    </row>
    <row r="33" spans="1:7" ht="19.5" customHeight="1">
      <c r="A33" s="3481"/>
      <c r="B33" s="3478"/>
      <c r="C33" s="2839" t="s">
        <v>2461</v>
      </c>
      <c r="D33" s="2840"/>
      <c r="E33" s="2841">
        <v>0.8</v>
      </c>
      <c r="F33" s="2838" t="s">
        <v>2462</v>
      </c>
      <c r="G33" s="2838"/>
    </row>
    <row r="34" spans="1:7" ht="19.5" customHeight="1">
      <c r="A34" s="3481"/>
      <c r="B34" s="3478"/>
      <c r="C34" s="2839" t="s">
        <v>2463</v>
      </c>
      <c r="D34" s="2840"/>
      <c r="E34" s="2841">
        <v>0.6</v>
      </c>
      <c r="F34" s="2838" t="s">
        <v>2464</v>
      </c>
      <c r="G34" s="2838"/>
    </row>
    <row r="35" spans="1:7" ht="19.5" customHeight="1">
      <c r="A35" s="3481"/>
      <c r="B35" s="3478"/>
      <c r="C35" s="2839" t="s">
        <v>2465</v>
      </c>
      <c r="D35" s="2840"/>
      <c r="E35" s="2841">
        <v>0.2</v>
      </c>
      <c r="F35" s="2838" t="s">
        <v>2466</v>
      </c>
      <c r="G35" s="2838"/>
    </row>
    <row r="36" spans="1:7" ht="19.5" customHeight="1">
      <c r="A36" s="3481"/>
      <c r="B36" s="3478"/>
      <c r="C36" s="2839" t="s">
        <v>2467</v>
      </c>
      <c r="D36" s="2840"/>
      <c r="E36" s="2841">
        <v>0.2</v>
      </c>
      <c r="F36" s="2838" t="s">
        <v>2468</v>
      </c>
      <c r="G36" s="2838"/>
    </row>
    <row r="37" spans="1:7" ht="19.5" customHeight="1">
      <c r="A37" s="3481"/>
      <c r="B37" s="3483" t="s">
        <v>2629</v>
      </c>
      <c r="C37" s="2839" t="s">
        <v>2469</v>
      </c>
      <c r="D37" s="2840"/>
      <c r="E37" s="2841">
        <v>0.6</v>
      </c>
      <c r="F37" s="2838" t="s">
        <v>2470</v>
      </c>
      <c r="G37" s="2838"/>
    </row>
    <row r="38" spans="1:7" ht="19.5" customHeight="1">
      <c r="A38" s="3481"/>
      <c r="B38" s="3478"/>
      <c r="C38" s="2839" t="s">
        <v>2471</v>
      </c>
      <c r="D38" s="2840"/>
      <c r="E38" s="2841">
        <v>0.6</v>
      </c>
      <c r="F38" s="2838" t="s">
        <v>2472</v>
      </c>
      <c r="G38" s="2838"/>
    </row>
    <row r="39" spans="1:7" ht="19.5" customHeight="1" thickBot="1">
      <c r="A39" s="3482"/>
      <c r="B39" s="3479"/>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484" t="s">
        <v>2607</v>
      </c>
      <c r="B41" s="3477" t="s">
        <v>2631</v>
      </c>
      <c r="C41" s="2835" t="s">
        <v>2476</v>
      </c>
      <c r="D41" s="2836"/>
      <c r="E41" s="2837">
        <v>1</v>
      </c>
      <c r="F41" s="2838" t="s">
        <v>2477</v>
      </c>
      <c r="G41" s="2838"/>
    </row>
    <row r="42" spans="1:7" ht="19.5" customHeight="1">
      <c r="A42" s="3485"/>
      <c r="B42" s="3478"/>
      <c r="C42" s="2839" t="s">
        <v>2478</v>
      </c>
      <c r="D42" s="2840"/>
      <c r="E42" s="2841">
        <v>1</v>
      </c>
      <c r="F42" s="2838" t="s">
        <v>2479</v>
      </c>
      <c r="G42" s="2838"/>
    </row>
    <row r="43" spans="1:7" ht="19.5" customHeight="1">
      <c r="A43" s="3485"/>
      <c r="B43" s="3487"/>
      <c r="C43" s="2839" t="s">
        <v>2480</v>
      </c>
      <c r="D43" s="2840"/>
      <c r="E43" s="2841">
        <v>1.5</v>
      </c>
      <c r="F43" s="2838" t="s">
        <v>2481</v>
      </c>
      <c r="G43" s="2838"/>
    </row>
    <row r="44" spans="1:7" ht="19.5" customHeight="1">
      <c r="A44" s="3485"/>
      <c r="B44" s="2850" t="s">
        <v>2632</v>
      </c>
      <c r="C44" s="2839" t="s">
        <v>2633</v>
      </c>
      <c r="D44" s="2840"/>
      <c r="E44" s="2841">
        <v>2</v>
      </c>
      <c r="F44" s="2838" t="s">
        <v>2482</v>
      </c>
      <c r="G44" s="2838"/>
    </row>
    <row r="45" spans="1:7" ht="19.5" customHeight="1">
      <c r="A45" s="3485"/>
      <c r="B45" s="3483" t="s">
        <v>2634</v>
      </c>
      <c r="C45" s="2839" t="s">
        <v>2483</v>
      </c>
      <c r="D45" s="2840"/>
      <c r="E45" s="2841">
        <v>1</v>
      </c>
      <c r="F45" s="2838" t="s">
        <v>2484</v>
      </c>
      <c r="G45" s="2838"/>
    </row>
    <row r="46" spans="1:7" ht="19.5" customHeight="1">
      <c r="A46" s="3485"/>
      <c r="B46" s="3478"/>
      <c r="C46" s="2839" t="s">
        <v>2485</v>
      </c>
      <c r="D46" s="2840"/>
      <c r="E46" s="2841">
        <v>1</v>
      </c>
      <c r="F46" s="2838" t="s">
        <v>2486</v>
      </c>
      <c r="G46" s="2838"/>
    </row>
    <row r="47" spans="1:7" ht="19.5" customHeight="1">
      <c r="A47" s="3485"/>
      <c r="B47" s="3478"/>
      <c r="C47" s="2839" t="s">
        <v>2487</v>
      </c>
      <c r="D47" s="2840"/>
      <c r="E47" s="2841">
        <v>1</v>
      </c>
      <c r="F47" s="2838" t="s">
        <v>2488</v>
      </c>
      <c r="G47" s="2838"/>
    </row>
    <row r="48" spans="1:7" ht="19.5" customHeight="1">
      <c r="A48" s="3485"/>
      <c r="B48" s="3478"/>
      <c r="C48" s="2839" t="s">
        <v>2489</v>
      </c>
      <c r="D48" s="2840"/>
      <c r="E48" s="2841">
        <v>1</v>
      </c>
      <c r="F48" s="2838" t="s">
        <v>2490</v>
      </c>
      <c r="G48" s="2838"/>
    </row>
    <row r="49" spans="1:7" ht="19.5" customHeight="1">
      <c r="A49" s="3485"/>
      <c r="B49" s="3478"/>
      <c r="C49" s="2839" t="s">
        <v>2491</v>
      </c>
      <c r="D49" s="2840"/>
      <c r="E49" s="2841">
        <v>1</v>
      </c>
      <c r="F49" s="2838" t="s">
        <v>2492</v>
      </c>
      <c r="G49" s="2838"/>
    </row>
    <row r="50" spans="1:7" ht="19.5" customHeight="1">
      <c r="A50" s="3485"/>
      <c r="B50" s="3478"/>
      <c r="C50" s="2839" t="s">
        <v>2493</v>
      </c>
      <c r="D50" s="2840"/>
      <c r="E50" s="2841">
        <v>1</v>
      </c>
      <c r="F50" s="2838" t="s">
        <v>2494</v>
      </c>
      <c r="G50" s="2838"/>
    </row>
    <row r="51" spans="1:7" ht="19.5" customHeight="1" thickBot="1">
      <c r="A51" s="3486"/>
      <c r="B51" s="3479"/>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4.4">
      <c r="A72" s="2850"/>
      <c r="B72" s="2850"/>
      <c r="C72" s="2850" t="s">
        <v>2647</v>
      </c>
      <c r="D72" s="2850"/>
      <c r="E72" s="2850" t="s">
        <v>2618</v>
      </c>
      <c r="F72" s="2850" t="s">
        <v>2618</v>
      </c>
    </row>
    <row r="73" spans="1:7" ht="14.4">
      <c r="A73" s="2850">
        <v>1</v>
      </c>
      <c r="B73" s="3483" t="s">
        <v>2648</v>
      </c>
      <c r="C73" s="2824" t="s">
        <v>2649</v>
      </c>
      <c r="D73" s="2824" t="s">
        <v>2650</v>
      </c>
      <c r="E73" s="2850">
        <v>0.2</v>
      </c>
      <c r="F73" s="2850">
        <v>25</v>
      </c>
    </row>
    <row r="74" spans="1:7" ht="24">
      <c r="A74" s="2850">
        <v>2</v>
      </c>
      <c r="B74" s="3478"/>
      <c r="C74" s="2824" t="s">
        <v>2651</v>
      </c>
      <c r="D74" s="2824" t="s">
        <v>2652</v>
      </c>
      <c r="E74" s="2850">
        <v>0.2</v>
      </c>
      <c r="F74" s="2850">
        <v>25</v>
      </c>
    </row>
    <row r="75" spans="1:7" ht="24">
      <c r="A75" s="2850">
        <v>3</v>
      </c>
      <c r="B75" s="3478"/>
      <c r="C75" s="2824" t="s">
        <v>2653</v>
      </c>
      <c r="D75" s="2824" t="s">
        <v>2654</v>
      </c>
      <c r="E75" s="2850">
        <v>0.2</v>
      </c>
      <c r="F75" s="2850">
        <v>25</v>
      </c>
    </row>
    <row r="76" spans="1:7" ht="14.4">
      <c r="A76" s="2850">
        <v>4</v>
      </c>
      <c r="B76" s="3478"/>
      <c r="C76" s="2824" t="s">
        <v>2655</v>
      </c>
      <c r="D76" s="2824" t="s">
        <v>2656</v>
      </c>
      <c r="E76" s="2850">
        <v>0.15</v>
      </c>
      <c r="F76" s="2850">
        <v>20</v>
      </c>
    </row>
    <row r="77" spans="1:7" ht="24">
      <c r="A77" s="2850">
        <v>5</v>
      </c>
      <c r="B77" s="3478"/>
      <c r="C77" s="2824" t="s">
        <v>2657</v>
      </c>
      <c r="D77" s="2824" t="s">
        <v>2658</v>
      </c>
      <c r="E77" s="2850">
        <v>0.15</v>
      </c>
      <c r="F77" s="2850">
        <v>20</v>
      </c>
    </row>
    <row r="78" spans="1:7" ht="24">
      <c r="A78" s="2850">
        <v>6</v>
      </c>
      <c r="B78" s="3478"/>
      <c r="C78" s="2824" t="s">
        <v>2659</v>
      </c>
      <c r="D78" s="2824" t="s">
        <v>2660</v>
      </c>
      <c r="E78" s="2850">
        <v>0.15</v>
      </c>
      <c r="F78" s="2850">
        <v>20</v>
      </c>
    </row>
    <row r="79" spans="1:7" ht="24">
      <c r="A79" s="2850">
        <v>7</v>
      </c>
      <c r="B79" s="3478"/>
      <c r="C79" s="2824" t="s">
        <v>2661</v>
      </c>
      <c r="D79" s="2824" t="s">
        <v>2662</v>
      </c>
      <c r="E79" s="2850">
        <v>0.15</v>
      </c>
      <c r="F79" s="2850">
        <v>20</v>
      </c>
    </row>
    <row r="80" spans="1:7" ht="24">
      <c r="A80" s="2850">
        <v>8</v>
      </c>
      <c r="B80" s="3478"/>
      <c r="C80" s="2824" t="s">
        <v>2663</v>
      </c>
      <c r="D80" s="2824" t="s">
        <v>2664</v>
      </c>
      <c r="E80" s="2850">
        <v>0.1</v>
      </c>
      <c r="F80" s="2850">
        <v>15</v>
      </c>
    </row>
    <row r="81" spans="1:6" ht="24">
      <c r="A81" s="2850">
        <v>9</v>
      </c>
      <c r="B81" s="3478"/>
      <c r="C81" s="2824" t="s">
        <v>2665</v>
      </c>
      <c r="D81" s="2824" t="s">
        <v>2666</v>
      </c>
      <c r="E81" s="2850">
        <v>0.1</v>
      </c>
      <c r="F81" s="2850">
        <v>15</v>
      </c>
    </row>
    <row r="82" spans="1:6" ht="24">
      <c r="A82" s="2850">
        <v>10</v>
      </c>
      <c r="B82" s="3478"/>
      <c r="C82" s="2824" t="s">
        <v>2667</v>
      </c>
      <c r="D82" s="2824" t="s">
        <v>2668</v>
      </c>
      <c r="E82" s="2850">
        <v>0.1</v>
      </c>
      <c r="F82" s="2850">
        <v>15</v>
      </c>
    </row>
    <row r="83" spans="1:6" ht="24">
      <c r="A83" s="2850">
        <v>11</v>
      </c>
      <c r="B83" s="3478"/>
      <c r="C83" s="2824" t="s">
        <v>2669</v>
      </c>
      <c r="D83" s="2824" t="s">
        <v>2670</v>
      </c>
      <c r="E83" s="2850">
        <v>0.1</v>
      </c>
      <c r="F83" s="2850">
        <v>15</v>
      </c>
    </row>
    <row r="84" spans="1:6" ht="24">
      <c r="A84" s="2850">
        <v>12</v>
      </c>
      <c r="B84" s="3478"/>
      <c r="C84" s="2824" t="s">
        <v>2671</v>
      </c>
      <c r="D84" s="2824" t="s">
        <v>2672</v>
      </c>
      <c r="E84" s="2850">
        <v>0.1</v>
      </c>
      <c r="F84" s="2850">
        <v>15</v>
      </c>
    </row>
    <row r="85" spans="1:6" ht="24">
      <c r="A85" s="2850">
        <v>13</v>
      </c>
      <c r="B85" s="3478"/>
      <c r="C85" s="2824" t="s">
        <v>2673</v>
      </c>
      <c r="D85" s="2824" t="s">
        <v>2674</v>
      </c>
      <c r="E85" s="2850">
        <v>0.1</v>
      </c>
      <c r="F85" s="2850">
        <v>15</v>
      </c>
    </row>
    <row r="86" spans="1:6" ht="24">
      <c r="A86" s="2850">
        <v>14</v>
      </c>
      <c r="B86" s="3478"/>
      <c r="C86" s="2824" t="s">
        <v>2675</v>
      </c>
      <c r="D86" s="2824" t="s">
        <v>2676</v>
      </c>
      <c r="E86" s="2850">
        <v>0.1</v>
      </c>
      <c r="F86" s="2850">
        <v>15</v>
      </c>
    </row>
    <row r="87" spans="1:6" ht="24">
      <c r="A87" s="2850">
        <v>15</v>
      </c>
      <c r="B87" s="3478"/>
      <c r="C87" s="2824" t="s">
        <v>2677</v>
      </c>
      <c r="D87" s="2824" t="s">
        <v>2678</v>
      </c>
      <c r="E87" s="2850">
        <v>0.1</v>
      </c>
      <c r="F87" s="2850">
        <v>15</v>
      </c>
    </row>
    <row r="88" spans="1:6" ht="24">
      <c r="A88" s="2850">
        <v>16</v>
      </c>
      <c r="B88" s="3478"/>
      <c r="C88" s="2824" t="s">
        <v>2679</v>
      </c>
      <c r="D88" s="2824" t="s">
        <v>2680</v>
      </c>
      <c r="E88" s="2850">
        <v>0.1</v>
      </c>
      <c r="F88" s="2850">
        <v>15</v>
      </c>
    </row>
    <row r="89" spans="1:6" ht="24">
      <c r="A89" s="2850">
        <v>17</v>
      </c>
      <c r="B89" s="3487"/>
      <c r="C89" s="2824" t="s">
        <v>2681</v>
      </c>
      <c r="D89" s="2824" t="s">
        <v>2682</v>
      </c>
      <c r="E89" s="2850">
        <v>0.1</v>
      </c>
      <c r="F89" s="2850">
        <v>15</v>
      </c>
    </row>
    <row r="90" spans="1:6" ht="14.4">
      <c r="A90" s="2850">
        <v>18</v>
      </c>
      <c r="B90" s="3483" t="s">
        <v>2683</v>
      </c>
      <c r="C90" s="2824" t="s">
        <v>2684</v>
      </c>
      <c r="D90" s="2824" t="s">
        <v>2685</v>
      </c>
      <c r="E90" s="2850">
        <v>0.2</v>
      </c>
      <c r="F90" s="2850">
        <v>25</v>
      </c>
    </row>
    <row r="91" spans="1:6" ht="24">
      <c r="A91" s="2850">
        <v>19</v>
      </c>
      <c r="B91" s="3478"/>
      <c r="C91" s="2824" t="s">
        <v>2686</v>
      </c>
      <c r="D91" s="2824" t="s">
        <v>2687</v>
      </c>
      <c r="E91" s="2850">
        <v>0.2</v>
      </c>
      <c r="F91" s="2850">
        <v>25</v>
      </c>
    </row>
    <row r="92" spans="1:6" ht="14.4">
      <c r="A92" s="2850">
        <v>20</v>
      </c>
      <c r="B92" s="3478"/>
      <c r="C92" s="2824" t="s">
        <v>2688</v>
      </c>
      <c r="D92" s="2824" t="s">
        <v>2689</v>
      </c>
      <c r="E92" s="2850">
        <v>0.15</v>
      </c>
      <c r="F92" s="2850">
        <v>20</v>
      </c>
    </row>
    <row r="93" spans="1:6" ht="24">
      <c r="A93" s="2850">
        <v>21</v>
      </c>
      <c r="B93" s="3478"/>
      <c r="C93" s="2824" t="s">
        <v>2690</v>
      </c>
      <c r="D93" s="2824" t="s">
        <v>2691</v>
      </c>
      <c r="E93" s="2850">
        <v>0.15</v>
      </c>
      <c r="F93" s="2850">
        <v>20</v>
      </c>
    </row>
    <row r="94" spans="1:6" ht="24">
      <c r="A94" s="2850">
        <v>22</v>
      </c>
      <c r="B94" s="3478"/>
      <c r="C94" s="2824" t="s">
        <v>2692</v>
      </c>
      <c r="D94" s="2824" t="s">
        <v>2693</v>
      </c>
      <c r="E94" s="2850">
        <v>0.15</v>
      </c>
      <c r="F94" s="2850">
        <v>20</v>
      </c>
    </row>
    <row r="95" spans="1:6" ht="36">
      <c r="A95" s="2850">
        <v>23</v>
      </c>
      <c r="B95" s="3478"/>
      <c r="C95" s="2824" t="s">
        <v>2694</v>
      </c>
      <c r="D95" s="2824" t="s">
        <v>2695</v>
      </c>
      <c r="E95" s="2850">
        <v>0.15</v>
      </c>
      <c r="F95" s="2850">
        <v>20</v>
      </c>
    </row>
    <row r="96" spans="1:6" ht="24">
      <c r="A96" s="2850">
        <v>24</v>
      </c>
      <c r="B96" s="3478"/>
      <c r="C96" s="2824" t="s">
        <v>2696</v>
      </c>
      <c r="D96" s="2824" t="s">
        <v>2697</v>
      </c>
      <c r="E96" s="2850">
        <v>0.1</v>
      </c>
      <c r="F96" s="2850">
        <v>15</v>
      </c>
    </row>
    <row r="97" spans="1:6" ht="24">
      <c r="A97" s="2850">
        <v>25</v>
      </c>
      <c r="B97" s="3478"/>
      <c r="C97" s="2824" t="s">
        <v>2698</v>
      </c>
      <c r="D97" s="2824" t="s">
        <v>2699</v>
      </c>
      <c r="E97" s="2850">
        <v>0.1</v>
      </c>
      <c r="F97" s="2850">
        <v>15</v>
      </c>
    </row>
    <row r="98" spans="1:6" ht="24">
      <c r="A98" s="2850">
        <v>26</v>
      </c>
      <c r="B98" s="3478"/>
      <c r="C98" s="2824" t="s">
        <v>2700</v>
      </c>
      <c r="D98" s="2824" t="s">
        <v>2701</v>
      </c>
      <c r="E98" s="2850">
        <v>0.1</v>
      </c>
      <c r="F98" s="2850">
        <v>15</v>
      </c>
    </row>
    <row r="99" spans="1:6" ht="24">
      <c r="A99" s="2850">
        <v>27</v>
      </c>
      <c r="B99" s="3478"/>
      <c r="C99" s="2824" t="s">
        <v>2702</v>
      </c>
      <c r="D99" s="2824" t="s">
        <v>2703</v>
      </c>
      <c r="E99" s="2850">
        <v>0.1</v>
      </c>
      <c r="F99" s="2850">
        <v>15</v>
      </c>
    </row>
    <row r="100" spans="1:6" ht="24">
      <c r="A100" s="2850">
        <v>28</v>
      </c>
      <c r="B100" s="3478"/>
      <c r="C100" s="2824" t="s">
        <v>2704</v>
      </c>
      <c r="D100" s="2824" t="s">
        <v>2705</v>
      </c>
      <c r="E100" s="2850">
        <v>0.1</v>
      </c>
      <c r="F100" s="2850">
        <v>15</v>
      </c>
    </row>
    <row r="101" spans="1:6" ht="24">
      <c r="A101" s="2850">
        <v>29</v>
      </c>
      <c r="B101" s="3478"/>
      <c r="C101" s="2824" t="s">
        <v>2706</v>
      </c>
      <c r="D101" s="2824" t="s">
        <v>2707</v>
      </c>
      <c r="E101" s="2850">
        <v>0.1</v>
      </c>
      <c r="F101" s="2850">
        <v>15</v>
      </c>
    </row>
    <row r="102" spans="1:6" ht="24">
      <c r="A102" s="2850">
        <v>30</v>
      </c>
      <c r="B102" s="3478"/>
      <c r="C102" s="2824" t="s">
        <v>2708</v>
      </c>
      <c r="D102" s="2824" t="s">
        <v>2709</v>
      </c>
      <c r="E102" s="2850">
        <v>0.1</v>
      </c>
      <c r="F102" s="2850">
        <v>15</v>
      </c>
    </row>
    <row r="103" spans="1:6" ht="24">
      <c r="A103" s="2850">
        <v>31</v>
      </c>
      <c r="B103" s="3478"/>
      <c r="C103" s="2824" t="s">
        <v>2710</v>
      </c>
      <c r="D103" s="2824" t="s">
        <v>2711</v>
      </c>
      <c r="E103" s="2850">
        <v>0.1</v>
      </c>
      <c r="F103" s="2850">
        <v>15</v>
      </c>
    </row>
    <row r="104" spans="1:6" ht="24">
      <c r="A104" s="2850">
        <v>32</v>
      </c>
      <c r="B104" s="3478"/>
      <c r="C104" s="2824" t="s">
        <v>2712</v>
      </c>
      <c r="D104" s="2824" t="s">
        <v>2713</v>
      </c>
      <c r="E104" s="2850">
        <v>0.1</v>
      </c>
      <c r="F104" s="2850">
        <v>15</v>
      </c>
    </row>
    <row r="105" spans="1:6" ht="24">
      <c r="A105" s="2850">
        <v>33</v>
      </c>
      <c r="B105" s="3478"/>
      <c r="C105" s="2824" t="s">
        <v>2714</v>
      </c>
      <c r="D105" s="2824" t="s">
        <v>2715</v>
      </c>
      <c r="E105" s="2850">
        <v>0.1</v>
      </c>
      <c r="F105" s="2850">
        <v>15</v>
      </c>
    </row>
    <row r="106" spans="1:6" ht="24">
      <c r="A106" s="2850">
        <v>34</v>
      </c>
      <c r="B106" s="3487"/>
      <c r="C106" s="2824" t="s">
        <v>2716</v>
      </c>
      <c r="D106" s="2824" t="s">
        <v>2717</v>
      </c>
      <c r="E106" s="2850">
        <v>0.1</v>
      </c>
      <c r="F106" s="2850">
        <v>15</v>
      </c>
    </row>
    <row r="107" spans="1:6" ht="36">
      <c r="A107" s="2850">
        <v>35</v>
      </c>
      <c r="B107" s="3483" t="s">
        <v>2718</v>
      </c>
      <c r="C107" s="2850" t="s">
        <v>2719</v>
      </c>
      <c r="D107" s="2824" t="s">
        <v>2720</v>
      </c>
      <c r="E107" s="2850">
        <v>0.15</v>
      </c>
      <c r="F107" s="2850">
        <v>20</v>
      </c>
    </row>
    <row r="108" spans="1:6" ht="24">
      <c r="A108" s="2850">
        <v>36</v>
      </c>
      <c r="B108" s="3478"/>
      <c r="C108" s="2850" t="s">
        <v>2721</v>
      </c>
      <c r="D108" s="2824" t="s">
        <v>2722</v>
      </c>
      <c r="E108" s="2850">
        <v>0.15</v>
      </c>
      <c r="F108" s="2850">
        <v>20</v>
      </c>
    </row>
    <row r="109" spans="1:6" ht="24">
      <c r="A109" s="2850">
        <v>37</v>
      </c>
      <c r="B109" s="3478"/>
      <c r="C109" s="2850" t="s">
        <v>2723</v>
      </c>
      <c r="D109" s="2824" t="s">
        <v>2724</v>
      </c>
      <c r="E109" s="2850">
        <v>0.15</v>
      </c>
      <c r="F109" s="2850">
        <v>20</v>
      </c>
    </row>
    <row r="110" spans="1:6" ht="24">
      <c r="A110" s="2850">
        <v>38</v>
      </c>
      <c r="B110" s="3478"/>
      <c r="C110" s="2850" t="s">
        <v>2725</v>
      </c>
      <c r="D110" s="2824" t="s">
        <v>2726</v>
      </c>
      <c r="E110" s="2850">
        <v>0.1</v>
      </c>
      <c r="F110" s="2850">
        <v>15</v>
      </c>
    </row>
    <row r="111" spans="1:6" ht="24">
      <c r="A111" s="2850">
        <v>39</v>
      </c>
      <c r="B111" s="3478"/>
      <c r="C111" s="2850" t="s">
        <v>2727</v>
      </c>
      <c r="D111" s="2824" t="s">
        <v>2728</v>
      </c>
      <c r="E111" s="2850">
        <v>0.1</v>
      </c>
      <c r="F111" s="2850">
        <v>15</v>
      </c>
    </row>
    <row r="112" spans="1:6" ht="24">
      <c r="A112" s="2850">
        <v>40</v>
      </c>
      <c r="B112" s="3487"/>
      <c r="C112" s="2850" t="s">
        <v>2729</v>
      </c>
      <c r="D112" s="2824" t="s">
        <v>2730</v>
      </c>
      <c r="E112" s="2850">
        <v>0.1</v>
      </c>
      <c r="F112" s="2850">
        <v>15</v>
      </c>
    </row>
    <row r="113" spans="1:6" ht="24">
      <c r="A113" s="2850">
        <v>41</v>
      </c>
      <c r="B113" s="3488" t="s">
        <v>2731</v>
      </c>
      <c r="C113" s="2850" t="s">
        <v>2732</v>
      </c>
      <c r="D113" s="2824" t="s">
        <v>2733</v>
      </c>
      <c r="E113" s="2850">
        <v>0.1</v>
      </c>
      <c r="F113" s="2850">
        <v>15</v>
      </c>
    </row>
    <row r="114" spans="1:6" ht="24">
      <c r="A114" s="2850">
        <v>42</v>
      </c>
      <c r="B114" s="3488"/>
      <c r="C114" s="2850" t="s">
        <v>2734</v>
      </c>
      <c r="D114" s="2824" t="s">
        <v>2735</v>
      </c>
      <c r="E114" s="2850">
        <v>0.1</v>
      </c>
      <c r="F114" s="2850">
        <v>15</v>
      </c>
    </row>
    <row r="115" spans="1:6" ht="24">
      <c r="A115" s="2850">
        <v>43</v>
      </c>
      <c r="B115" s="3488"/>
      <c r="C115" s="2850" t="s">
        <v>2736</v>
      </c>
      <c r="D115" s="2824" t="s">
        <v>2737</v>
      </c>
      <c r="E115" s="2850">
        <v>0.1</v>
      </c>
      <c r="F115" s="2850">
        <v>15</v>
      </c>
    </row>
    <row r="116" spans="1:6" ht="24">
      <c r="A116" s="2850">
        <v>44</v>
      </c>
      <c r="B116" s="3483" t="s">
        <v>2738</v>
      </c>
      <c r="C116" s="2850" t="s">
        <v>2739</v>
      </c>
      <c r="D116" s="2824" t="s">
        <v>2740</v>
      </c>
      <c r="E116" s="2850">
        <v>0.1</v>
      </c>
      <c r="F116" s="2850">
        <v>15</v>
      </c>
    </row>
    <row r="117" spans="1:6" ht="24">
      <c r="A117" s="2850">
        <v>45</v>
      </c>
      <c r="B117" s="3487"/>
      <c r="C117" s="2824" t="s">
        <v>2741</v>
      </c>
      <c r="D117" s="2824" t="s">
        <v>2742</v>
      </c>
      <c r="E117" s="2850">
        <v>0.1</v>
      </c>
      <c r="F117" s="2850">
        <v>15</v>
      </c>
    </row>
    <row r="118" spans="1:6" ht="24">
      <c r="A118" s="2850">
        <v>46</v>
      </c>
      <c r="B118" s="3483" t="s">
        <v>2743</v>
      </c>
      <c r="C118" s="2850" t="s">
        <v>2744</v>
      </c>
      <c r="D118" s="2824" t="s">
        <v>2745</v>
      </c>
      <c r="E118" s="2850">
        <v>0.1</v>
      </c>
      <c r="F118" s="2850">
        <v>15</v>
      </c>
    </row>
    <row r="119" spans="1:6" ht="24">
      <c r="A119" s="2850">
        <v>47</v>
      </c>
      <c r="B119" s="3487"/>
      <c r="C119" s="2850" t="s">
        <v>2746</v>
      </c>
      <c r="D119" s="2824" t="s">
        <v>2747</v>
      </c>
      <c r="E119" s="2850">
        <v>0.1</v>
      </c>
      <c r="F119" s="2850">
        <v>15</v>
      </c>
    </row>
    <row r="120" spans="1:6" ht="24">
      <c r="A120" s="2850">
        <v>48</v>
      </c>
      <c r="B120" s="3483" t="s">
        <v>2748</v>
      </c>
      <c r="C120" s="2850" t="s">
        <v>2749</v>
      </c>
      <c r="D120" s="2824" t="s">
        <v>2750</v>
      </c>
      <c r="E120" s="2850">
        <v>0.1</v>
      </c>
      <c r="F120" s="2850">
        <v>15</v>
      </c>
    </row>
    <row r="121" spans="1:6" ht="24">
      <c r="A121" s="2850">
        <v>49</v>
      </c>
      <c r="B121" s="3487"/>
      <c r="C121" s="2850" t="s">
        <v>2751</v>
      </c>
      <c r="D121" s="2824" t="s">
        <v>2752</v>
      </c>
      <c r="E121" s="2850">
        <v>0.1</v>
      </c>
      <c r="F121" s="2850">
        <v>15</v>
      </c>
    </row>
    <row r="122" spans="1:6" ht="24">
      <c r="A122" s="2850">
        <v>50</v>
      </c>
      <c r="B122" s="3488" t="s">
        <v>2753</v>
      </c>
      <c r="C122" s="2850" t="s">
        <v>2754</v>
      </c>
      <c r="D122" s="2824" t="s">
        <v>2755</v>
      </c>
      <c r="E122" s="2850">
        <v>0.1</v>
      </c>
      <c r="F122" s="2850">
        <v>15</v>
      </c>
    </row>
    <row r="123" spans="1:6" ht="24">
      <c r="A123" s="2850">
        <v>51</v>
      </c>
      <c r="B123" s="3488"/>
      <c r="C123" s="2850" t="s">
        <v>2756</v>
      </c>
      <c r="D123" s="2824" t="s">
        <v>2757</v>
      </c>
      <c r="E123" s="2850">
        <v>0.1</v>
      </c>
      <c r="F123" s="2850">
        <v>15</v>
      </c>
    </row>
    <row r="124" spans="1:6" ht="24">
      <c r="A124" s="2850">
        <v>52</v>
      </c>
      <c r="B124" s="3488" t="s">
        <v>2758</v>
      </c>
      <c r="C124" s="2850" t="s">
        <v>2759</v>
      </c>
      <c r="D124" s="2824" t="s">
        <v>2760</v>
      </c>
      <c r="E124" s="2850">
        <v>0.1</v>
      </c>
      <c r="F124" s="2850">
        <v>15</v>
      </c>
    </row>
    <row r="125" spans="1:6" ht="24">
      <c r="A125" s="2850">
        <v>53</v>
      </c>
      <c r="B125" s="3488"/>
      <c r="C125" s="2850" t="s">
        <v>2761</v>
      </c>
      <c r="D125" s="2824" t="s">
        <v>2762</v>
      </c>
      <c r="E125" s="2850">
        <v>0.1</v>
      </c>
      <c r="F125" s="2850">
        <v>15</v>
      </c>
    </row>
    <row r="126" spans="1:6" ht="24">
      <c r="A126" s="2850">
        <v>54</v>
      </c>
      <c r="B126" s="2850" t="s">
        <v>2763</v>
      </c>
      <c r="C126" s="2850" t="s">
        <v>2764</v>
      </c>
      <c r="D126" s="2824" t="s">
        <v>2765</v>
      </c>
      <c r="E126" s="2850">
        <v>0.1</v>
      </c>
      <c r="F126" s="2850">
        <v>15</v>
      </c>
    </row>
    <row r="127" spans="1:6" ht="24">
      <c r="A127" s="2850">
        <v>55</v>
      </c>
      <c r="B127" s="3488" t="s">
        <v>2766</v>
      </c>
      <c r="C127" s="2850" t="s">
        <v>2767</v>
      </c>
      <c r="D127" s="2824" t="s">
        <v>2768</v>
      </c>
      <c r="E127" s="2850">
        <v>0.1</v>
      </c>
      <c r="F127" s="2850">
        <v>15</v>
      </c>
    </row>
    <row r="128" spans="1:6" ht="24">
      <c r="A128" s="2850">
        <v>56</v>
      </c>
      <c r="B128" s="3488"/>
      <c r="C128" s="2850" t="s">
        <v>2769</v>
      </c>
      <c r="D128" s="2824" t="s">
        <v>2770</v>
      </c>
      <c r="E128" s="2850">
        <v>0.1</v>
      </c>
      <c r="F128" s="2850">
        <v>15</v>
      </c>
    </row>
    <row r="129" spans="1:6" ht="24">
      <c r="A129" s="2850">
        <v>57</v>
      </c>
      <c r="B129" s="3488"/>
      <c r="C129" s="2850" t="s">
        <v>2771</v>
      </c>
      <c r="D129" s="2824" t="s">
        <v>2772</v>
      </c>
      <c r="E129" s="2850">
        <v>0.1</v>
      </c>
      <c r="F129" s="2850">
        <v>15</v>
      </c>
    </row>
    <row r="130" spans="1:6" ht="24">
      <c r="A130" s="2850">
        <v>58</v>
      </c>
      <c r="B130" s="3488" t="s">
        <v>2773</v>
      </c>
      <c r="C130" s="2850" t="s">
        <v>2774</v>
      </c>
      <c r="D130" s="2824" t="s">
        <v>2775</v>
      </c>
      <c r="E130" s="2850">
        <v>0.1</v>
      </c>
      <c r="F130" s="2850">
        <v>15</v>
      </c>
    </row>
    <row r="131" spans="1:6" ht="24">
      <c r="A131" s="2850">
        <v>59</v>
      </c>
      <c r="B131" s="3488"/>
      <c r="C131" s="2850" t="s">
        <v>2776</v>
      </c>
      <c r="D131" s="2824" t="s">
        <v>2777</v>
      </c>
      <c r="E131" s="2850">
        <v>0.1</v>
      </c>
      <c r="F131" s="2850">
        <v>15</v>
      </c>
    </row>
    <row r="132" spans="1:6" ht="24">
      <c r="A132" s="2850">
        <v>60</v>
      </c>
      <c r="B132" s="3483" t="s">
        <v>2778</v>
      </c>
      <c r="C132" s="2850" t="s">
        <v>2779</v>
      </c>
      <c r="D132" s="2824" t="s">
        <v>2780</v>
      </c>
      <c r="E132" s="2850">
        <v>0.1</v>
      </c>
      <c r="F132" s="2850">
        <v>15</v>
      </c>
    </row>
    <row r="133" spans="1:6" ht="24">
      <c r="A133" s="2850">
        <v>61</v>
      </c>
      <c r="B133" s="3487"/>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24">
      <c r="A135" s="2850">
        <v>63</v>
      </c>
      <c r="B135" s="3488" t="s">
        <v>2786</v>
      </c>
      <c r="C135" s="2850" t="s">
        <v>2787</v>
      </c>
      <c r="D135" s="2824" t="s">
        <v>2788</v>
      </c>
      <c r="E135" s="2850">
        <v>0.1</v>
      </c>
      <c r="F135" s="2850">
        <v>15</v>
      </c>
    </row>
    <row r="136" spans="1:6" ht="24">
      <c r="A136" s="2850">
        <v>64</v>
      </c>
      <c r="B136" s="3488"/>
      <c r="C136" s="2850" t="s">
        <v>2789</v>
      </c>
      <c r="D136" s="2824" t="s">
        <v>2790</v>
      </c>
      <c r="E136" s="2850">
        <v>0.1</v>
      </c>
      <c r="F136" s="2850">
        <v>15</v>
      </c>
    </row>
    <row r="137" spans="1:6" ht="24">
      <c r="A137" s="2850">
        <v>65</v>
      </c>
      <c r="B137" s="2850" t="s">
        <v>2791</v>
      </c>
      <c r="C137" s="2850" t="s">
        <v>2792</v>
      </c>
      <c r="D137" s="2824" t="s">
        <v>2793</v>
      </c>
      <c r="E137" s="2850">
        <v>0.1</v>
      </c>
      <c r="F137" s="2850">
        <v>15</v>
      </c>
    </row>
    <row r="138" spans="1:6" ht="14.4">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2795</v>
      </c>
      <c r="B1" s="2858"/>
      <c r="C1" s="2858"/>
      <c r="D1" s="2858"/>
      <c r="E1" s="2858"/>
      <c r="F1" s="2858"/>
      <c r="G1" s="2858"/>
      <c r="H1" s="2858"/>
      <c r="I1" s="2858"/>
      <c r="J1" s="2858"/>
      <c r="K1" s="2858"/>
      <c r="L1" s="2858"/>
      <c r="M1" s="2858"/>
      <c r="N1" s="706"/>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27792</v>
      </c>
      <c r="C2" s="2" t="s">
        <v>106</v>
      </c>
      <c r="D2" s="191"/>
      <c r="E2" s="191"/>
      <c r="F2" s="191"/>
      <c r="G2" s="191"/>
    </row>
    <row r="3" spans="1:7" s="192" customFormat="1" ht="18" customHeight="1" thickBot="1">
      <c r="A3" s="195" t="s">
        <v>58</v>
      </c>
      <c r="B3" s="196">
        <f ca="1">ROUND(B2*10000/'数据-汇总表'!E3,0)</f>
        <v>2278593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4</v>
      </c>
      <c r="D9" s="794">
        <f>'数据-汇总表'!E5</f>
        <v>121.97</v>
      </c>
      <c r="E9" s="217">
        <f>'数据-取费表'!B27</f>
        <v>290</v>
      </c>
      <c r="F9" s="213"/>
      <c r="G9" s="218"/>
    </row>
    <row r="10" spans="1:7" s="206" customFormat="1" ht="13.5" customHeight="1">
      <c r="A10" s="732" t="s">
        <v>356</v>
      </c>
      <c r="B10" s="216" t="s">
        <v>67</v>
      </c>
      <c r="C10" s="217">
        <f>ROUND(D10*E10/10000,0)</f>
        <v>0</v>
      </c>
      <c r="D10" s="794">
        <f>'数据-汇总表'!E6</f>
        <v>0</v>
      </c>
      <c r="E10" s="217">
        <f>'数据-取费表'!B28</f>
        <v>320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121.97</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1"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8">
        <f ca="1">ROUND(SUM(C23:C25),0)</f>
        <v>1418</v>
      </c>
      <c r="D22" s="227">
        <f ca="1">C26</f>
        <v>6.9999999999999999E-4</v>
      </c>
      <c r="E22" s="228" t="s">
        <v>99</v>
      </c>
      <c r="F22" s="229">
        <f ca="1">'数据-取费表'!B40</f>
        <v>3.3500000000000002E-2</v>
      </c>
      <c r="G22" s="1001" t="str">
        <f>IF('数据-取费表'!B22&lt;=1,"单利计息","复利计息")</f>
        <v>复利计息</v>
      </c>
    </row>
    <row r="23" spans="1:7" s="206" customFormat="1" ht="13.5" customHeight="1">
      <c r="A23" s="733" t="s">
        <v>349</v>
      </c>
      <c r="B23" s="207" t="s">
        <v>423</v>
      </c>
      <c r="C23" s="1039">
        <f ca="1">ROUND(IF('数据-取费表'!B22&lt;=1,C5*F22*'数据-取费表'!B23,C5*(POWER((1+F22),'数据-取费表'!B23)-1)),0)</f>
        <v>1404</v>
      </c>
      <c r="D23" s="230"/>
      <c r="E23" s="230"/>
      <c r="F23" s="231"/>
      <c r="G23" s="232" t="s">
        <v>81</v>
      </c>
    </row>
    <row r="24" spans="1:7" s="206" customFormat="1" ht="13.5" customHeight="1">
      <c r="A24" s="733" t="s">
        <v>347</v>
      </c>
      <c r="B24" s="207" t="s">
        <v>418</v>
      </c>
      <c r="C24" s="1039">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39">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6.4">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3" t="s">
        <v>353</v>
      </c>
      <c r="B37" s="207" t="s">
        <v>91</v>
      </c>
      <c r="C37" s="241">
        <f>ROUND(E37*D37*F34/10000,0)</f>
        <v>2</v>
      </c>
      <c r="D37" s="209">
        <f>'数据-汇总表'!E3</f>
        <v>121.97</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1"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6.9999999999999999E-4</v>
      </c>
      <c r="E41" s="228" t="s">
        <v>102</v>
      </c>
      <c r="F41" s="229"/>
      <c r="G41" s="1001"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53" t="s">
        <v>94</v>
      </c>
    </row>
    <row r="43" spans="1:7" ht="13.5" customHeight="1">
      <c r="A43" s="733" t="s">
        <v>347</v>
      </c>
      <c r="B43" s="207" t="s">
        <v>426</v>
      </c>
      <c r="C43" s="230">
        <f ca="1">ROUND(IF('数据-取费表'!B22&lt;=1,C39*F22*'数据-取费表'!B21/2,C39*(POWER((1+F22),'数据-取费表'!B21/2)-1)),0)</f>
        <v>0</v>
      </c>
      <c r="D43" s="230"/>
      <c r="E43" s="230"/>
      <c r="F43" s="231"/>
      <c r="G43" s="3354"/>
    </row>
    <row r="44" spans="1:7" ht="13.5" customHeight="1">
      <c r="A44" s="733" t="s">
        <v>348</v>
      </c>
      <c r="B44" s="207" t="s">
        <v>428</v>
      </c>
      <c r="C44" s="230">
        <f ca="1">ROUND(IF('数据-取费表'!B22&lt;=1,C40*F22*'数据-取费表'!B21/2,C40*(POWER((1+F22),'数据-取费表'!B21/2)-1)),4)</f>
        <v>6.9999999999999999E-4</v>
      </c>
      <c r="D44" s="230"/>
      <c r="E44" s="230"/>
      <c r="F44" s="231"/>
      <c r="G44" s="3355"/>
    </row>
    <row r="45" spans="1:7" s="206" customFormat="1" ht="13.5" customHeight="1">
      <c r="A45" s="730" t="s">
        <v>341</v>
      </c>
      <c r="B45" s="236" t="s">
        <v>85</v>
      </c>
      <c r="C45" s="237">
        <f>C46</f>
        <v>8</v>
      </c>
      <c r="D45" s="227">
        <f>C47</f>
        <v>3.0000000000000001E-3</v>
      </c>
      <c r="E45" s="228" t="s">
        <v>102</v>
      </c>
      <c r="F45" s="238"/>
      <c r="G45" s="239" t="s">
        <v>434</v>
      </c>
    </row>
    <row r="46" spans="1:7" s="206" customFormat="1" ht="13.5" customHeight="1">
      <c r="A46" s="733" t="s">
        <v>349</v>
      </c>
      <c r="B46" s="240" t="s">
        <v>427</v>
      </c>
      <c r="C46" s="241">
        <f>ROUND((C33+C39)*F27,0)</f>
        <v>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65</v>
      </c>
      <c r="D49" s="224"/>
      <c r="E49" s="224"/>
      <c r="F49" s="256"/>
      <c r="G49" s="226" t="s">
        <v>435</v>
      </c>
    </row>
    <row r="50" spans="1:7" s="250" customFormat="1" ht="24">
      <c r="A50" s="730" t="s">
        <v>344</v>
      </c>
      <c r="B50" s="202" t="s">
        <v>97</v>
      </c>
      <c r="C50" s="224"/>
      <c r="D50" s="224"/>
      <c r="E50" s="224"/>
      <c r="F50" s="256">
        <f>IF('数据-取费表'!B24=0,'数据-取费表'!N16,1)</f>
        <v>0.93</v>
      </c>
      <c r="G50" s="239" t="s">
        <v>98</v>
      </c>
    </row>
    <row r="51" spans="1:7" ht="16.5" customHeight="1">
      <c r="A51" s="730" t="s">
        <v>345</v>
      </c>
      <c r="B51" s="202" t="s">
        <v>105</v>
      </c>
      <c r="C51" s="224">
        <f ca="1">ROUND(C49*F50,0)</f>
        <v>60</v>
      </c>
      <c r="D51" s="224"/>
      <c r="E51" s="224"/>
      <c r="F51" s="256"/>
      <c r="G51" s="226" t="s">
        <v>37</v>
      </c>
    </row>
    <row r="52" spans="1:7" s="200" customFormat="1" ht="16.8" thickBot="1">
      <c r="A52" s="257" t="s">
        <v>38</v>
      </c>
      <c r="B52" s="258"/>
      <c r="C52" s="259">
        <f ca="1">C31+C51</f>
        <v>27792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491" t="s">
        <v>2836</v>
      </c>
      <c r="B1" s="3491"/>
      <c r="C1" s="3491"/>
      <c r="D1" s="3491"/>
      <c r="E1" s="3491"/>
      <c r="F1" s="3491"/>
      <c r="G1" s="3492"/>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1.4"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489"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1.4" thickBot="1">
      <c r="A4" s="3490"/>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1.4"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1.4"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1.4"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1.4"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493" t="s">
        <v>3178</v>
      </c>
      <c r="B1" s="3493"/>
    </row>
    <row r="2" spans="1:7" ht="15" thickBot="1">
      <c r="A2" s="2961"/>
      <c r="B2" s="2961"/>
    </row>
    <row r="3" spans="1:7" ht="15" thickBot="1">
      <c r="A3" s="2961"/>
      <c r="B3" s="2961"/>
      <c r="C3" s="2962" t="s">
        <v>2808</v>
      </c>
      <c r="D3" s="2962" t="s">
        <v>2864</v>
      </c>
      <c r="E3" s="2962" t="s">
        <v>2810</v>
      </c>
      <c r="F3" s="2962" t="s">
        <v>2865</v>
      </c>
      <c r="G3" s="2962" t="s">
        <v>2628</v>
      </c>
    </row>
    <row r="4" spans="1:7" ht="1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6"/>
  </cols>
  <sheetData>
    <row r="1" spans="1:6">
      <c r="A1" s="3494" t="s">
        <v>3229</v>
      </c>
      <c r="B1" s="3494"/>
      <c r="C1" s="3494"/>
      <c r="D1" s="3494"/>
      <c r="E1" s="3494"/>
      <c r="F1" s="3495"/>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topLeftCell="A7"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0">
        <f>基准地价修正!G23</f>
        <v>45555</v>
      </c>
      <c r="B1" s="2922" t="s">
        <v>3368</v>
      </c>
      <c r="C1" s="2923"/>
      <c r="D1" s="2923"/>
      <c r="E1" s="2923"/>
      <c r="F1" s="2923"/>
      <c r="G1" s="2923"/>
      <c r="H1" s="2923"/>
      <c r="I1" s="2923"/>
      <c r="J1" s="2889"/>
      <c r="K1" s="2923" t="s">
        <v>454</v>
      </c>
      <c r="L1" s="2923"/>
      <c r="M1" s="2923"/>
      <c r="N1" s="2923"/>
      <c r="O1" s="2923"/>
      <c r="P1" s="2923"/>
      <c r="Q1" s="2889"/>
      <c r="R1" s="3496" t="s">
        <v>456</v>
      </c>
      <c r="S1" s="3497"/>
      <c r="T1" s="3497"/>
      <c r="U1" s="3497"/>
      <c r="V1" s="3497"/>
      <c r="W1" s="3497"/>
      <c r="X1" s="2889"/>
      <c r="Y1" s="3496" t="s">
        <v>457</v>
      </c>
      <c r="Z1" s="3497"/>
      <c r="AA1" s="3497"/>
      <c r="AB1" s="3497"/>
      <c r="AC1" s="3497"/>
      <c r="AD1" s="3497"/>
    </row>
    <row r="2" spans="1:30" s="2005" customFormat="1" ht="15" thickBot="1">
      <c r="B2" s="2874"/>
      <c r="C2" s="2875"/>
      <c r="D2" s="2006" t="s">
        <v>2807</v>
      </c>
      <c r="E2" s="2007" t="s">
        <v>2808</v>
      </c>
      <c r="F2" s="2007" t="s">
        <v>2809</v>
      </c>
      <c r="G2" s="2007" t="s">
        <v>2810</v>
      </c>
      <c r="H2" s="2007" t="s">
        <v>2811</v>
      </c>
      <c r="I2" s="2007" t="s">
        <v>2628</v>
      </c>
      <c r="J2" s="2876"/>
      <c r="K2" s="2006" t="s">
        <v>2807</v>
      </c>
      <c r="L2" s="2007" t="s">
        <v>2808</v>
      </c>
      <c r="M2" s="2007" t="s">
        <v>2809</v>
      </c>
      <c r="N2" s="2007" t="s">
        <v>2810</v>
      </c>
      <c r="O2" s="2007" t="s">
        <v>2812</v>
      </c>
      <c r="P2" s="2007" t="s">
        <v>2628</v>
      </c>
      <c r="Q2" s="2876"/>
      <c r="R2" s="2006" t="s">
        <v>2807</v>
      </c>
      <c r="S2" s="2007" t="s">
        <v>2808</v>
      </c>
      <c r="T2" s="2007" t="s">
        <v>2809</v>
      </c>
      <c r="U2" s="2007" t="s">
        <v>2813</v>
      </c>
      <c r="V2" s="2007" t="s">
        <v>2814</v>
      </c>
      <c r="W2" s="2007" t="s">
        <v>2628</v>
      </c>
      <c r="X2" s="2876"/>
      <c r="Y2" s="2006" t="s">
        <v>2807</v>
      </c>
      <c r="Z2" s="2007" t="s">
        <v>2808</v>
      </c>
      <c r="AA2" s="2007" t="s">
        <v>2809</v>
      </c>
      <c r="AB2" s="2007" t="s">
        <v>2815</v>
      </c>
      <c r="AC2" s="2007" t="s">
        <v>2814</v>
      </c>
      <c r="AD2" s="2007" t="s">
        <v>2628</v>
      </c>
    </row>
    <row r="3" spans="1:30" s="2879" customFormat="1" ht="13.2">
      <c r="A3" s="2877" t="s">
        <v>2816</v>
      </c>
      <c r="B3" s="2878"/>
      <c r="D3" s="2879">
        <f>ROUND(AVERAGEIF(D4:D19,"&lt;&gt;0"),2)</f>
        <v>0.59</v>
      </c>
      <c r="E3" s="2879">
        <f t="shared" ref="E3:H3" si="0">ROUND(AVERAGEIF(E4:E19,"&lt;&gt;0"),2)</f>
        <v>0.36</v>
      </c>
      <c r="F3" s="2879">
        <f t="shared" si="0"/>
        <v>0.06</v>
      </c>
      <c r="G3" s="2879">
        <f t="shared" si="0"/>
        <v>0.6</v>
      </c>
      <c r="H3" s="2879">
        <f t="shared" si="0"/>
        <v>0.6</v>
      </c>
      <c r="I3" s="2879">
        <f>F3</f>
        <v>0.06</v>
      </c>
      <c r="J3" s="2880"/>
      <c r="K3" s="2881">
        <f>ROUND(AVERAGEIF(K4:K19,"&lt;&gt;0"),4)</f>
        <v>5.8999999999999999E-3</v>
      </c>
      <c r="L3" s="2882">
        <f t="shared" ref="L3:O3" si="1">ROUND(AVERAGEIF(L4:L19,"&lt;&gt;0"),4)</f>
        <v>3.5999999999999999E-3</v>
      </c>
      <c r="M3" s="2882">
        <f t="shared" si="1"/>
        <v>5.9999999999999995E-4</v>
      </c>
      <c r="N3" s="2882">
        <f t="shared" si="1"/>
        <v>6.0000000000000001E-3</v>
      </c>
      <c r="O3" s="2882">
        <f t="shared" si="1"/>
        <v>6.0000000000000001E-3</v>
      </c>
      <c r="P3" s="2882">
        <f>M3</f>
        <v>5.9999999999999995E-4</v>
      </c>
      <c r="Q3" s="2880"/>
      <c r="R3" s="2883">
        <f>ROUND(SUMPRODUCT(PRODUCT(1+K4:K19)),4)</f>
        <v>1.0852999999999999</v>
      </c>
      <c r="S3" s="2884">
        <f t="shared" ref="S3:V3" si="2">ROUND(SUMPRODUCT(PRODUCT(1+L4:L19)),4)</f>
        <v>1.0513999999999999</v>
      </c>
      <c r="T3" s="2884">
        <f t="shared" si="2"/>
        <v>1.0083</v>
      </c>
      <c r="U3" s="2884">
        <f t="shared" si="2"/>
        <v>1.0871999999999999</v>
      </c>
      <c r="V3" s="2884">
        <f t="shared" si="2"/>
        <v>1.0880000000000001</v>
      </c>
      <c r="W3" s="2883">
        <f>T3</f>
        <v>1.0083</v>
      </c>
      <c r="X3" s="2880"/>
      <c r="Y3" s="2885">
        <f>ROUND(AVERAGEIF(Y6:Y19,"&lt;&gt;0"),4)</f>
        <v>8.3999999999999995E-3</v>
      </c>
      <c r="Z3" s="2886">
        <f t="shared" ref="Z3:AC3" si="3">ROUND(AVERAGEIF(Z6:Z19,"&lt;&gt;0"),4)</f>
        <v>3.5000000000000001E-3</v>
      </c>
      <c r="AA3" s="2887">
        <f t="shared" si="3"/>
        <v>8.0000000000000004E-4</v>
      </c>
      <c r="AB3" s="2885">
        <f t="shared" si="3"/>
        <v>9.1000000000000004E-3</v>
      </c>
      <c r="AC3" s="2888">
        <f t="shared" si="3"/>
        <v>6.1000000000000004E-3</v>
      </c>
      <c r="AD3" s="2885">
        <f>AA3</f>
        <v>8.0000000000000004E-4</v>
      </c>
    </row>
    <row r="4" spans="1:30" s="2004" customFormat="1" ht="13.2">
      <c r="B4" s="2020"/>
      <c r="J4" s="2889"/>
      <c r="K4" s="2890"/>
      <c r="L4" s="2891"/>
      <c r="M4" s="2891"/>
      <c r="N4" s="2891"/>
      <c r="O4" s="2891"/>
      <c r="P4" s="2891"/>
      <c r="Q4" s="2889"/>
      <c r="R4" s="2022"/>
      <c r="S4" s="2892"/>
      <c r="T4" s="2893"/>
      <c r="U4" s="2022"/>
      <c r="V4" s="2894"/>
      <c r="W4" s="2022"/>
      <c r="X4" s="2889"/>
      <c r="Y4" s="2023"/>
      <c r="Z4" s="2895"/>
      <c r="AA4" s="2896"/>
      <c r="AB4" s="2023"/>
      <c r="AC4" s="2897"/>
      <c r="AD4" s="2023"/>
    </row>
    <row r="5" spans="1:30" s="2040" customFormat="1" ht="13.2">
      <c r="A5" s="2035" t="s">
        <v>3374</v>
      </c>
      <c r="B5" s="2026">
        <v>2024</v>
      </c>
      <c r="C5" s="2037">
        <v>3</v>
      </c>
      <c r="D5" s="2002">
        <v>0</v>
      </c>
      <c r="E5" s="2002">
        <v>0</v>
      </c>
      <c r="F5" s="2002">
        <v>0</v>
      </c>
      <c r="G5" s="2002">
        <v>0</v>
      </c>
      <c r="H5" s="2002">
        <v>0</v>
      </c>
      <c r="I5" s="2003">
        <f t="shared" ref="I5" si="4">F5</f>
        <v>0</v>
      </c>
      <c r="J5" s="2899"/>
      <c r="K5" s="2038">
        <f t="shared" ref="K5" si="5">D5/100</f>
        <v>0</v>
      </c>
      <c r="L5" s="2023">
        <f t="shared" ref="L5" si="6">E5/100</f>
        <v>0</v>
      </c>
      <c r="M5" s="2023">
        <f t="shared" ref="M5" si="7">F5/100</f>
        <v>0</v>
      </c>
      <c r="N5" s="2023">
        <f t="shared" ref="N5" si="8">G5/100</f>
        <v>0</v>
      </c>
      <c r="O5" s="2023">
        <f t="shared" ref="O5" si="9">H5/100</f>
        <v>0</v>
      </c>
      <c r="P5" s="2023">
        <f>M5</f>
        <v>0</v>
      </c>
      <c r="Q5" s="2899"/>
      <c r="R5" s="2022">
        <f>ROUND(IF(项目基本情况!$B$8="出让",SUMPRODUCT(PRODUCT(1+K5:$K$19)),SUMPRODUCT(PRODUCT(1+K5:$K$18))),4)</f>
        <v>1.0748</v>
      </c>
      <c r="S5" s="2022">
        <f>ROUND(IF(项目基本情况!$B$8="出让",SUMPRODUCT(PRODUCT(1+L5:$L$19)),SUMPRODUCT(PRODUCT(1+L5:$L$18))),4)</f>
        <v>1.0498000000000001</v>
      </c>
      <c r="T5" s="2022">
        <f>ROUND(IF(项目基本情况!$B$8="出让",SUMPRODUCT(PRODUCT(1+M5:$M$19)),SUMPRODUCT(PRODUCT(1+M5:$M$18))),4)</f>
        <v>1.0107999999999999</v>
      </c>
      <c r="U5" s="2022">
        <f>ROUND(IF(项目基本情况!$B$8="出让",SUMPRODUCT(PRODUCT(1+N5:$N$19)),SUMPRODUCT(PRODUCT(1+N5:$N$18))),4)</f>
        <v>1.0752999999999999</v>
      </c>
      <c r="V5" s="2022">
        <f>ROUND(IF(项目基本情况!$B$8="出让",SUMPRODUCT(PRODUCT(1+O5:$O$19)),SUMPRODUCT(PRODUCT(1+O5:$O$18))),4)</f>
        <v>1.0841000000000001</v>
      </c>
      <c r="W5" s="2022">
        <f>T5</f>
        <v>1.0107999999999999</v>
      </c>
      <c r="X5" s="2899"/>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909" customFormat="1" ht="13.2">
      <c r="A6" s="2900" t="s">
        <v>3375</v>
      </c>
      <c r="B6" s="2901">
        <v>2024</v>
      </c>
      <c r="C6" s="2902">
        <v>2</v>
      </c>
      <c r="D6" s="2903">
        <v>-0.59</v>
      </c>
      <c r="E6" s="2903">
        <v>-0.21</v>
      </c>
      <c r="F6" s="2903">
        <v>-1.38</v>
      </c>
      <c r="G6" s="2903">
        <v>-1.24</v>
      </c>
      <c r="H6" s="2904">
        <v>0.34</v>
      </c>
      <c r="I6" s="2905">
        <f t="shared" ref="I6:I19" si="15">F6</f>
        <v>-1.38</v>
      </c>
      <c r="J6" s="2906"/>
      <c r="K6" s="2907">
        <f t="shared" ref="K6:O19" si="16">D6/100</f>
        <v>-5.8999999999999999E-3</v>
      </c>
      <c r="L6" s="2908">
        <f t="shared" si="16"/>
        <v>-2.0999999999999999E-3</v>
      </c>
      <c r="M6" s="2908">
        <f t="shared" si="16"/>
        <v>-1.38E-2</v>
      </c>
      <c r="N6" s="2908">
        <f t="shared" si="16"/>
        <v>-1.24E-2</v>
      </c>
      <c r="O6" s="2908">
        <f t="shared" si="16"/>
        <v>3.4000000000000002E-3</v>
      </c>
      <c r="P6" s="2908">
        <f>M6</f>
        <v>-1.38E-2</v>
      </c>
      <c r="Q6" s="2906"/>
      <c r="R6" s="2906">
        <f>ROUND(IF(项目基本情况!$B$8="出让",SUMPRODUCT(PRODUCT(1+K6:$K$19)),SUMPRODUCT(PRODUCT(1+K6:$K$18))),4)</f>
        <v>1.0748</v>
      </c>
      <c r="S6" s="2906">
        <f>ROUND(IF(项目基本情况!$B$8="出让",SUMPRODUCT(PRODUCT(1+L6:$L$19)),SUMPRODUCT(PRODUCT(1+L6:$L$18))),4)</f>
        <v>1.0498000000000001</v>
      </c>
      <c r="T6" s="2906">
        <f>ROUND(IF(项目基本情况!$B$8="出让",SUMPRODUCT(PRODUCT(1+M6:$M$19)),SUMPRODUCT(PRODUCT(1+M6:$M$18))),4)</f>
        <v>1.0107999999999999</v>
      </c>
      <c r="U6" s="2906">
        <f>ROUND(IF(项目基本情况!$B$8="出让",SUMPRODUCT(PRODUCT(1+N6:$N$19)),SUMPRODUCT(PRODUCT(1+N6:$N$18))),4)</f>
        <v>1.0752999999999999</v>
      </c>
      <c r="V6" s="2906">
        <f>ROUND(IF(项目基本情况!$B$8="出让",SUMPRODUCT(PRODUCT(1+O6:$O$19)),SUMPRODUCT(PRODUCT(1+O6:$O$18))),4)</f>
        <v>1.0841000000000001</v>
      </c>
      <c r="W6" s="2906">
        <f>T6</f>
        <v>1.0107999999999999</v>
      </c>
      <c r="X6" s="2906"/>
      <c r="Y6" s="2908">
        <f>IF(D6=0,0,ROUND(AVERAGE(D6:D19)/100,4))</f>
        <v>5.8999999999999999E-3</v>
      </c>
      <c r="Z6" s="2908">
        <f t="shared" ref="Z6:AC6" si="17">IF(E6=0,0,ROUND(AVERAGE(E6:E19)/100,4))</f>
        <v>3.5999999999999999E-3</v>
      </c>
      <c r="AA6" s="2908">
        <f t="shared" si="17"/>
        <v>5.9999999999999995E-4</v>
      </c>
      <c r="AB6" s="2908">
        <f t="shared" si="17"/>
        <v>6.0000000000000001E-3</v>
      </c>
      <c r="AC6" s="2908">
        <f t="shared" si="17"/>
        <v>6.0000000000000001E-3</v>
      </c>
      <c r="AD6" s="2908">
        <f t="shared" ref="AD6:AD18" si="18">AA6</f>
        <v>5.9999999999999995E-4</v>
      </c>
    </row>
    <row r="7" spans="1:30" s="2040" customFormat="1" ht="13.2">
      <c r="A7" s="2898" t="s">
        <v>3377</v>
      </c>
      <c r="B7" s="2026">
        <v>2024</v>
      </c>
      <c r="C7" s="2037">
        <v>1</v>
      </c>
      <c r="D7" s="2002">
        <v>0.08</v>
      </c>
      <c r="E7" s="2002">
        <v>0.46</v>
      </c>
      <c r="F7" s="2002">
        <v>-0.16</v>
      </c>
      <c r="G7" s="2002">
        <v>0.26</v>
      </c>
      <c r="H7" s="2910">
        <v>0.59</v>
      </c>
      <c r="I7" s="2003">
        <v>0</v>
      </c>
      <c r="J7" s="2899"/>
      <c r="K7" s="2038">
        <f t="shared" ref="K7" si="19">D7/100</f>
        <v>8.0000000000000004E-4</v>
      </c>
      <c r="L7" s="2023">
        <f t="shared" ref="L7" si="20">E7/100</f>
        <v>4.5999999999999999E-3</v>
      </c>
      <c r="M7" s="2023">
        <f t="shared" ref="M7" si="21">F7/100</f>
        <v>-1.6000000000000001E-3</v>
      </c>
      <c r="N7" s="2023">
        <f t="shared" ref="N7" si="22">G7/100</f>
        <v>2.5999999999999999E-3</v>
      </c>
      <c r="O7" s="2023">
        <f t="shared" ref="O7" si="23">H7/100</f>
        <v>5.8999999999999999E-3</v>
      </c>
      <c r="P7" s="2023">
        <f t="shared" ref="P7" si="24">M7</f>
        <v>-1.6000000000000001E-3</v>
      </c>
      <c r="Q7" s="2899"/>
      <c r="R7" s="2022">
        <f>ROUND(IF(项目基本情况!$B$8="出让",SUMPRODUCT(PRODUCT(1+K7:$K$19)),SUMPRODUCT(PRODUCT(1+K7:$K$18))),4)</f>
        <v>1.0811999999999999</v>
      </c>
      <c r="S7" s="2022">
        <f>ROUND(IF(项目基本情况!$B$8="出让",SUMPRODUCT(PRODUCT(1+L7:$L$19)),SUMPRODUCT(PRODUCT(1+L7:$L$18))),4)</f>
        <v>1.052</v>
      </c>
      <c r="T7" s="2022">
        <f>ROUND(IF(项目基本情况!$B$8="出让",SUMPRODUCT(PRODUCT(1+M7:$M$19)),SUMPRODUCT(PRODUCT(1+M7:$M$18))),4)</f>
        <v>1.0249999999999999</v>
      </c>
      <c r="U7" s="2022">
        <f>ROUND(IF(项目基本情况!$B$8="出让",SUMPRODUCT(PRODUCT(1+N7:$N$19)),SUMPRODUCT(PRODUCT(1+N7:$N$18))),4)</f>
        <v>1.0888</v>
      </c>
      <c r="V7" s="2022">
        <f>ROUND(IF(项目基本情况!$B$8="出让",SUMPRODUCT(PRODUCT(1+O7:$O$19)),SUMPRODUCT(PRODUCT(1+O7:$O$18))),4)</f>
        <v>1.0804</v>
      </c>
      <c r="W7" s="2022">
        <f t="shared" ref="W7" si="25">T7</f>
        <v>1.0249999999999999</v>
      </c>
      <c r="X7" s="2899"/>
      <c r="Y7" s="2023"/>
      <c r="Z7" s="2023"/>
      <c r="AA7" s="2023"/>
      <c r="AB7" s="2023"/>
      <c r="AC7" s="2023"/>
      <c r="AD7" s="2023"/>
    </row>
    <row r="8" spans="1:30" s="2040" customFormat="1" ht="13.2">
      <c r="A8" s="2898" t="s">
        <v>3372</v>
      </c>
      <c r="B8" s="2026">
        <v>2023</v>
      </c>
      <c r="C8" s="2037">
        <v>4</v>
      </c>
      <c r="D8" s="2002">
        <v>0.19</v>
      </c>
      <c r="E8" s="2002">
        <v>0.24</v>
      </c>
      <c r="F8" s="2002">
        <v>-0.16</v>
      </c>
      <c r="G8" s="2002">
        <v>0.17</v>
      </c>
      <c r="H8" s="2910">
        <v>0.61</v>
      </c>
      <c r="I8" s="2003">
        <f>F8</f>
        <v>-0.16</v>
      </c>
      <c r="J8" s="2899"/>
      <c r="K8" s="2038">
        <f t="shared" si="16"/>
        <v>1.9E-3</v>
      </c>
      <c r="L8" s="2023">
        <f t="shared" si="16"/>
        <v>2.3999999999999998E-3</v>
      </c>
      <c r="M8" s="2023">
        <f t="shared" si="16"/>
        <v>-1.6000000000000001E-3</v>
      </c>
      <c r="N8" s="2023">
        <f t="shared" si="16"/>
        <v>1.7000000000000001E-3</v>
      </c>
      <c r="O8" s="2023">
        <f t="shared" si="16"/>
        <v>6.0999999999999995E-3</v>
      </c>
      <c r="P8" s="2023">
        <f t="shared" ref="P8" si="26">M8</f>
        <v>-1.6000000000000001E-3</v>
      </c>
      <c r="Q8" s="2899"/>
      <c r="R8" s="2022">
        <f>ROUND(IF(项目基本情况!$B$8="出让",SUMPRODUCT(PRODUCT(1+K8:$K$19)),SUMPRODUCT(PRODUCT(1+K8:$K$18))),4)</f>
        <v>1.0804</v>
      </c>
      <c r="S8" s="2022">
        <f>ROUND(IF(项目基本情况!$B$8="出让",SUMPRODUCT(PRODUCT(1+L8:$L$19)),SUMPRODUCT(PRODUCT(1+L8:$L$18))),4)</f>
        <v>1.0471999999999999</v>
      </c>
      <c r="T8" s="2022">
        <f>ROUND(IF(项目基本情况!$B$8="出让",SUMPRODUCT(PRODUCT(1+M8:$M$19)),SUMPRODUCT(PRODUCT(1+M8:$M$18))),4)</f>
        <v>1.0266</v>
      </c>
      <c r="U8" s="2022">
        <f>ROUND(IF(项目基本情况!$B$8="出让",SUMPRODUCT(PRODUCT(1+N8:$N$19)),SUMPRODUCT(PRODUCT(1+N8:$N$18))),4)</f>
        <v>1.0859000000000001</v>
      </c>
      <c r="V8" s="2022">
        <f>ROUND(IF(项目基本情况!$B$8="出让",SUMPRODUCT(PRODUCT(1+O8:$O$19)),SUMPRODUCT(PRODUCT(1+O8:$O$18))),4)</f>
        <v>1.0741000000000001</v>
      </c>
      <c r="W8" s="2022">
        <f t="shared" ref="W8" si="27">T8</f>
        <v>1.0266</v>
      </c>
      <c r="X8" s="2899"/>
      <c r="Y8" s="2023"/>
      <c r="Z8" s="2023"/>
      <c r="AA8" s="2023"/>
      <c r="AB8" s="2023"/>
      <c r="AC8" s="2023"/>
      <c r="AD8" s="2023"/>
    </row>
    <row r="9" spans="1:30" s="2040" customFormat="1" ht="13.2">
      <c r="A9" s="2898" t="s">
        <v>3371</v>
      </c>
      <c r="B9" s="2026">
        <v>2023</v>
      </c>
      <c r="C9" s="2037">
        <v>3</v>
      </c>
      <c r="D9" s="2002">
        <v>0.25</v>
      </c>
      <c r="E9" s="2002">
        <v>0.5</v>
      </c>
      <c r="F9" s="2002">
        <v>0.31</v>
      </c>
      <c r="G9" s="2002">
        <v>0.21</v>
      </c>
      <c r="H9" s="2910">
        <v>0.43</v>
      </c>
      <c r="I9" s="2003">
        <f t="shared" si="15"/>
        <v>0.31</v>
      </c>
      <c r="J9" s="2899"/>
      <c r="K9" s="2038">
        <f t="shared" ref="K9:K11" si="28">D9/100</f>
        <v>2.5000000000000001E-3</v>
      </c>
      <c r="L9" s="2023">
        <f t="shared" ref="L9:L11" si="29">E9/100</f>
        <v>5.0000000000000001E-3</v>
      </c>
      <c r="M9" s="2023">
        <f t="shared" ref="M9:M11" si="30">F9/100</f>
        <v>3.0999999999999999E-3</v>
      </c>
      <c r="N9" s="2023">
        <f t="shared" ref="N9:N11" si="31">G9/100</f>
        <v>2.0999999999999999E-3</v>
      </c>
      <c r="O9" s="2023">
        <f t="shared" ref="O9:O11" si="32">H9/100</f>
        <v>4.3E-3</v>
      </c>
      <c r="P9" s="2023">
        <f t="shared" ref="P9:P11" si="33">M9</f>
        <v>3.0999999999999999E-3</v>
      </c>
      <c r="Q9" s="2899"/>
      <c r="R9" s="2022">
        <f>ROUND(IF(项目基本情况!$B$8="出让",SUMPRODUCT(PRODUCT(1+K9:$K$19)),SUMPRODUCT(PRODUCT(1+K9:$K$18))),4)</f>
        <v>1.0783</v>
      </c>
      <c r="S9" s="2022">
        <f>ROUND(IF(项目基本情况!$B$8="出让",SUMPRODUCT(PRODUCT(1+L9:$L$19)),SUMPRODUCT(PRODUCT(1+L9:$L$18))),4)</f>
        <v>1.0447</v>
      </c>
      <c r="T9" s="2022">
        <f>ROUND(IF(项目基本情况!$B$8="出让",SUMPRODUCT(PRODUCT(1+M9:$M$19)),SUMPRODUCT(PRODUCT(1+M9:$M$18))),4)</f>
        <v>1.0282</v>
      </c>
      <c r="U9" s="2022">
        <f>ROUND(IF(项目基本情况!$B$8="出让",SUMPRODUCT(PRODUCT(1+N9:$N$19)),SUMPRODUCT(PRODUCT(1+N9:$N$18))),4)</f>
        <v>1.0841000000000001</v>
      </c>
      <c r="V9" s="2022">
        <f>ROUND(IF(项目基本情况!$B$8="出让",SUMPRODUCT(PRODUCT(1+O9:$O$19)),SUMPRODUCT(PRODUCT(1+O9:$O$18))),4)</f>
        <v>1.0674999999999999</v>
      </c>
      <c r="W9" s="2022">
        <f t="shared" ref="W9:W10" si="34">T9</f>
        <v>1.0282</v>
      </c>
      <c r="X9" s="2899"/>
      <c r="Y9" s="2023"/>
      <c r="Z9" s="2023"/>
      <c r="AA9" s="2023"/>
      <c r="AB9" s="2023"/>
      <c r="AC9" s="2023"/>
      <c r="AD9" s="2023"/>
    </row>
    <row r="10" spans="1:30" s="2040" customFormat="1" ht="13.2">
      <c r="A10" s="2898" t="s">
        <v>3367</v>
      </c>
      <c r="B10" s="2026">
        <v>2023</v>
      </c>
      <c r="C10" s="2037">
        <v>2</v>
      </c>
      <c r="D10" s="2002">
        <v>0.91</v>
      </c>
      <c r="E10" s="2002">
        <v>0.66</v>
      </c>
      <c r="F10" s="2002">
        <v>0.47</v>
      </c>
      <c r="G10" s="2002">
        <v>0.96</v>
      </c>
      <c r="H10" s="2910">
        <v>0.71</v>
      </c>
      <c r="I10" s="2003">
        <f t="shared" si="15"/>
        <v>0.47</v>
      </c>
      <c r="J10" s="2899"/>
      <c r="K10" s="2038">
        <f t="shared" si="28"/>
        <v>9.1000000000000004E-3</v>
      </c>
      <c r="L10" s="2023">
        <f t="shared" si="29"/>
        <v>6.6E-3</v>
      </c>
      <c r="M10" s="2023">
        <f t="shared" si="30"/>
        <v>4.6999999999999993E-3</v>
      </c>
      <c r="N10" s="2023">
        <f t="shared" si="31"/>
        <v>9.5999999999999992E-3</v>
      </c>
      <c r="O10" s="2023">
        <f t="shared" si="32"/>
        <v>7.0999999999999995E-3</v>
      </c>
      <c r="P10" s="2023">
        <f t="shared" si="33"/>
        <v>4.6999999999999993E-3</v>
      </c>
      <c r="Q10" s="2899"/>
      <c r="R10" s="2022">
        <f>ROUND(IF(项目基本情况!$B$8="出让",SUMPRODUCT(PRODUCT(1+K10:$K$19)),SUMPRODUCT(PRODUCT(1+K10:$K$18))),4)</f>
        <v>1.0755999999999999</v>
      </c>
      <c r="S10" s="2022">
        <f>ROUND(IF(项目基本情况!$B$8="出让",SUMPRODUCT(PRODUCT(1+L10:$L$19)),SUMPRODUCT(PRODUCT(1+L10:$L$18))),4)</f>
        <v>1.0395000000000001</v>
      </c>
      <c r="T10" s="2022">
        <f>ROUND(IF(项目基本情况!$B$8="出让",SUMPRODUCT(PRODUCT(1+M10:$M$19)),SUMPRODUCT(PRODUCT(1+M10:$M$18))),4)</f>
        <v>1.0250999999999999</v>
      </c>
      <c r="U10" s="2022">
        <f>ROUND(IF(项目基本情况!$B$8="出让",SUMPRODUCT(PRODUCT(1+N10:$N$19)),SUMPRODUCT(PRODUCT(1+N10:$N$18))),4)</f>
        <v>1.0818000000000001</v>
      </c>
      <c r="V10" s="2022">
        <f>ROUND(IF(项目基本情况!$B$8="出让",SUMPRODUCT(PRODUCT(1+O10:$O$19)),SUMPRODUCT(PRODUCT(1+O10:$O$18))),4)</f>
        <v>1.0629999999999999</v>
      </c>
      <c r="W10" s="2022">
        <f t="shared" si="34"/>
        <v>1.0250999999999999</v>
      </c>
      <c r="X10" s="2899"/>
      <c r="Y10" s="2023"/>
      <c r="Z10" s="2023"/>
      <c r="AA10" s="2023"/>
      <c r="AB10" s="2023"/>
      <c r="AC10" s="2023"/>
      <c r="AD10" s="2023"/>
    </row>
    <row r="11" spans="1:30" s="2040" customFormat="1" ht="13.2">
      <c r="A11" s="2898" t="s">
        <v>3366</v>
      </c>
      <c r="B11" s="2026">
        <v>2023</v>
      </c>
      <c r="C11" s="2037">
        <v>1</v>
      </c>
      <c r="D11" s="2002">
        <v>0.89</v>
      </c>
      <c r="E11" s="2002">
        <v>0.74</v>
      </c>
      <c r="F11" s="2002">
        <v>0.56999999999999995</v>
      </c>
      <c r="G11" s="2002">
        <v>0.92</v>
      </c>
      <c r="H11" s="2910">
        <v>0.5</v>
      </c>
      <c r="I11" s="2003">
        <f t="shared" si="15"/>
        <v>0.56999999999999995</v>
      </c>
      <c r="J11" s="2899"/>
      <c r="K11" s="2038">
        <f t="shared" si="28"/>
        <v>8.8999999999999999E-3</v>
      </c>
      <c r="L11" s="2023">
        <f t="shared" si="29"/>
        <v>7.4000000000000003E-3</v>
      </c>
      <c r="M11" s="2023">
        <f t="shared" si="30"/>
        <v>5.6999999999999993E-3</v>
      </c>
      <c r="N11" s="2023">
        <f t="shared" si="31"/>
        <v>9.1999999999999998E-3</v>
      </c>
      <c r="O11" s="2023">
        <f t="shared" si="32"/>
        <v>5.0000000000000001E-3</v>
      </c>
      <c r="P11" s="2023">
        <f t="shared" si="33"/>
        <v>5.6999999999999993E-3</v>
      </c>
      <c r="Q11" s="2899"/>
      <c r="R11" s="2022">
        <f>ROUND(IF(项目基本情况!$B$8="出让",SUMPRODUCT(PRODUCT(1+K11:$K$19)),SUMPRODUCT(PRODUCT(1+K11:$K$18))),4)</f>
        <v>1.0659000000000001</v>
      </c>
      <c r="S11" s="2022">
        <f>ROUND(IF(项目基本情况!$B$8="出让",SUMPRODUCT(PRODUCT(1+L11:$L$19)),SUMPRODUCT(PRODUCT(1+L11:$L$18))),4)</f>
        <v>1.0326</v>
      </c>
      <c r="T11" s="2022">
        <f>ROUND(IF(项目基本情况!$B$8="出让",SUMPRODUCT(PRODUCT(1+M11:$M$19)),SUMPRODUCT(PRODUCT(1+M11:$M$18))),4)</f>
        <v>1.0203</v>
      </c>
      <c r="U11" s="2022">
        <f>ROUND(IF(项目基本情况!$B$8="出让",SUMPRODUCT(PRODUCT(1+N11:$N$19)),SUMPRODUCT(PRODUCT(1+N11:$N$18))),4)</f>
        <v>1.0714999999999999</v>
      </c>
      <c r="V11" s="2022">
        <f>ROUND(IF(项目基本情况!$B$8="出让",SUMPRODUCT(PRODUCT(1+O11:$O$19)),SUMPRODUCT(PRODUCT(1+O11:$O$18))),4)</f>
        <v>1.0555000000000001</v>
      </c>
      <c r="W11" s="2022">
        <f t="shared" ref="W11:W18" si="35">T11</f>
        <v>1.0203</v>
      </c>
      <c r="X11" s="2899"/>
      <c r="Y11" s="2023"/>
      <c r="Z11" s="2023"/>
      <c r="AA11" s="2023"/>
      <c r="AB11" s="2023"/>
      <c r="AC11" s="2023"/>
      <c r="AD11" s="2023"/>
    </row>
    <row r="12" spans="1:30" s="2040" customFormat="1" ht="13.2">
      <c r="A12" s="2898" t="s">
        <v>3365</v>
      </c>
      <c r="B12" s="2026">
        <v>2022</v>
      </c>
      <c r="C12" s="2037">
        <v>4</v>
      </c>
      <c r="D12" s="2002">
        <v>0.62</v>
      </c>
      <c r="E12" s="2002">
        <v>0.2</v>
      </c>
      <c r="F12" s="2002">
        <v>0.11</v>
      </c>
      <c r="G12" s="2002">
        <v>0.69</v>
      </c>
      <c r="H12" s="2910">
        <v>0.53</v>
      </c>
      <c r="I12" s="2003">
        <f t="shared" si="15"/>
        <v>0.11</v>
      </c>
      <c r="J12" s="2899"/>
      <c r="K12" s="2038">
        <f t="shared" si="16"/>
        <v>6.1999999999999998E-3</v>
      </c>
      <c r="L12" s="2023">
        <f t="shared" si="16"/>
        <v>2E-3</v>
      </c>
      <c r="M12" s="2023">
        <f t="shared" si="16"/>
        <v>1.1000000000000001E-3</v>
      </c>
      <c r="N12" s="2023">
        <f t="shared" si="16"/>
        <v>6.8999999999999999E-3</v>
      </c>
      <c r="O12" s="2023">
        <f t="shared" si="16"/>
        <v>5.3E-3</v>
      </c>
      <c r="P12" s="2023">
        <f t="shared" ref="P12:P19" si="36">M12</f>
        <v>1.1000000000000001E-3</v>
      </c>
      <c r="Q12" s="2899"/>
      <c r="R12" s="2022">
        <f>ROUND(IF(项目基本情况!$B$8="出让",SUMPRODUCT(PRODUCT(1+K12:$K$19)),SUMPRODUCT(PRODUCT(1+K12:$K$18))),4)</f>
        <v>1.0565</v>
      </c>
      <c r="S12" s="2022">
        <f>ROUND(IF(项目基本情况!$B$8="出让",SUMPRODUCT(PRODUCT(1+L12:$L$19)),SUMPRODUCT(PRODUCT(1+L12:$L$18))),4)</f>
        <v>1.0250999999999999</v>
      </c>
      <c r="T12" s="2022">
        <f>ROUND(IF(项目基本情况!$B$8="出让",SUMPRODUCT(PRODUCT(1+M12:$M$19)),SUMPRODUCT(PRODUCT(1+M12:$M$18))),4)</f>
        <v>1.0145</v>
      </c>
      <c r="U12" s="2022">
        <f>ROUND(IF(项目基本情况!$B$8="出让",SUMPRODUCT(PRODUCT(1+N12:$N$19)),SUMPRODUCT(PRODUCT(1+N12:$N$18))),4)</f>
        <v>1.0618000000000001</v>
      </c>
      <c r="V12" s="2022">
        <f>ROUND(IF(项目基本情况!$B$8="出让",SUMPRODUCT(PRODUCT(1+O12:$O$19)),SUMPRODUCT(PRODUCT(1+O12:$O$18))),4)</f>
        <v>1.0502</v>
      </c>
      <c r="W12" s="2022">
        <f t="shared" si="35"/>
        <v>1.0145</v>
      </c>
      <c r="X12" s="2899"/>
      <c r="Y12" s="2023">
        <f>IF(D12=0,0,ROUND(AVERAGE(D12:D20)/100,4))</f>
        <v>8.0999999999999996E-3</v>
      </c>
      <c r="Z12" s="2023">
        <f t="shared" ref="Z12:AC12" si="37">IF(E12=0,0,ROUND(AVERAGE(E12:E19)/100,4))</f>
        <v>3.3E-3</v>
      </c>
      <c r="AA12" s="2023">
        <f t="shared" si="37"/>
        <v>1.5E-3</v>
      </c>
      <c r="AB12" s="2023">
        <f t="shared" si="37"/>
        <v>8.8999999999999999E-3</v>
      </c>
      <c r="AC12" s="2023">
        <f t="shared" si="37"/>
        <v>6.6E-3</v>
      </c>
      <c r="AD12" s="2023">
        <f t="shared" si="18"/>
        <v>1.5E-3</v>
      </c>
    </row>
    <row r="13" spans="1:30" s="2040" customFormat="1" ht="13.2">
      <c r="A13" s="2898" t="s">
        <v>3361</v>
      </c>
      <c r="B13" s="2026">
        <v>2022</v>
      </c>
      <c r="C13" s="2037">
        <v>3</v>
      </c>
      <c r="D13" s="2002">
        <v>0.66</v>
      </c>
      <c r="E13" s="2002">
        <v>0.32</v>
      </c>
      <c r="F13" s="2002">
        <v>0.23</v>
      </c>
      <c r="G13" s="2002">
        <v>0.72</v>
      </c>
      <c r="H13" s="2910">
        <v>0.63</v>
      </c>
      <c r="I13" s="2003">
        <f t="shared" si="15"/>
        <v>0.23</v>
      </c>
      <c r="J13" s="2899"/>
      <c r="K13" s="2038">
        <f t="shared" si="16"/>
        <v>6.6E-3</v>
      </c>
      <c r="L13" s="2023">
        <f t="shared" si="16"/>
        <v>3.2000000000000002E-3</v>
      </c>
      <c r="M13" s="2023">
        <f t="shared" si="16"/>
        <v>2.3E-3</v>
      </c>
      <c r="N13" s="2023">
        <f t="shared" si="16"/>
        <v>7.1999999999999998E-3</v>
      </c>
      <c r="O13" s="2023">
        <f t="shared" si="16"/>
        <v>6.3E-3</v>
      </c>
      <c r="P13" s="2023">
        <f t="shared" si="36"/>
        <v>2.3E-3</v>
      </c>
      <c r="Q13" s="2899"/>
      <c r="R13" s="2022">
        <f>ROUND(IF(项目基本情况!$B$8="出让",SUMPRODUCT(PRODUCT(1+K13:$K$19)),SUMPRODUCT(PRODUCT(1+K13:$K$18))),4)</f>
        <v>1.05</v>
      </c>
      <c r="S13" s="2022">
        <f>ROUND(IF(项目基本情况!$B$8="出让",SUMPRODUCT(PRODUCT(1+L13:$L$19)),SUMPRODUCT(PRODUCT(1+L13:$L$18))),4)</f>
        <v>1.0229999999999999</v>
      </c>
      <c r="T13" s="2022">
        <f>ROUND(IF(项目基本情况!$B$8="出让",SUMPRODUCT(PRODUCT(1+M13:$M$19)),SUMPRODUCT(PRODUCT(1+M13:$M$18))),4)</f>
        <v>1.0134000000000001</v>
      </c>
      <c r="U13" s="2022">
        <f>ROUND(IF(项目基本情况!$B$8="出让",SUMPRODUCT(PRODUCT(1+N13:$N$19)),SUMPRODUCT(PRODUCT(1+N13:$N$18))),4)</f>
        <v>1.0545</v>
      </c>
      <c r="V13" s="2022">
        <f>ROUND(IF(项目基本情况!$B$8="出让",SUMPRODUCT(PRODUCT(1+O13:$O$19)),SUMPRODUCT(PRODUCT(1+O13:$O$18))),4)</f>
        <v>1.0447</v>
      </c>
      <c r="W13" s="2022">
        <f t="shared" si="35"/>
        <v>1.0134000000000001</v>
      </c>
      <c r="X13" s="2899"/>
      <c r="Y13" s="2023">
        <f>IF(D13=0,0,ROUND(AVERAGE(D13:D19)/100,4))</f>
        <v>8.3999999999999995E-3</v>
      </c>
      <c r="Z13" s="2023">
        <f t="shared" ref="Z13:AC13" si="38">IF(E13=0,0,ROUND(AVERAGE(E13:E19)/100,4))</f>
        <v>3.5000000000000001E-3</v>
      </c>
      <c r="AA13" s="2023">
        <f t="shared" si="38"/>
        <v>1.5E-3</v>
      </c>
      <c r="AB13" s="2023">
        <f t="shared" si="38"/>
        <v>9.1999999999999998E-3</v>
      </c>
      <c r="AC13" s="2023">
        <f t="shared" si="38"/>
        <v>6.7999999999999996E-3</v>
      </c>
      <c r="AD13" s="2023">
        <f t="shared" si="18"/>
        <v>1.5E-3</v>
      </c>
    </row>
    <row r="14" spans="1:30" s="2040" customFormat="1" ht="13.2">
      <c r="A14" s="2898" t="s">
        <v>3352</v>
      </c>
      <c r="B14" s="2026">
        <v>2022</v>
      </c>
      <c r="C14" s="2037">
        <v>2</v>
      </c>
      <c r="D14" s="2002">
        <v>0.93</v>
      </c>
      <c r="E14" s="2002">
        <v>0.15</v>
      </c>
      <c r="F14" s="2002">
        <v>0.01</v>
      </c>
      <c r="G14" s="2002">
        <v>1.05</v>
      </c>
      <c r="H14" s="2910">
        <v>1.08</v>
      </c>
      <c r="I14" s="2003">
        <f t="shared" si="15"/>
        <v>0.01</v>
      </c>
      <c r="J14" s="2899"/>
      <c r="K14" s="2038">
        <f t="shared" si="16"/>
        <v>9.300000000000001E-3</v>
      </c>
      <c r="L14" s="2023">
        <f t="shared" si="16"/>
        <v>1.5E-3</v>
      </c>
      <c r="M14" s="2023">
        <f t="shared" si="16"/>
        <v>1E-4</v>
      </c>
      <c r="N14" s="2023">
        <f t="shared" si="16"/>
        <v>1.0500000000000001E-2</v>
      </c>
      <c r="O14" s="2023">
        <f t="shared" si="16"/>
        <v>1.0800000000000001E-2</v>
      </c>
      <c r="P14" s="2023">
        <f t="shared" si="36"/>
        <v>1E-4</v>
      </c>
      <c r="Q14" s="2899"/>
      <c r="R14" s="2022">
        <f>ROUND(IF(项目基本情况!$B$8="出让",SUMPRODUCT(PRODUCT(1+K14:$K$19)),SUMPRODUCT(PRODUCT(1+K14:$K$18))),4)</f>
        <v>1.0430999999999999</v>
      </c>
      <c r="S14" s="2022">
        <f>ROUND(IF(项目基本情况!$B$8="出让",SUMPRODUCT(PRODUCT(1+L14:$L$19)),SUMPRODUCT(PRODUCT(1+L14:$L$18))),4)</f>
        <v>1.0197000000000001</v>
      </c>
      <c r="T14" s="2022">
        <f>ROUND(IF(项目基本情况!$B$8="出让",SUMPRODUCT(PRODUCT(1+M14:$M$19)),SUMPRODUCT(PRODUCT(1+M14:$M$18))),4)</f>
        <v>1.0109999999999999</v>
      </c>
      <c r="U14" s="2022">
        <f>ROUND(IF(项目基本情况!$B$8="出让",SUMPRODUCT(PRODUCT(1+N14:$N$19)),SUMPRODUCT(PRODUCT(1+N14:$N$18))),4)</f>
        <v>1.0468999999999999</v>
      </c>
      <c r="V14" s="2022">
        <f>ROUND(IF(项目基本情况!$B$8="出让",SUMPRODUCT(PRODUCT(1+O14:$O$19)),SUMPRODUCT(PRODUCT(1+O14:$O$18))),4)</f>
        <v>1.0382</v>
      </c>
      <c r="W14" s="2022">
        <f t="shared" si="35"/>
        <v>1.0109999999999999</v>
      </c>
      <c r="X14" s="2899"/>
      <c r="Y14" s="2023">
        <f>IF(D14=0,0,ROUND(AVERAGE(D14:D19)/100,4))</f>
        <v>8.6999999999999994E-3</v>
      </c>
      <c r="Z14" s="2023">
        <f t="shared" ref="Z14:AC14" si="39">IF(E14=0,0,ROUND(AVERAGE(E14:E19)/100,4))</f>
        <v>3.5000000000000001E-3</v>
      </c>
      <c r="AA14" s="2023">
        <f t="shared" si="39"/>
        <v>1.4E-3</v>
      </c>
      <c r="AB14" s="2023">
        <f t="shared" si="39"/>
        <v>9.4999999999999998E-3</v>
      </c>
      <c r="AC14" s="2023">
        <f t="shared" si="39"/>
        <v>6.8999999999999999E-3</v>
      </c>
      <c r="AD14" s="2023">
        <f t="shared" si="18"/>
        <v>1.4E-3</v>
      </c>
    </row>
    <row r="15" spans="1:30" s="2040" customFormat="1" ht="13.2">
      <c r="A15" s="2898" t="s">
        <v>2817</v>
      </c>
      <c r="B15" s="2026">
        <v>2022</v>
      </c>
      <c r="C15" s="2037">
        <v>1</v>
      </c>
      <c r="D15" s="2002">
        <v>0.89</v>
      </c>
      <c r="E15" s="2002">
        <v>0.44</v>
      </c>
      <c r="F15" s="2002">
        <v>0.37</v>
      </c>
      <c r="G15" s="2002">
        <v>0.96</v>
      </c>
      <c r="H15" s="2910">
        <v>0.64</v>
      </c>
      <c r="I15" s="2003">
        <f t="shared" si="15"/>
        <v>0.37</v>
      </c>
      <c r="J15" s="2899"/>
      <c r="K15" s="2038">
        <f t="shared" si="16"/>
        <v>8.8999999999999999E-3</v>
      </c>
      <c r="L15" s="2023">
        <f t="shared" si="16"/>
        <v>4.4000000000000003E-3</v>
      </c>
      <c r="M15" s="2023">
        <f t="shared" si="16"/>
        <v>3.7000000000000002E-3</v>
      </c>
      <c r="N15" s="2023">
        <f t="shared" si="16"/>
        <v>9.5999999999999992E-3</v>
      </c>
      <c r="O15" s="2023">
        <f t="shared" si="16"/>
        <v>6.4000000000000003E-3</v>
      </c>
      <c r="P15" s="2023">
        <f t="shared" si="36"/>
        <v>3.7000000000000002E-3</v>
      </c>
      <c r="Q15" s="2899"/>
      <c r="R15" s="2022">
        <f>ROUND(IF(项目基本情况!$B$8="出让",SUMPRODUCT(PRODUCT(1+K15:$K$19)),SUMPRODUCT(PRODUCT(1+K15:$K$18))),4)</f>
        <v>1.0335000000000001</v>
      </c>
      <c r="S15" s="2022">
        <f>ROUND(IF(项目基本情况!$B$8="出让",SUMPRODUCT(PRODUCT(1+L15:$L$19)),SUMPRODUCT(PRODUCT(1+L15:$L$18))),4)</f>
        <v>1.0182</v>
      </c>
      <c r="T15" s="2022">
        <f>ROUND(IF(项目基本情况!$B$8="出让",SUMPRODUCT(PRODUCT(1+M15:$M$19)),SUMPRODUCT(PRODUCT(1+M15:$M$18))),4)</f>
        <v>1.0108999999999999</v>
      </c>
      <c r="U15" s="2022">
        <f>ROUND(IF(项目基本情况!$B$8="出让",SUMPRODUCT(PRODUCT(1+N15:$N$19)),SUMPRODUCT(PRODUCT(1+N15:$N$18))),4)</f>
        <v>1.0361</v>
      </c>
      <c r="V15" s="2022">
        <f>ROUND(IF(项目基本情况!$B$8="出让",SUMPRODUCT(PRODUCT(1+O15:$O$19)),SUMPRODUCT(PRODUCT(1+O15:$O$18))),4)</f>
        <v>1.0270999999999999</v>
      </c>
      <c r="W15" s="2022">
        <f t="shared" si="35"/>
        <v>1.0108999999999999</v>
      </c>
      <c r="X15" s="2899"/>
      <c r="Y15" s="2023">
        <f>IF(D15=0,0,ROUND(AVERAGE(D15:D19)/100,4))</f>
        <v>8.6E-3</v>
      </c>
      <c r="Z15" s="2023">
        <f t="shared" ref="Z15:AC15" si="40">IF(E15=0,0,ROUND(AVERAGE(E15:E19)/100,4))</f>
        <v>3.8999999999999998E-3</v>
      </c>
      <c r="AA15" s="2023">
        <f t="shared" si="40"/>
        <v>1.6999999999999999E-3</v>
      </c>
      <c r="AB15" s="2023">
        <f t="shared" si="40"/>
        <v>9.2999999999999992E-3</v>
      </c>
      <c r="AC15" s="2023">
        <f t="shared" si="40"/>
        <v>6.1000000000000004E-3</v>
      </c>
      <c r="AD15" s="2023">
        <f t="shared" si="18"/>
        <v>1.6999999999999999E-3</v>
      </c>
    </row>
    <row r="16" spans="1:30" s="2040" customFormat="1" ht="13.2">
      <c r="A16" s="2898" t="s">
        <v>2818</v>
      </c>
      <c r="B16" s="2026">
        <v>2021</v>
      </c>
      <c r="C16" s="2037">
        <v>4</v>
      </c>
      <c r="D16" s="2002">
        <v>1.03</v>
      </c>
      <c r="E16" s="2002">
        <v>0.24</v>
      </c>
      <c r="F16" s="2002">
        <v>7.0000000000000007E-2</v>
      </c>
      <c r="G16" s="2002">
        <v>1.17</v>
      </c>
      <c r="H16" s="2910">
        <v>0.55000000000000004</v>
      </c>
      <c r="I16" s="2003">
        <f t="shared" si="15"/>
        <v>7.0000000000000007E-2</v>
      </c>
      <c r="J16" s="2899"/>
      <c r="K16" s="2038">
        <f t="shared" si="16"/>
        <v>1.03E-2</v>
      </c>
      <c r="L16" s="2023">
        <f t="shared" si="16"/>
        <v>2.3999999999999998E-3</v>
      </c>
      <c r="M16" s="2023">
        <f t="shared" si="16"/>
        <v>7.000000000000001E-4</v>
      </c>
      <c r="N16" s="2023">
        <f t="shared" si="16"/>
        <v>1.1699999999999999E-2</v>
      </c>
      <c r="O16" s="2023">
        <f t="shared" si="16"/>
        <v>5.5000000000000005E-3</v>
      </c>
      <c r="P16" s="2023">
        <f t="shared" si="36"/>
        <v>7.000000000000001E-4</v>
      </c>
      <c r="Q16" s="2899"/>
      <c r="R16" s="2022">
        <f>ROUND(IF(项目基本情况!$B$8="出让",SUMPRODUCT(PRODUCT(1+K16:$K$19)),SUMPRODUCT(PRODUCT(1+K16:$K$18))),4)</f>
        <v>1.0244</v>
      </c>
      <c r="S16" s="2022">
        <f>ROUND(IF(项目基本情况!$B$8="出让",SUMPRODUCT(PRODUCT(1+L16:$L$19)),SUMPRODUCT(PRODUCT(1+L16:$L$18))),4)</f>
        <v>1.0138</v>
      </c>
      <c r="T16" s="2022">
        <f>ROUND(IF(项目基本情况!$B$8="出让",SUMPRODUCT(PRODUCT(1+M16:$M$19)),SUMPRODUCT(PRODUCT(1+M16:$M$18))),4)</f>
        <v>1.0072000000000001</v>
      </c>
      <c r="U16" s="2022">
        <f>ROUND(IF(项目基本情况!$B$8="出让",SUMPRODUCT(PRODUCT(1+N16:$N$19)),SUMPRODUCT(PRODUCT(1+N16:$N$18))),4)</f>
        <v>1.0262</v>
      </c>
      <c r="V16" s="2022">
        <f>ROUND(IF(项目基本情况!$B$8="出让",SUMPRODUCT(PRODUCT(1+O16:$O$19)),SUMPRODUCT(PRODUCT(1+O16:$O$18))),4)</f>
        <v>1.0205</v>
      </c>
      <c r="W16" s="2022">
        <f t="shared" si="35"/>
        <v>1.0072000000000001</v>
      </c>
      <c r="X16" s="2899"/>
      <c r="Y16" s="2023">
        <f>IF(D16=0,0,ROUND(AVERAGE(D16:D19)/100,4))</f>
        <v>8.5000000000000006E-3</v>
      </c>
      <c r="Z16" s="2023">
        <f t="shared" ref="Z16:AC16" si="41">IF(E16=0,0,ROUND(AVERAGE(E16:E19)/100,4))</f>
        <v>3.8E-3</v>
      </c>
      <c r="AA16" s="2023">
        <f t="shared" si="41"/>
        <v>1.1999999999999999E-3</v>
      </c>
      <c r="AB16" s="2023">
        <f t="shared" si="41"/>
        <v>9.2999999999999992E-3</v>
      </c>
      <c r="AC16" s="2023">
        <f t="shared" si="41"/>
        <v>6.0000000000000001E-3</v>
      </c>
      <c r="AD16" s="2023">
        <f t="shared" si="18"/>
        <v>1.1999999999999999E-3</v>
      </c>
    </row>
    <row r="17" spans="1:30" s="2040" customFormat="1" ht="13.2">
      <c r="A17" s="2898" t="s">
        <v>2819</v>
      </c>
      <c r="B17" s="2026">
        <v>2021</v>
      </c>
      <c r="C17" s="2037">
        <v>3</v>
      </c>
      <c r="D17" s="2002">
        <v>0.47</v>
      </c>
      <c r="E17" s="2002">
        <v>0.41</v>
      </c>
      <c r="F17" s="2002">
        <v>0.24</v>
      </c>
      <c r="G17" s="2002">
        <v>0.48</v>
      </c>
      <c r="H17" s="2910">
        <v>0.48</v>
      </c>
      <c r="I17" s="2003">
        <f t="shared" si="15"/>
        <v>0.24</v>
      </c>
      <c r="J17" s="2899"/>
      <c r="K17" s="2038">
        <f t="shared" si="16"/>
        <v>4.6999999999999993E-3</v>
      </c>
      <c r="L17" s="2023">
        <f t="shared" si="16"/>
        <v>4.0999999999999995E-3</v>
      </c>
      <c r="M17" s="2023">
        <f t="shared" si="16"/>
        <v>2.3999999999999998E-3</v>
      </c>
      <c r="N17" s="2023">
        <f t="shared" si="16"/>
        <v>4.7999999999999996E-3</v>
      </c>
      <c r="O17" s="2023">
        <f t="shared" si="16"/>
        <v>4.7999999999999996E-3</v>
      </c>
      <c r="P17" s="2023">
        <f t="shared" si="36"/>
        <v>2.3999999999999998E-3</v>
      </c>
      <c r="Q17" s="2899"/>
      <c r="R17" s="2022">
        <f>ROUND(IF(项目基本情况!$B$8="出让",SUMPRODUCT(PRODUCT(1+K17:$K$19)),SUMPRODUCT(PRODUCT(1+K17:$K$18))),4)</f>
        <v>1.0139</v>
      </c>
      <c r="S17" s="2022">
        <f>ROUND(IF(项目基本情况!$B$8="出让",SUMPRODUCT(PRODUCT(1+L17:$L$19)),SUMPRODUCT(PRODUCT(1+L17:$L$18))),4)</f>
        <v>1.0113000000000001</v>
      </c>
      <c r="T17" s="2022">
        <f>ROUND(IF(项目基本情况!$B$8="出让",SUMPRODUCT(PRODUCT(1+M17:$M$19)),SUMPRODUCT(PRODUCT(1+M17:$M$18))),4)</f>
        <v>1.0065</v>
      </c>
      <c r="U17" s="2022">
        <f>ROUND(IF(项目基本情况!$B$8="出让",SUMPRODUCT(PRODUCT(1+N17:$N$19)),SUMPRODUCT(PRODUCT(1+N17:$N$18))),4)</f>
        <v>1.0143</v>
      </c>
      <c r="V17" s="2022">
        <f>ROUND(IF(项目基本情况!$B$8="出让",SUMPRODUCT(PRODUCT(1+O17:$O$19)),SUMPRODUCT(PRODUCT(1+O17:$O$18))),4)</f>
        <v>1.0148999999999999</v>
      </c>
      <c r="W17" s="2022">
        <f t="shared" si="35"/>
        <v>1.0065</v>
      </c>
      <c r="X17" s="2899"/>
      <c r="Y17" s="2023">
        <f>IF(D17=0,0,ROUND(AVERAGE(D17:D19)/100,4))</f>
        <v>7.9000000000000008E-3</v>
      </c>
      <c r="Z17" s="2023">
        <f>IF(E17=0,0,ROUND(AVERAGE(E17:E19)/100,4))</f>
        <v>4.3E-3</v>
      </c>
      <c r="AA17" s="2023">
        <f>IF(F17=0,0,ROUND(AVERAGE(F17:F19)/100,4))</f>
        <v>1.2999999999999999E-3</v>
      </c>
      <c r="AB17" s="2023">
        <f>IF(G17=0,0,ROUND(AVERAGE(G17:G19)/100,4))</f>
        <v>8.5000000000000006E-3</v>
      </c>
      <c r="AC17" s="2023">
        <f>IF(H17=0,0,ROUND(AVERAGE(H17:H19)/100,4))</f>
        <v>6.1999999999999998E-3</v>
      </c>
      <c r="AD17" s="2023">
        <f t="shared" si="18"/>
        <v>1.2999999999999999E-3</v>
      </c>
    </row>
    <row r="18" spans="1:30" s="2040" customFormat="1" ht="13.2">
      <c r="A18" s="2898" t="s">
        <v>2820</v>
      </c>
      <c r="B18" s="2026">
        <v>2021</v>
      </c>
      <c r="C18" s="2037">
        <v>2</v>
      </c>
      <c r="D18" s="2002">
        <v>0.92</v>
      </c>
      <c r="E18" s="2002">
        <v>0.72</v>
      </c>
      <c r="F18" s="2002">
        <v>0.41</v>
      </c>
      <c r="G18" s="2002">
        <v>0.95</v>
      </c>
      <c r="H18" s="2910">
        <v>1.01</v>
      </c>
      <c r="I18" s="2003">
        <f t="shared" si="15"/>
        <v>0.41</v>
      </c>
      <c r="J18" s="2899"/>
      <c r="K18" s="2038">
        <f t="shared" si="16"/>
        <v>9.1999999999999998E-3</v>
      </c>
      <c r="L18" s="2023">
        <f t="shared" si="16"/>
        <v>7.1999999999999998E-3</v>
      </c>
      <c r="M18" s="2023">
        <f t="shared" si="16"/>
        <v>4.0999999999999995E-3</v>
      </c>
      <c r="N18" s="2023">
        <f t="shared" si="16"/>
        <v>9.4999999999999998E-3</v>
      </c>
      <c r="O18" s="2023">
        <f t="shared" si="16"/>
        <v>1.01E-2</v>
      </c>
      <c r="P18" s="2023">
        <f t="shared" si="36"/>
        <v>4.0999999999999995E-3</v>
      </c>
      <c r="Q18" s="2899"/>
      <c r="R18" s="2022">
        <f>ROUND(IF(项目基本情况!$B$8="出让",SUMPRODUCT(PRODUCT(1+K18:$K$19)),SUMPRODUCT(PRODUCT(1+K18:$K$18))),4)</f>
        <v>1.0092000000000001</v>
      </c>
      <c r="S18" s="2022">
        <f>ROUND(IF(项目基本情况!$B$8="出让",SUMPRODUCT(PRODUCT(1+L18:$L$19)),SUMPRODUCT(PRODUCT(1+L18:$L$18))),4)</f>
        <v>1.0072000000000001</v>
      </c>
      <c r="T18" s="2022">
        <f>ROUND(IF(项目基本情况!$B$8="出让",SUMPRODUCT(PRODUCT(1+M18:$M$19)),SUMPRODUCT(PRODUCT(1+M18:$M$18))),4)</f>
        <v>1.0041</v>
      </c>
      <c r="U18" s="2022">
        <f>ROUND(IF(项目基本情况!$B$8="出让",SUMPRODUCT(PRODUCT(1+N18:$N$19)),SUMPRODUCT(PRODUCT(1+N18:$N$18))),4)</f>
        <v>1.0095000000000001</v>
      </c>
      <c r="V18" s="2022">
        <f>ROUND(IF(项目基本情况!$B$8="出让",SUMPRODUCT(PRODUCT(1+O18:$O$19)),SUMPRODUCT(PRODUCT(1+O18:$O$18))),4)</f>
        <v>1.0101</v>
      </c>
      <c r="W18" s="2022">
        <f t="shared" si="35"/>
        <v>1.0041</v>
      </c>
      <c r="X18" s="2899"/>
      <c r="Y18" s="2023">
        <f>IF(D18=0,0,ROUND(AVERAGE(D18:D19)/100,4))</f>
        <v>9.4999999999999998E-3</v>
      </c>
      <c r="Z18" s="2023">
        <f>IF(E18=0,0,ROUND(AVERAGE(E18:E19)/100,4))</f>
        <v>4.4000000000000003E-3</v>
      </c>
      <c r="AA18" s="2023">
        <f>IF(F18=0,0,ROUND(AVERAGE(F18:F19)/100,4))</f>
        <v>8.0000000000000004E-4</v>
      </c>
      <c r="AB18" s="2023">
        <f>IF(G18=0,0,ROUND(AVERAGE(G18:G19)/100,4))</f>
        <v>1.03E-2</v>
      </c>
      <c r="AC18" s="2023">
        <f>IF(H18=0,0,ROUND(AVERAGE(H18:H19)/100,4))</f>
        <v>6.8999999999999999E-3</v>
      </c>
      <c r="AD18" s="2023">
        <f t="shared" si="18"/>
        <v>8.0000000000000004E-4</v>
      </c>
    </row>
    <row r="19" spans="1:30" s="2921" customFormat="1" ht="13.8" thickBot="1">
      <c r="A19" s="2911" t="s">
        <v>2821</v>
      </c>
      <c r="B19" s="2912">
        <v>2021</v>
      </c>
      <c r="C19" s="2913">
        <v>1</v>
      </c>
      <c r="D19" s="2914">
        <v>0.97</v>
      </c>
      <c r="E19" s="2914">
        <v>0.16</v>
      </c>
      <c r="F19" s="2914">
        <v>-0.25</v>
      </c>
      <c r="G19" s="2914">
        <v>1.1100000000000001</v>
      </c>
      <c r="H19" s="2915">
        <v>0.36</v>
      </c>
      <c r="I19" s="2916">
        <f t="shared" si="15"/>
        <v>-0.25</v>
      </c>
      <c r="J19" s="2917"/>
      <c r="K19" s="2918">
        <f t="shared" si="16"/>
        <v>9.7000000000000003E-3</v>
      </c>
      <c r="L19" s="2919">
        <f t="shared" si="16"/>
        <v>1.6000000000000001E-3</v>
      </c>
      <c r="M19" s="2919">
        <f>F19/100</f>
        <v>-2.5000000000000001E-3</v>
      </c>
      <c r="N19" s="2919">
        <f t="shared" si="16"/>
        <v>1.11E-2</v>
      </c>
      <c r="O19" s="2919">
        <f t="shared" si="16"/>
        <v>3.5999999999999999E-3</v>
      </c>
      <c r="P19" s="2919">
        <f t="shared" si="36"/>
        <v>-2.5000000000000001E-3</v>
      </c>
      <c r="Q19" s="2917"/>
      <c r="R19" s="2920">
        <v>1</v>
      </c>
      <c r="S19" s="2920">
        <v>1</v>
      </c>
      <c r="T19" s="2920">
        <v>1</v>
      </c>
      <c r="U19" s="2920">
        <v>1</v>
      </c>
      <c r="V19" s="2920">
        <v>1</v>
      </c>
      <c r="W19" s="2920">
        <f t="shared" ref="W19" si="42">T19</f>
        <v>1</v>
      </c>
      <c r="X19" s="2917"/>
      <c r="Y19" s="2919">
        <f>IF(D19=0,0,ROUND(AVERAGE(D19:D19)/100,4))</f>
        <v>9.7000000000000003E-3</v>
      </c>
      <c r="Z19" s="2919">
        <f>IF(E19=0,0,ROUND(AVERAGE(E19:E19)/100,4))</f>
        <v>1.6000000000000001E-3</v>
      </c>
      <c r="AA19" s="2919">
        <f>IF(F19=0,0,ROUND(AVERAGE(F19:F19)/100,4))</f>
        <v>-2.5000000000000001E-3</v>
      </c>
      <c r="AB19" s="2919">
        <f>IF(G19=0,0,ROUND(AVERAGE(G19:G19)/100,4))</f>
        <v>1.11E-2</v>
      </c>
      <c r="AC19" s="2919">
        <f>IF(H19=0,0,ROUND(AVERAGE(H19:H19)/100,4))</f>
        <v>3.5999999999999999E-3</v>
      </c>
      <c r="AD19" s="2919">
        <f>AA19</f>
        <v>-2.5000000000000001E-3</v>
      </c>
    </row>
    <row r="20" spans="1:30" ht="15" thickTop="1"/>
    <row r="21" spans="1:30">
      <c r="A21" s="3136" t="s">
        <v>3363</v>
      </c>
    </row>
    <row r="22" spans="1:30">
      <c r="I22" s="1400" t="s">
        <v>2822</v>
      </c>
    </row>
    <row r="24" spans="1:30" s="2004" customFormat="1" ht="13.2">
      <c r="B24" s="2922" t="s">
        <v>3369</v>
      </c>
      <c r="C24" s="2923"/>
      <c r="D24" s="2923"/>
      <c r="E24" s="2923"/>
      <c r="F24" s="2923"/>
      <c r="G24" s="2923"/>
      <c r="H24" s="2923"/>
      <c r="I24" s="2923"/>
      <c r="J24" s="2889"/>
      <c r="K24" s="2923" t="s">
        <v>2823</v>
      </c>
      <c r="L24" s="2923"/>
      <c r="M24" s="2923"/>
      <c r="N24" s="2923"/>
      <c r="O24" s="2923"/>
      <c r="P24" s="2923"/>
      <c r="Q24" s="2889"/>
      <c r="R24" s="3496" t="s">
        <v>2824</v>
      </c>
      <c r="S24" s="3497"/>
      <c r="T24" s="3497"/>
      <c r="U24" s="3497"/>
      <c r="V24" s="3497"/>
      <c r="W24" s="3497"/>
      <c r="X24" s="2889"/>
      <c r="Y24" s="3496" t="s">
        <v>2825</v>
      </c>
      <c r="Z24" s="3497"/>
      <c r="AA24" s="3497"/>
      <c r="AB24" s="3497"/>
      <c r="AC24" s="3497"/>
      <c r="AD24" s="3497"/>
    </row>
    <row r="25" spans="1:30" s="2005" customFormat="1" ht="15" thickBot="1">
      <c r="B25" s="2874"/>
      <c r="C25" s="2875"/>
      <c r="D25" s="2006" t="s">
        <v>2826</v>
      </c>
      <c r="E25" s="2007" t="s">
        <v>2827</v>
      </c>
      <c r="F25" s="2007" t="s">
        <v>2828</v>
      </c>
      <c r="G25" s="2007" t="s">
        <v>2829</v>
      </c>
      <c r="H25" s="2007"/>
      <c r="I25" s="2007" t="s">
        <v>2830</v>
      </c>
      <c r="J25" s="2876"/>
      <c r="K25" s="2006" t="s">
        <v>2826</v>
      </c>
      <c r="L25" s="2007" t="s">
        <v>2827</v>
      </c>
      <c r="M25" s="2007" t="s">
        <v>2828</v>
      </c>
      <c r="N25" s="2007" t="s">
        <v>2829</v>
      </c>
      <c r="O25" s="2007"/>
      <c r="P25" s="2007" t="s">
        <v>2830</v>
      </c>
      <c r="Q25" s="2876"/>
      <c r="R25" s="2006" t="s">
        <v>2826</v>
      </c>
      <c r="S25" s="2007" t="s">
        <v>2827</v>
      </c>
      <c r="T25" s="2007" t="s">
        <v>2828</v>
      </c>
      <c r="U25" s="2007" t="s">
        <v>2829</v>
      </c>
      <c r="V25" s="2007"/>
      <c r="W25" s="2007" t="s">
        <v>2830</v>
      </c>
      <c r="X25" s="2876"/>
      <c r="Y25" s="2006" t="s">
        <v>2826</v>
      </c>
      <c r="Z25" s="2007" t="s">
        <v>2827</v>
      </c>
      <c r="AA25" s="2007" t="s">
        <v>2828</v>
      </c>
      <c r="AB25" s="2007" t="s">
        <v>2829</v>
      </c>
      <c r="AC25" s="2007"/>
      <c r="AD25" s="2007" t="s">
        <v>2830</v>
      </c>
    </row>
    <row r="26" spans="1:30" s="2879" customFormat="1" ht="13.2">
      <c r="A26" s="2877" t="s">
        <v>2831</v>
      </c>
      <c r="B26" s="2878"/>
      <c r="E26" s="2879">
        <f t="shared" ref="E26:G26" si="43">ROUND(AVERAGEIF(E27:E42,"&lt;&gt;0"),2)</f>
        <v>0.33</v>
      </c>
      <c r="F26" s="2879">
        <f t="shared" si="43"/>
        <v>0.24</v>
      </c>
      <c r="G26" s="2879">
        <f t="shared" si="43"/>
        <v>0.62</v>
      </c>
      <c r="I26" s="2879">
        <f>F26</f>
        <v>0.24</v>
      </c>
      <c r="J26" s="2880"/>
      <c r="K26" s="2881"/>
      <c r="L26" s="2882">
        <f t="shared" ref="L26:N26" si="44">ROUND(AVERAGEIF(L27:L42,"&lt;&gt;0"),4)</f>
        <v>3.3E-3</v>
      </c>
      <c r="M26" s="2882">
        <f t="shared" si="44"/>
        <v>2.3999999999999998E-3</v>
      </c>
      <c r="N26" s="2882">
        <f t="shared" si="44"/>
        <v>6.1999999999999998E-3</v>
      </c>
      <c r="O26" s="2882"/>
      <c r="P26" s="2882">
        <f>M26</f>
        <v>2.3999999999999998E-3</v>
      </c>
      <c r="Q26" s="2880"/>
      <c r="R26" s="2883"/>
      <c r="S26" s="2884">
        <f>ROUND(SUMPRODUCT(PRODUCT(1+L27:L42)),4)</f>
        <v>1.0468999999999999</v>
      </c>
      <c r="T26" s="2884">
        <f t="shared" ref="T26:U26" si="45">ROUND(SUMPRODUCT(PRODUCT(1+M27:M42)),4)</f>
        <v>1.0347</v>
      </c>
      <c r="U26" s="2884">
        <f t="shared" si="45"/>
        <v>1.0895999999999999</v>
      </c>
      <c r="V26" s="2884"/>
      <c r="W26" s="2883">
        <f>T26</f>
        <v>1.0347</v>
      </c>
      <c r="X26" s="2880"/>
      <c r="Y26" s="2885"/>
      <c r="Z26" s="2886">
        <f t="shared" ref="Z26:AB26" si="46">ROUND(AVERAGEIF(Z27:Z42,"&lt;&gt;0"),4)</f>
        <v>4.1999999999999997E-3</v>
      </c>
      <c r="AA26" s="2887">
        <f t="shared" si="46"/>
        <v>3.3999999999999998E-3</v>
      </c>
      <c r="AB26" s="2885">
        <f t="shared" si="46"/>
        <v>8.6E-3</v>
      </c>
      <c r="AC26" s="2888"/>
      <c r="AD26" s="2885">
        <f>AA26</f>
        <v>3.3999999999999998E-3</v>
      </c>
    </row>
    <row r="27" spans="1:30" s="2004" customFormat="1" ht="13.2">
      <c r="B27" s="2020"/>
      <c r="J27" s="2889"/>
      <c r="K27" s="2890"/>
      <c r="L27" s="2891"/>
      <c r="M27" s="2891"/>
      <c r="N27" s="2891"/>
      <c r="O27" s="2891"/>
      <c r="P27" s="2891"/>
      <c r="Q27" s="2889"/>
      <c r="R27" s="2022"/>
      <c r="S27" s="2892"/>
      <c r="T27" s="2893"/>
      <c r="U27" s="2022"/>
      <c r="V27" s="2894"/>
      <c r="W27" s="2022"/>
      <c r="X27" s="2889"/>
      <c r="Y27" s="2023"/>
      <c r="Z27" s="2895"/>
      <c r="AA27" s="2896"/>
      <c r="AB27" s="2023"/>
      <c r="AC27" s="2897"/>
      <c r="AD27" s="2023"/>
    </row>
    <row r="28" spans="1:30" s="2040" customFormat="1" ht="13.2">
      <c r="A28" s="2035" t="s">
        <v>3374</v>
      </c>
      <c r="B28" s="2026">
        <v>2024</v>
      </c>
      <c r="C28" s="2037">
        <v>3</v>
      </c>
      <c r="D28" s="2002"/>
      <c r="E28" s="2002">
        <v>0</v>
      </c>
      <c r="F28" s="2002">
        <v>0</v>
      </c>
      <c r="G28" s="2002">
        <v>0</v>
      </c>
      <c r="H28" s="2002"/>
      <c r="I28" s="2003">
        <f t="shared" ref="I28" si="47">F28</f>
        <v>0</v>
      </c>
      <c r="J28" s="2899"/>
      <c r="K28" s="2038"/>
      <c r="L28" s="2023">
        <f t="shared" ref="L28" si="48">E28/100</f>
        <v>0</v>
      </c>
      <c r="M28" s="2023">
        <f t="shared" ref="M28" si="49">F28/100</f>
        <v>0</v>
      </c>
      <c r="N28" s="2023">
        <f t="shared" ref="N28" si="50">G28/100</f>
        <v>0</v>
      </c>
      <c r="O28" s="2023"/>
      <c r="P28" s="2023">
        <f>M28</f>
        <v>0</v>
      </c>
      <c r="Q28" s="2899"/>
      <c r="R28" s="2022"/>
      <c r="S28" s="2022">
        <f>ROUND(IF(项目基本情况!$B$8="出让",SUMPRODUCT(PRODUCT(1+L28:L$42)),SUMPRODUCT(PRODUCT(1+L28:L$41))),4)</f>
        <v>1.0432999999999999</v>
      </c>
      <c r="T28" s="2022">
        <f>ROUND(IF(项目基本情况!$B$8="出让",SUMPRODUCT(PRODUCT(1+M28:M$42)),SUMPRODUCT(PRODUCT(1+M28:M$41))),4)</f>
        <v>1.0298</v>
      </c>
      <c r="U28" s="2022">
        <f>ROUND(IF(项目基本情况!$B$8="出让",SUMPRODUCT(PRODUCT(1+N28:N$42)),SUMPRODUCT(PRODUCT(1+N28:N$41))),4)</f>
        <v>1.079</v>
      </c>
      <c r="V28" s="2022"/>
      <c r="W28" s="2022">
        <f>T28</f>
        <v>1.0298</v>
      </c>
      <c r="X28" s="2899"/>
      <c r="Y28" s="2023"/>
      <c r="Z28" s="2895">
        <f t="shared" ref="Z28:AB29" si="51">IF(E28=0,0,ROUND(AVERAGE(E28:E41)/100,4))</f>
        <v>0</v>
      </c>
      <c r="AA28" s="2895">
        <f t="shared" si="51"/>
        <v>0</v>
      </c>
      <c r="AB28" s="2895">
        <f t="shared" si="51"/>
        <v>0</v>
      </c>
      <c r="AC28" s="2897"/>
      <c r="AD28" s="2023">
        <f>IF(I28=0,0,ROUND(AVERAGE(I28:I41)/100,4))</f>
        <v>0</v>
      </c>
    </row>
    <row r="29" spans="1:30" s="2909" customFormat="1" ht="13.2">
      <c r="A29" s="2900" t="s">
        <v>3375</v>
      </c>
      <c r="B29" s="2901">
        <v>2024</v>
      </c>
      <c r="C29" s="2902">
        <v>2</v>
      </c>
      <c r="D29" s="2903"/>
      <c r="E29" s="2903">
        <v>-0.31</v>
      </c>
      <c r="F29" s="2903">
        <v>-0.39</v>
      </c>
      <c r="G29" s="2903">
        <v>1.23</v>
      </c>
      <c r="H29" s="2904"/>
      <c r="I29" s="2905">
        <f t="shared" ref="I29:I42" si="52">F29</f>
        <v>-0.39</v>
      </c>
      <c r="J29" s="2906"/>
      <c r="K29" s="2907"/>
      <c r="L29" s="2908">
        <f t="shared" ref="L29:N42" si="53">E29/100</f>
        <v>-3.0999999999999999E-3</v>
      </c>
      <c r="M29" s="2908">
        <f t="shared" si="53"/>
        <v>-3.9000000000000003E-3</v>
      </c>
      <c r="N29" s="2908">
        <f t="shared" si="53"/>
        <v>1.23E-2</v>
      </c>
      <c r="O29" s="2908"/>
      <c r="P29" s="2908">
        <f>M29</f>
        <v>-3.9000000000000003E-3</v>
      </c>
      <c r="Q29" s="2906"/>
      <c r="R29" s="2906"/>
      <c r="S29" s="2906">
        <f>ROUND(IF(项目基本情况!$B$8="出让",SUMPRODUCT(PRODUCT(1+L29:L$42)),SUMPRODUCT(PRODUCT(1+L29:L$41))),4)</f>
        <v>1.0432999999999999</v>
      </c>
      <c r="T29" s="2906">
        <f>ROUND(IF(项目基本情况!$B$8="出让",SUMPRODUCT(PRODUCT(1+M29:M$42)),SUMPRODUCT(PRODUCT(1+M29:M$41))),4)</f>
        <v>1.0298</v>
      </c>
      <c r="U29" s="2906">
        <f>ROUND(IF(项目基本情况!$B$8="出让",SUMPRODUCT(PRODUCT(1+N29:N$42)),SUMPRODUCT(PRODUCT(1+N29:N$41))),4)</f>
        <v>1.079</v>
      </c>
      <c r="V29" s="2906"/>
      <c r="W29" s="2906">
        <f>T29</f>
        <v>1.0298</v>
      </c>
      <c r="X29" s="2906"/>
      <c r="Y29" s="2908"/>
      <c r="Z29" s="2924">
        <f t="shared" si="51"/>
        <v>3.3E-3</v>
      </c>
      <c r="AA29" s="2925">
        <f t="shared" si="51"/>
        <v>2.3999999999999998E-3</v>
      </c>
      <c r="AB29" s="2908">
        <f t="shared" si="51"/>
        <v>6.1999999999999998E-3</v>
      </c>
      <c r="AC29" s="2926"/>
      <c r="AD29" s="2908">
        <f>IF(I29=0,0,ROUND(AVERAGE(I29:I42)/100,4))</f>
        <v>2.3999999999999998E-3</v>
      </c>
    </row>
    <row r="30" spans="1:30" s="2040" customFormat="1" ht="13.2">
      <c r="A30" s="2898" t="s">
        <v>3376</v>
      </c>
      <c r="B30" s="2026">
        <v>2024</v>
      </c>
      <c r="C30" s="2037">
        <v>1</v>
      </c>
      <c r="D30" s="2002"/>
      <c r="E30" s="2002">
        <v>0.25</v>
      </c>
      <c r="F30" s="2002">
        <v>0.4</v>
      </c>
      <c r="G30" s="2002">
        <v>-0.63</v>
      </c>
      <c r="H30" s="2910"/>
      <c r="I30" s="2003">
        <f t="shared" ref="I30:I31" si="54">F30</f>
        <v>0.4</v>
      </c>
      <c r="J30" s="2899"/>
      <c r="K30" s="2038"/>
      <c r="L30" s="2023">
        <f t="shared" ref="L30" si="55">E30/100</f>
        <v>2.5000000000000001E-3</v>
      </c>
      <c r="M30" s="2023">
        <f t="shared" ref="M30" si="56">F30/100</f>
        <v>4.0000000000000001E-3</v>
      </c>
      <c r="N30" s="2023">
        <f t="shared" ref="N30" si="57">G30/100</f>
        <v>-6.3E-3</v>
      </c>
      <c r="O30" s="2023"/>
      <c r="P30" s="2023">
        <f t="shared" ref="P30" si="58">M30</f>
        <v>4.0000000000000001E-3</v>
      </c>
      <c r="Q30" s="2899"/>
      <c r="R30" s="2022"/>
      <c r="S30" s="2022">
        <f>ROUND(IF(项目基本情况!$B$8="出让",SUMPRODUCT(PRODUCT(1+L30:L$42)),SUMPRODUCT(PRODUCT(1+L30:L$41))),4)</f>
        <v>1.0465</v>
      </c>
      <c r="T30" s="2022">
        <f>ROUND(IF(项目基本情况!$B$8="出让",SUMPRODUCT(PRODUCT(1+M30:M$42)),SUMPRODUCT(PRODUCT(1+M30:M$41))),4)</f>
        <v>1.0338000000000001</v>
      </c>
      <c r="U30" s="2022">
        <f>ROUND(IF(项目基本情况!$B$8="出让",SUMPRODUCT(PRODUCT(1+N30:N$42)),SUMPRODUCT(PRODUCT(1+N30:N$41))),4)</f>
        <v>1.0659000000000001</v>
      </c>
      <c r="V30" s="2022"/>
      <c r="W30" s="2022">
        <f t="shared" ref="W30" si="59">T30</f>
        <v>1.0338000000000001</v>
      </c>
      <c r="X30" s="2899"/>
      <c r="Y30" s="2023"/>
      <c r="Z30" s="2895"/>
      <c r="AA30" s="2896"/>
      <c r="AB30" s="2023"/>
      <c r="AC30" s="2897"/>
      <c r="AD30" s="2023"/>
    </row>
    <row r="31" spans="1:30" s="2040" customFormat="1" ht="13.2">
      <c r="A31" s="2898" t="s">
        <v>3373</v>
      </c>
      <c r="B31" s="2026">
        <v>2023</v>
      </c>
      <c r="C31" s="2037">
        <v>4</v>
      </c>
      <c r="D31" s="2002"/>
      <c r="E31" s="2002">
        <v>7.0000000000000007E-2</v>
      </c>
      <c r="F31" s="2002">
        <v>0.09</v>
      </c>
      <c r="G31" s="2002">
        <v>0.03</v>
      </c>
      <c r="H31" s="2910"/>
      <c r="I31" s="2003">
        <f t="shared" si="54"/>
        <v>0.09</v>
      </c>
      <c r="J31" s="2899"/>
      <c r="K31" s="2038"/>
      <c r="L31" s="2023">
        <f t="shared" si="53"/>
        <v>7.000000000000001E-4</v>
      </c>
      <c r="M31" s="2023">
        <f t="shared" si="53"/>
        <v>8.9999999999999998E-4</v>
      </c>
      <c r="N31" s="2023">
        <f t="shared" si="53"/>
        <v>2.9999999999999997E-4</v>
      </c>
      <c r="O31" s="2023"/>
      <c r="P31" s="2023">
        <f t="shared" ref="P31" si="60">M31</f>
        <v>8.9999999999999998E-4</v>
      </c>
      <c r="Q31" s="2899"/>
      <c r="R31" s="2022"/>
      <c r="S31" s="2022">
        <f>ROUND(IF(项目基本情况!$B$8="出让",SUMPRODUCT(PRODUCT(1+L31:L$42)),SUMPRODUCT(PRODUCT(1+L31:L$41))),4)</f>
        <v>1.0439000000000001</v>
      </c>
      <c r="T31" s="2022">
        <f>ROUND(IF(项目基本情况!$B$8="出让",SUMPRODUCT(PRODUCT(1+M31:M$42)),SUMPRODUCT(PRODUCT(1+M31:M$41))),4)</f>
        <v>1.0297000000000001</v>
      </c>
      <c r="U31" s="2022">
        <f>ROUND(IF(项目基本情况!$B$8="出让",SUMPRODUCT(PRODUCT(1+N31:N$42)),SUMPRODUCT(PRODUCT(1+N31:N$41))),4)</f>
        <v>1.0727</v>
      </c>
      <c r="V31" s="2022"/>
      <c r="W31" s="2022">
        <f t="shared" ref="W31" si="61">T31</f>
        <v>1.0297000000000001</v>
      </c>
      <c r="X31" s="2899"/>
      <c r="Y31" s="2023"/>
      <c r="Z31" s="2895"/>
      <c r="AA31" s="2896"/>
      <c r="AB31" s="2023"/>
      <c r="AC31" s="2897"/>
      <c r="AD31" s="2023"/>
    </row>
    <row r="32" spans="1:30" s="2040" customFormat="1" ht="13.2">
      <c r="A32" s="2898" t="s">
        <v>3371</v>
      </c>
      <c r="B32" s="2026">
        <v>2023</v>
      </c>
      <c r="C32" s="2037">
        <v>3</v>
      </c>
      <c r="D32" s="2002"/>
      <c r="E32" s="2002">
        <v>0.35</v>
      </c>
      <c r="F32" s="2002">
        <v>0.17</v>
      </c>
      <c r="G32" s="2002">
        <v>0.52</v>
      </c>
      <c r="H32" s="2910"/>
      <c r="I32" s="2003">
        <f t="shared" si="52"/>
        <v>0.17</v>
      </c>
      <c r="J32" s="2899"/>
      <c r="K32" s="2038"/>
      <c r="L32" s="2023">
        <f t="shared" ref="L32:L34" si="62">E32/100</f>
        <v>3.4999999999999996E-3</v>
      </c>
      <c r="M32" s="2023">
        <f t="shared" ref="M32:M34" si="63">F32/100</f>
        <v>1.7000000000000001E-3</v>
      </c>
      <c r="N32" s="2023">
        <f t="shared" ref="N32:N34" si="64">G32/100</f>
        <v>5.1999999999999998E-3</v>
      </c>
      <c r="O32" s="2023"/>
      <c r="P32" s="2023">
        <f t="shared" ref="P32:P34" si="65">M32</f>
        <v>1.7000000000000001E-3</v>
      </c>
      <c r="Q32" s="2899"/>
      <c r="R32" s="2022"/>
      <c r="S32" s="2022">
        <f>ROUND(IF(项目基本情况!$B$8="出让",SUMPRODUCT(PRODUCT(1+L32:L$42)),SUMPRODUCT(PRODUCT(1+L32:L$41))),4)</f>
        <v>1.0431999999999999</v>
      </c>
      <c r="T32" s="2022">
        <f>ROUND(IF(项目基本情况!$B$8="出让",SUMPRODUCT(PRODUCT(1+M32:M$42)),SUMPRODUCT(PRODUCT(1+M32:M$41))),4)</f>
        <v>1.0286999999999999</v>
      </c>
      <c r="U32" s="2022">
        <f>ROUND(IF(项目基本情况!$B$8="出让",SUMPRODUCT(PRODUCT(1+N32:N$42)),SUMPRODUCT(PRODUCT(1+N32:N$41))),4)</f>
        <v>1.0723</v>
      </c>
      <c r="V32" s="2022"/>
      <c r="W32" s="2022">
        <f t="shared" ref="W32:W34" si="66">T32</f>
        <v>1.0286999999999999</v>
      </c>
      <c r="X32" s="2899"/>
      <c r="Y32" s="2023"/>
      <c r="Z32" s="2895"/>
      <c r="AA32" s="2896"/>
      <c r="AB32" s="2023"/>
      <c r="AC32" s="2897"/>
      <c r="AD32" s="2023"/>
    </row>
    <row r="33" spans="1:30" s="2040" customFormat="1" ht="13.2">
      <c r="A33" s="2898" t="s">
        <v>3370</v>
      </c>
      <c r="B33" s="2026">
        <v>2023</v>
      </c>
      <c r="C33" s="2037">
        <v>2</v>
      </c>
      <c r="D33" s="2002"/>
      <c r="E33" s="2002">
        <v>0.5</v>
      </c>
      <c r="F33" s="2002">
        <v>0.45</v>
      </c>
      <c r="G33" s="2002">
        <v>0.89</v>
      </c>
      <c r="H33" s="2910"/>
      <c r="I33" s="2003">
        <f t="shared" si="52"/>
        <v>0.45</v>
      </c>
      <c r="J33" s="2899"/>
      <c r="K33" s="2038"/>
      <c r="L33" s="2023">
        <f t="shared" si="62"/>
        <v>5.0000000000000001E-3</v>
      </c>
      <c r="M33" s="2023">
        <f t="shared" si="63"/>
        <v>4.5000000000000005E-3</v>
      </c>
      <c r="N33" s="2023">
        <f t="shared" si="64"/>
        <v>8.8999999999999999E-3</v>
      </c>
      <c r="O33" s="2023"/>
      <c r="P33" s="2023">
        <f t="shared" si="65"/>
        <v>4.5000000000000005E-3</v>
      </c>
      <c r="Q33" s="2899"/>
      <c r="R33" s="2022"/>
      <c r="S33" s="2022">
        <f>ROUND(IF(项目基本情况!$B$8="出让",SUMPRODUCT(PRODUCT(1+L33:L$42)),SUMPRODUCT(PRODUCT(1+L33:L$41))),4)</f>
        <v>1.0396000000000001</v>
      </c>
      <c r="T33" s="2022">
        <f>ROUND(IF(项目基本情况!$B$8="出让",SUMPRODUCT(PRODUCT(1+M33:M$42)),SUMPRODUCT(PRODUCT(1+M33:M$41))),4)</f>
        <v>1.0269999999999999</v>
      </c>
      <c r="U33" s="2022">
        <f>ROUND(IF(项目基本情况!$B$8="出让",SUMPRODUCT(PRODUCT(1+N33:N$42)),SUMPRODUCT(PRODUCT(1+N33:N$41))),4)</f>
        <v>1.0668</v>
      </c>
      <c r="V33" s="2022"/>
      <c r="W33" s="2022">
        <f t="shared" si="66"/>
        <v>1.0269999999999999</v>
      </c>
      <c r="X33" s="2899"/>
      <c r="Y33" s="2023"/>
      <c r="Z33" s="2895"/>
      <c r="AA33" s="2896"/>
      <c r="AB33" s="2023"/>
      <c r="AC33" s="2897"/>
      <c r="AD33" s="2023"/>
    </row>
    <row r="34" spans="1:30" s="2040" customFormat="1" ht="13.2">
      <c r="A34" s="2898" t="s">
        <v>3366</v>
      </c>
      <c r="B34" s="2026">
        <v>2023</v>
      </c>
      <c r="C34" s="2037">
        <v>1</v>
      </c>
      <c r="D34" s="2002"/>
      <c r="E34" s="2002">
        <v>0.55000000000000004</v>
      </c>
      <c r="F34" s="2002">
        <v>0.59</v>
      </c>
      <c r="G34" s="2002">
        <v>0.64</v>
      </c>
      <c r="H34" s="2910"/>
      <c r="I34" s="2003">
        <f t="shared" si="52"/>
        <v>0.59</v>
      </c>
      <c r="J34" s="2899"/>
      <c r="K34" s="2038"/>
      <c r="L34" s="2023">
        <f t="shared" si="62"/>
        <v>5.5000000000000005E-3</v>
      </c>
      <c r="M34" s="2023">
        <f t="shared" si="63"/>
        <v>5.8999999999999999E-3</v>
      </c>
      <c r="N34" s="2023">
        <f t="shared" si="64"/>
        <v>6.4000000000000003E-3</v>
      </c>
      <c r="O34" s="2023"/>
      <c r="P34" s="2023">
        <f t="shared" si="65"/>
        <v>5.8999999999999999E-3</v>
      </c>
      <c r="Q34" s="2899"/>
      <c r="R34" s="2022"/>
      <c r="S34" s="2022">
        <f>ROUND(IF(项目基本情况!$B$8="出让",SUMPRODUCT(PRODUCT(1+L34:L$42)),SUMPRODUCT(PRODUCT(1+L34:L$41))),4)</f>
        <v>1.0344</v>
      </c>
      <c r="T34" s="2022">
        <f>ROUND(IF(项目基本情况!$B$8="出让",SUMPRODUCT(PRODUCT(1+M34:M$42)),SUMPRODUCT(PRODUCT(1+M34:M$41))),4)</f>
        <v>1.0224</v>
      </c>
      <c r="U34" s="2022">
        <f>ROUND(IF(项目基本情况!$B$8="出让",SUMPRODUCT(PRODUCT(1+N34:N$42)),SUMPRODUCT(PRODUCT(1+N34:N$41))),4)</f>
        <v>1.0573999999999999</v>
      </c>
      <c r="V34" s="2022"/>
      <c r="W34" s="2022">
        <f t="shared" si="66"/>
        <v>1.0224</v>
      </c>
      <c r="X34" s="2899"/>
      <c r="Y34" s="2023"/>
      <c r="Z34" s="2895"/>
      <c r="AA34" s="2896"/>
      <c r="AB34" s="2023"/>
      <c r="AC34" s="2897"/>
      <c r="AD34" s="2023"/>
    </row>
    <row r="35" spans="1:30" s="2040" customFormat="1" ht="13.2">
      <c r="A35" s="2898" t="s">
        <v>3365</v>
      </c>
      <c r="B35" s="2026">
        <v>2022</v>
      </c>
      <c r="C35" s="2037">
        <v>4</v>
      </c>
      <c r="D35" s="2002"/>
      <c r="E35" s="2002">
        <v>0.45</v>
      </c>
      <c r="F35" s="2002">
        <v>0.2</v>
      </c>
      <c r="G35" s="2002">
        <v>0.38</v>
      </c>
      <c r="H35" s="2910"/>
      <c r="I35" s="2003">
        <f t="shared" si="52"/>
        <v>0.2</v>
      </c>
      <c r="J35" s="2899"/>
      <c r="K35" s="2038"/>
      <c r="L35" s="2023">
        <f t="shared" si="53"/>
        <v>4.5000000000000005E-3</v>
      </c>
      <c r="M35" s="2023">
        <f t="shared" si="53"/>
        <v>2E-3</v>
      </c>
      <c r="N35" s="2023">
        <f t="shared" si="53"/>
        <v>3.8E-3</v>
      </c>
      <c r="O35" s="2023"/>
      <c r="P35" s="2023">
        <f t="shared" ref="P35:P42" si="67">M35</f>
        <v>2E-3</v>
      </c>
      <c r="Q35" s="2899"/>
      <c r="R35" s="2022"/>
      <c r="S35" s="2022">
        <f>ROUND(IF(项目基本情况!$B$8="出让",SUMPRODUCT(PRODUCT(1+L35:L$42)),SUMPRODUCT(PRODUCT(1+L35:L$41))),4)</f>
        <v>1.0286999999999999</v>
      </c>
      <c r="T35" s="2022">
        <f>ROUND(IF(项目基本情况!$B$8="出让",SUMPRODUCT(PRODUCT(1+M35:M$42)),SUMPRODUCT(PRODUCT(1+M35:M$41))),4)</f>
        <v>1.0164</v>
      </c>
      <c r="U35" s="2022">
        <f>ROUND(IF(项目基本情况!$B$8="出让",SUMPRODUCT(PRODUCT(1+N35:N$42)),SUMPRODUCT(PRODUCT(1+N35:N$41))),4)</f>
        <v>1.0506</v>
      </c>
      <c r="V35" s="2022"/>
      <c r="W35" s="2022">
        <f t="shared" ref="W35:W42" si="68">T35</f>
        <v>1.0164</v>
      </c>
      <c r="X35" s="2899"/>
      <c r="Y35" s="2023"/>
      <c r="Z35" s="2895">
        <f t="shared" ref="Z35:AD42" si="69">IF(E35=0,0,ROUND(AVERAGE(E35:E43)/100,4))</f>
        <v>4.0000000000000001E-3</v>
      </c>
      <c r="AA35" s="2896">
        <f t="shared" si="69"/>
        <v>2.5999999999999999E-3</v>
      </c>
      <c r="AB35" s="2023">
        <f t="shared" si="69"/>
        <v>7.4000000000000003E-3</v>
      </c>
      <c r="AC35" s="2897"/>
      <c r="AD35" s="2023">
        <f t="shared" si="69"/>
        <v>2.5999999999999999E-3</v>
      </c>
    </row>
    <row r="36" spans="1:30" s="2040" customFormat="1" ht="13.2">
      <c r="A36" s="2898" t="s">
        <v>3362</v>
      </c>
      <c r="B36" s="2026">
        <v>2022</v>
      </c>
      <c r="C36" s="2037">
        <v>3</v>
      </c>
      <c r="D36" s="2002"/>
      <c r="E36" s="2002">
        <v>0.3</v>
      </c>
      <c r="F36" s="2002">
        <v>0.28999999999999998</v>
      </c>
      <c r="G36" s="2002">
        <v>0.83</v>
      </c>
      <c r="H36" s="2910"/>
      <c r="I36" s="2003">
        <f t="shared" si="52"/>
        <v>0.28999999999999998</v>
      </c>
      <c r="J36" s="2899"/>
      <c r="K36" s="2038"/>
      <c r="L36" s="2023">
        <f t="shared" si="53"/>
        <v>3.0000000000000001E-3</v>
      </c>
      <c r="M36" s="2023">
        <f t="shared" si="53"/>
        <v>2.8999999999999998E-3</v>
      </c>
      <c r="N36" s="2023">
        <f t="shared" si="53"/>
        <v>8.3000000000000001E-3</v>
      </c>
      <c r="O36" s="2023"/>
      <c r="P36" s="2023">
        <f t="shared" si="67"/>
        <v>2.8999999999999998E-3</v>
      </c>
      <c r="Q36" s="2899"/>
      <c r="R36" s="2022"/>
      <c r="S36" s="2022">
        <f>ROUND(IF(项目基本情况!$B$8="出让",SUMPRODUCT(PRODUCT(1+L36:L$42)),SUMPRODUCT(PRODUCT(1+L36:L$41))),4)</f>
        <v>1.0241</v>
      </c>
      <c r="T36" s="2022">
        <f>ROUND(IF(项目基本情况!$B$8="出让",SUMPRODUCT(PRODUCT(1+M36:M$42)),SUMPRODUCT(PRODUCT(1+M36:M$41))),4)</f>
        <v>1.0144</v>
      </c>
      <c r="U36" s="2022">
        <f>ROUND(IF(项目基本情况!$B$8="出让",SUMPRODUCT(PRODUCT(1+N36:N$42)),SUMPRODUCT(PRODUCT(1+N36:N$41))),4)</f>
        <v>1.0467</v>
      </c>
      <c r="V36" s="2022"/>
      <c r="W36" s="2022">
        <f t="shared" si="68"/>
        <v>1.0144</v>
      </c>
      <c r="X36" s="2899"/>
      <c r="Y36" s="2023"/>
      <c r="Z36" s="2895">
        <f t="shared" si="69"/>
        <v>3.8999999999999998E-3</v>
      </c>
      <c r="AA36" s="2896">
        <f t="shared" si="69"/>
        <v>2.7000000000000001E-3</v>
      </c>
      <c r="AB36" s="2023">
        <f t="shared" si="69"/>
        <v>7.9000000000000008E-3</v>
      </c>
      <c r="AC36" s="2897"/>
      <c r="AD36" s="2023">
        <f t="shared" si="69"/>
        <v>2.7000000000000001E-3</v>
      </c>
    </row>
    <row r="37" spans="1:30" s="2040" customFormat="1" ht="13.2">
      <c r="A37" s="2898" t="s">
        <v>3352</v>
      </c>
      <c r="B37" s="2026">
        <v>2022</v>
      </c>
      <c r="C37" s="2037">
        <v>2</v>
      </c>
      <c r="D37" s="2002"/>
      <c r="E37" s="2002">
        <v>-0.11</v>
      </c>
      <c r="F37" s="2002">
        <v>-0.13</v>
      </c>
      <c r="G37" s="2002">
        <v>0.53</v>
      </c>
      <c r="H37" s="2910"/>
      <c r="I37" s="2003">
        <f t="shared" si="52"/>
        <v>-0.13</v>
      </c>
      <c r="J37" s="2899"/>
      <c r="K37" s="2038"/>
      <c r="L37" s="2023">
        <f t="shared" si="53"/>
        <v>-1.1000000000000001E-3</v>
      </c>
      <c r="M37" s="2023">
        <f t="shared" si="53"/>
        <v>-1.2999999999999999E-3</v>
      </c>
      <c r="N37" s="2023">
        <f t="shared" si="53"/>
        <v>5.3E-3</v>
      </c>
      <c r="O37" s="2023"/>
      <c r="P37" s="2023">
        <f t="shared" si="67"/>
        <v>-1.2999999999999999E-3</v>
      </c>
      <c r="Q37" s="2899"/>
      <c r="R37" s="2022"/>
      <c r="S37" s="2022">
        <f>ROUND(IF(项目基本情况!$B$8="出让",SUMPRODUCT(PRODUCT(1+L37:L$42)),SUMPRODUCT(PRODUCT(1+L37:L$41))),4)</f>
        <v>1.0210999999999999</v>
      </c>
      <c r="T37" s="2022">
        <f>ROUND(IF(项目基本情况!$B$8="出让",SUMPRODUCT(PRODUCT(1+M37:M$42)),SUMPRODUCT(PRODUCT(1+M37:M$41))),4)</f>
        <v>1.0114000000000001</v>
      </c>
      <c r="U37" s="2022">
        <f>ROUND(IF(项目基本情况!$B$8="出让",SUMPRODUCT(PRODUCT(1+N37:N$42)),SUMPRODUCT(PRODUCT(1+N37:N$41))),4)</f>
        <v>1.0381</v>
      </c>
      <c r="V37" s="2022"/>
      <c r="W37" s="2022">
        <f t="shared" si="68"/>
        <v>1.0114000000000001</v>
      </c>
      <c r="X37" s="2899"/>
      <c r="Y37" s="2023"/>
      <c r="Z37" s="2895">
        <f t="shared" si="69"/>
        <v>4.1000000000000003E-3</v>
      </c>
      <c r="AA37" s="2896">
        <f t="shared" si="69"/>
        <v>2.7000000000000001E-3</v>
      </c>
      <c r="AB37" s="2023">
        <f t="shared" si="69"/>
        <v>7.9000000000000008E-3</v>
      </c>
      <c r="AC37" s="2897"/>
      <c r="AD37" s="2023">
        <f t="shared" si="69"/>
        <v>2.7000000000000001E-3</v>
      </c>
    </row>
    <row r="38" spans="1:30" s="2040" customFormat="1" ht="13.2">
      <c r="A38" s="2898" t="s">
        <v>2832</v>
      </c>
      <c r="B38" s="2026">
        <v>2022</v>
      </c>
      <c r="C38" s="2037">
        <v>1</v>
      </c>
      <c r="D38" s="2002"/>
      <c r="E38" s="2002">
        <v>0.6</v>
      </c>
      <c r="F38" s="2002">
        <v>0.45</v>
      </c>
      <c r="G38" s="2002">
        <v>0.53</v>
      </c>
      <c r="H38" s="2910"/>
      <c r="I38" s="2003">
        <f t="shared" si="52"/>
        <v>0.45</v>
      </c>
      <c r="J38" s="2899"/>
      <c r="K38" s="2038"/>
      <c r="L38" s="2023">
        <f t="shared" si="53"/>
        <v>6.0000000000000001E-3</v>
      </c>
      <c r="M38" s="2023">
        <f t="shared" si="53"/>
        <v>4.5000000000000005E-3</v>
      </c>
      <c r="N38" s="2023">
        <f t="shared" si="53"/>
        <v>5.3E-3</v>
      </c>
      <c r="O38" s="2023"/>
      <c r="P38" s="2023">
        <f t="shared" si="67"/>
        <v>4.5000000000000005E-3</v>
      </c>
      <c r="Q38" s="2899"/>
      <c r="R38" s="2022"/>
      <c r="S38" s="2022">
        <f>ROUND(IF(项目基本情况!$B$8="出让",SUMPRODUCT(PRODUCT(1+L38:L$42)),SUMPRODUCT(PRODUCT(1+L38:L$41))),4)</f>
        <v>1.0222</v>
      </c>
      <c r="T38" s="2022">
        <f>ROUND(IF(项目基本情况!$B$8="出让",SUMPRODUCT(PRODUCT(1+M38:M$42)),SUMPRODUCT(PRODUCT(1+M38:M$41))),4)</f>
        <v>1.0127999999999999</v>
      </c>
      <c r="U38" s="2022">
        <f>ROUND(IF(项目基本情况!$B$8="出让",SUMPRODUCT(PRODUCT(1+N38:N$42)),SUMPRODUCT(PRODUCT(1+N38:N$41))),4)</f>
        <v>1.0326</v>
      </c>
      <c r="V38" s="2022"/>
      <c r="W38" s="2022">
        <f t="shared" si="68"/>
        <v>1.0127999999999999</v>
      </c>
      <c r="X38" s="2899"/>
      <c r="Y38" s="2023"/>
      <c r="Z38" s="2895">
        <f t="shared" si="69"/>
        <v>5.1000000000000004E-3</v>
      </c>
      <c r="AA38" s="2896">
        <f t="shared" si="69"/>
        <v>3.5000000000000001E-3</v>
      </c>
      <c r="AB38" s="2023">
        <f t="shared" si="69"/>
        <v>8.3999999999999995E-3</v>
      </c>
      <c r="AC38" s="2897"/>
      <c r="AD38" s="2023">
        <f t="shared" si="69"/>
        <v>3.5000000000000001E-3</v>
      </c>
    </row>
    <row r="39" spans="1:30" s="2040" customFormat="1" ht="13.2">
      <c r="A39" s="2898" t="s">
        <v>2833</v>
      </c>
      <c r="B39" s="2026">
        <v>2021</v>
      </c>
      <c r="C39" s="2037">
        <v>4</v>
      </c>
      <c r="D39" s="2002"/>
      <c r="E39" s="2002">
        <v>0.57999999999999996</v>
      </c>
      <c r="F39" s="2002">
        <v>0.08</v>
      </c>
      <c r="G39" s="2002">
        <v>0.68</v>
      </c>
      <c r="H39" s="2910"/>
      <c r="I39" s="2003">
        <f t="shared" si="52"/>
        <v>0.08</v>
      </c>
      <c r="J39" s="2899"/>
      <c r="K39" s="2038"/>
      <c r="L39" s="2023">
        <f t="shared" si="53"/>
        <v>5.7999999999999996E-3</v>
      </c>
      <c r="M39" s="2023">
        <f t="shared" si="53"/>
        <v>8.0000000000000004E-4</v>
      </c>
      <c r="N39" s="2023">
        <f t="shared" si="53"/>
        <v>6.8000000000000005E-3</v>
      </c>
      <c r="O39" s="2023"/>
      <c r="P39" s="2023">
        <f t="shared" si="67"/>
        <v>8.0000000000000004E-4</v>
      </c>
      <c r="Q39" s="2899"/>
      <c r="R39" s="2022"/>
      <c r="S39" s="2022">
        <f>ROUND(IF(项目基本情况!$B$8="出让",SUMPRODUCT(PRODUCT(1+L39:L$42)),SUMPRODUCT(PRODUCT(1+L39:L$41))),4)</f>
        <v>1.0161</v>
      </c>
      <c r="T39" s="2022">
        <f>ROUND(IF(项目基本情况!$B$8="出让",SUMPRODUCT(PRODUCT(1+M39:M$42)),SUMPRODUCT(PRODUCT(1+M39:M$41))),4)</f>
        <v>1.0082</v>
      </c>
      <c r="U39" s="2022">
        <f>ROUND(IF(项目基本情况!$B$8="出让",SUMPRODUCT(PRODUCT(1+N39:N$42)),SUMPRODUCT(PRODUCT(1+N39:N$41))),4)</f>
        <v>1.0270999999999999</v>
      </c>
      <c r="V39" s="2022"/>
      <c r="W39" s="2022">
        <f t="shared" si="68"/>
        <v>1.0082</v>
      </c>
      <c r="X39" s="2899"/>
      <c r="Y39" s="2023"/>
      <c r="Z39" s="2895">
        <f t="shared" si="69"/>
        <v>4.8999999999999998E-3</v>
      </c>
      <c r="AA39" s="2896">
        <f t="shared" si="69"/>
        <v>3.3E-3</v>
      </c>
      <c r="AB39" s="2023">
        <f t="shared" si="69"/>
        <v>9.1999999999999998E-3</v>
      </c>
      <c r="AC39" s="2897"/>
      <c r="AD39" s="2023">
        <f t="shared" si="69"/>
        <v>3.3E-3</v>
      </c>
    </row>
    <row r="40" spans="1:30" s="2040" customFormat="1" ht="13.2">
      <c r="A40" s="2898" t="s">
        <v>2834</v>
      </c>
      <c r="B40" s="2026">
        <v>2021</v>
      </c>
      <c r="C40" s="2037">
        <v>3</v>
      </c>
      <c r="D40" s="2002"/>
      <c r="E40" s="2002">
        <v>0.47</v>
      </c>
      <c r="F40" s="2002">
        <v>0.28000000000000003</v>
      </c>
      <c r="G40" s="2002">
        <v>0.91</v>
      </c>
      <c r="H40" s="2910"/>
      <c r="I40" s="2003">
        <f t="shared" si="52"/>
        <v>0.28000000000000003</v>
      </c>
      <c r="J40" s="2899"/>
      <c r="K40" s="2038"/>
      <c r="L40" s="2023">
        <f t="shared" si="53"/>
        <v>4.6999999999999993E-3</v>
      </c>
      <c r="M40" s="2023">
        <f t="shared" si="53"/>
        <v>2.8000000000000004E-3</v>
      </c>
      <c r="N40" s="2023">
        <f t="shared" si="53"/>
        <v>9.1000000000000004E-3</v>
      </c>
      <c r="O40" s="2023"/>
      <c r="P40" s="2023">
        <f t="shared" si="67"/>
        <v>2.8000000000000004E-3</v>
      </c>
      <c r="Q40" s="2899"/>
      <c r="R40" s="2022"/>
      <c r="S40" s="2022">
        <f>ROUND(IF(项目基本情况!$B$8="出让",SUMPRODUCT(PRODUCT(1+L40:L$42)),SUMPRODUCT(PRODUCT(1+L40:L$41))),4)</f>
        <v>1.0102</v>
      </c>
      <c r="T40" s="2022">
        <f>ROUND(IF(项目基本情况!$B$8="出让",SUMPRODUCT(PRODUCT(1+M40:M$42)),SUMPRODUCT(PRODUCT(1+M40:M$41))),4)</f>
        <v>1.0074000000000001</v>
      </c>
      <c r="U40" s="2022">
        <f>ROUND(IF(项目基本情况!$B$8="出让",SUMPRODUCT(PRODUCT(1+N40:N$42)),SUMPRODUCT(PRODUCT(1+N40:N$41))),4)</f>
        <v>1.0202</v>
      </c>
      <c r="V40" s="2022"/>
      <c r="W40" s="2022">
        <f t="shared" si="68"/>
        <v>1.0074000000000001</v>
      </c>
      <c r="X40" s="2899"/>
      <c r="Y40" s="2023"/>
      <c r="Z40" s="2895">
        <f t="shared" si="69"/>
        <v>4.5999999999999999E-3</v>
      </c>
      <c r="AA40" s="2896">
        <f t="shared" si="69"/>
        <v>4.1000000000000003E-3</v>
      </c>
      <c r="AB40" s="2023">
        <f t="shared" si="69"/>
        <v>0.01</v>
      </c>
      <c r="AC40" s="2897"/>
      <c r="AD40" s="2023">
        <f t="shared" si="69"/>
        <v>4.1000000000000003E-3</v>
      </c>
    </row>
    <row r="41" spans="1:30" s="2040" customFormat="1" ht="13.2">
      <c r="A41" s="2898" t="s">
        <v>2835</v>
      </c>
      <c r="B41" s="2026">
        <v>2021</v>
      </c>
      <c r="C41" s="2037">
        <v>2</v>
      </c>
      <c r="D41" s="2002"/>
      <c r="E41" s="2002">
        <v>0.55000000000000004</v>
      </c>
      <c r="F41" s="2002">
        <v>0.46</v>
      </c>
      <c r="G41" s="2002">
        <v>1.1000000000000001</v>
      </c>
      <c r="H41" s="2910"/>
      <c r="I41" s="2003">
        <f t="shared" si="52"/>
        <v>0.46</v>
      </c>
      <c r="J41" s="2899"/>
      <c r="K41" s="2038"/>
      <c r="L41" s="2023">
        <f t="shared" si="53"/>
        <v>5.5000000000000005E-3</v>
      </c>
      <c r="M41" s="2023">
        <f t="shared" si="53"/>
        <v>4.5999999999999999E-3</v>
      </c>
      <c r="N41" s="2023">
        <f t="shared" si="53"/>
        <v>1.1000000000000001E-2</v>
      </c>
      <c r="O41" s="2023"/>
      <c r="P41" s="2023">
        <f t="shared" si="67"/>
        <v>4.5999999999999999E-3</v>
      </c>
      <c r="Q41" s="2899"/>
      <c r="R41" s="2022"/>
      <c r="S41" s="2022">
        <f>ROUND(IF(项目基本情况!$B$8="出让",SUMPRODUCT(PRODUCT(1+L41:L$42)),SUMPRODUCT(PRODUCT(1+L41:L$41))),4)</f>
        <v>1.0055000000000001</v>
      </c>
      <c r="T41" s="2022">
        <f>ROUND(IF(项目基本情况!$B$8="出让",SUMPRODUCT(PRODUCT(1+M41:M$42)),SUMPRODUCT(PRODUCT(1+M41:M$41))),4)</f>
        <v>1.0045999999999999</v>
      </c>
      <c r="U41" s="2022">
        <f>ROUND(IF(项目基本情况!$B$8="出让",SUMPRODUCT(PRODUCT(1+N41:N$42)),SUMPRODUCT(PRODUCT(1+N41:N$41))),4)</f>
        <v>1.0109999999999999</v>
      </c>
      <c r="V41" s="2022"/>
      <c r="W41" s="2022">
        <f t="shared" si="68"/>
        <v>1.0045999999999999</v>
      </c>
      <c r="X41" s="2899"/>
      <c r="Y41" s="2023"/>
      <c r="Z41" s="2895">
        <f t="shared" si="69"/>
        <v>4.4999999999999997E-3</v>
      </c>
      <c r="AA41" s="2896">
        <f t="shared" si="69"/>
        <v>4.7000000000000002E-3</v>
      </c>
      <c r="AB41" s="2023">
        <f t="shared" si="69"/>
        <v>1.04E-2</v>
      </c>
      <c r="AC41" s="2897"/>
      <c r="AD41" s="2023">
        <f t="shared" si="69"/>
        <v>4.7000000000000002E-3</v>
      </c>
    </row>
    <row r="42" spans="1:30" s="2921" customFormat="1" ht="13.8" thickBot="1">
      <c r="A42" s="2911" t="s">
        <v>2821</v>
      </c>
      <c r="B42" s="2912">
        <v>2021</v>
      </c>
      <c r="C42" s="2913">
        <v>1</v>
      </c>
      <c r="D42" s="2914"/>
      <c r="E42" s="2914">
        <v>0.35</v>
      </c>
      <c r="F42" s="2914">
        <v>0.48</v>
      </c>
      <c r="G42" s="2914">
        <v>0.98</v>
      </c>
      <c r="H42" s="2915"/>
      <c r="I42" s="2916">
        <f t="shared" si="52"/>
        <v>0.48</v>
      </c>
      <c r="J42" s="2917"/>
      <c r="K42" s="2918"/>
      <c r="L42" s="2919">
        <f t="shared" si="53"/>
        <v>3.4999999999999996E-3</v>
      </c>
      <c r="M42" s="2919">
        <f>F42/100</f>
        <v>4.7999999999999996E-3</v>
      </c>
      <c r="N42" s="2919">
        <f t="shared" si="53"/>
        <v>9.7999999999999997E-3</v>
      </c>
      <c r="O42" s="2919"/>
      <c r="P42" s="2919">
        <f t="shared" si="67"/>
        <v>4.7999999999999996E-3</v>
      </c>
      <c r="Q42" s="2917"/>
      <c r="R42" s="2920"/>
      <c r="S42" s="2920">
        <v>1</v>
      </c>
      <c r="T42" s="2920">
        <v>1</v>
      </c>
      <c r="U42" s="2920">
        <v>1</v>
      </c>
      <c r="V42" s="2920"/>
      <c r="W42" s="2920">
        <f t="shared" si="68"/>
        <v>1</v>
      </c>
      <c r="X42" s="2917"/>
      <c r="Y42" s="2919"/>
      <c r="Z42" s="2927">
        <f t="shared" si="69"/>
        <v>3.5000000000000001E-3</v>
      </c>
      <c r="AA42" s="2928">
        <f t="shared" si="69"/>
        <v>4.7999999999999996E-3</v>
      </c>
      <c r="AB42" s="2919">
        <f t="shared" si="69"/>
        <v>9.7999999999999997E-3</v>
      </c>
      <c r="AC42" s="2929"/>
      <c r="AD42" s="2919">
        <f t="shared" si="69"/>
        <v>4.7999999999999996E-3</v>
      </c>
    </row>
    <row r="43" spans="1:30" ht="15" thickTop="1"/>
    <row r="44" spans="1:30">
      <c r="A44" s="3136"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6">
      <c r="A3" s="3184"/>
      <c r="B3" s="3184"/>
      <c r="C3" s="3184"/>
      <c r="D3" s="800" t="s">
        <v>925</v>
      </c>
      <c r="E3" s="800" t="s">
        <v>931</v>
      </c>
      <c r="F3" s="800" t="s">
        <v>925</v>
      </c>
      <c r="G3" s="800" t="s">
        <v>926</v>
      </c>
      <c r="H3" s="800" t="s">
        <v>925</v>
      </c>
      <c r="I3" s="800" t="s">
        <v>926</v>
      </c>
    </row>
    <row r="4" spans="1:9" ht="30">
      <c r="A4" s="1398" t="str">
        <f>项目基本情况!S2</f>
        <v>天津市南开区卫津南路西侧柏悦花园房地产</v>
      </c>
      <c r="B4" s="800">
        <f>项目基本情况!C17</f>
        <v>121.97</v>
      </c>
      <c r="C4" s="800">
        <f>项目基本情况!C18</f>
        <v>0</v>
      </c>
      <c r="D4" s="800">
        <f>结果表!D118</f>
        <v>0</v>
      </c>
      <c r="E4" s="800">
        <f>结果表!E118</f>
        <v>0</v>
      </c>
      <c r="F4" s="800">
        <f>结果表!F118</f>
        <v>0</v>
      </c>
      <c r="G4" s="800">
        <f>结果表!G118</f>
        <v>0</v>
      </c>
      <c r="H4" s="800">
        <f ca="1">结果表!H118</f>
        <v>227</v>
      </c>
      <c r="I4" s="800">
        <f ca="1">结果表!I118</f>
        <v>18633</v>
      </c>
    </row>
    <row r="5" spans="1:9" ht="30" customHeight="1">
      <c r="A5" s="3184" t="s">
        <v>927</v>
      </c>
      <c r="B5" s="3184"/>
      <c r="C5" s="3184"/>
      <c r="D5" s="3184" t="str">
        <f>结果表!D119</f>
        <v>零元整</v>
      </c>
      <c r="E5" s="3184"/>
      <c r="F5" s="3184" t="str">
        <f>结果表!F119</f>
        <v>零元整</v>
      </c>
      <c r="G5" s="3184"/>
      <c r="H5" s="3184" t="str">
        <f ca="1">结果表!H119</f>
        <v>贰佰贰拾柒万元整</v>
      </c>
      <c r="I5" s="3184"/>
    </row>
    <row r="6" spans="1:9" ht="15.6">
      <c r="A6" s="3185" t="str">
        <f>结果表!A120</f>
        <v>估价师知悉的法定优先受偿款</v>
      </c>
      <c r="B6" s="3185"/>
      <c r="C6" s="3185"/>
      <c r="D6" s="3185">
        <f>结果表!D120</f>
        <v>0</v>
      </c>
      <c r="E6" s="3185"/>
      <c r="F6" s="3185"/>
      <c r="G6" s="3185"/>
      <c r="H6" s="3185"/>
      <c r="I6" s="3185"/>
    </row>
    <row r="7" spans="1:9" ht="15">
      <c r="A7" s="3184" t="s">
        <v>927</v>
      </c>
      <c r="B7" s="3184"/>
      <c r="C7" s="3184"/>
      <c r="D7" s="3186" t="str">
        <f>结果表!D121</f>
        <v>零元整</v>
      </c>
      <c r="E7" s="3187"/>
      <c r="F7" s="3187"/>
      <c r="G7" s="3187"/>
      <c r="H7" s="3187"/>
      <c r="I7" s="3188"/>
    </row>
    <row r="8" spans="1:9" ht="15.6">
      <c r="A8" s="3185" t="str">
        <f>结果表!A122</f>
        <v>房地产抵押价值</v>
      </c>
      <c r="B8" s="3185"/>
      <c r="C8" s="3185"/>
      <c r="D8" s="3185">
        <f ca="1">结果表!D122</f>
        <v>227</v>
      </c>
      <c r="E8" s="3185"/>
      <c r="F8" s="3185"/>
      <c r="G8" s="3185"/>
      <c r="H8" s="3185"/>
      <c r="I8" s="3185"/>
    </row>
    <row r="9" spans="1:9" ht="15">
      <c r="A9" s="3184" t="s">
        <v>927</v>
      </c>
      <c r="B9" s="3184"/>
      <c r="C9" s="3184"/>
      <c r="D9" s="3184" t="str">
        <f ca="1">结果表!D123</f>
        <v>贰佰贰拾柒万元整</v>
      </c>
      <c r="E9" s="3184"/>
      <c r="F9" s="3184"/>
      <c r="G9" s="3184"/>
      <c r="H9" s="3184"/>
      <c r="I9" s="3184"/>
    </row>
    <row r="10" spans="1:9" ht="15.6">
      <c r="A10" s="3185" t="str">
        <f>结果表!A124</f>
        <v/>
      </c>
      <c r="B10" s="3185"/>
      <c r="C10" s="3185"/>
      <c r="D10" s="3185" t="str">
        <f>结果表!D124</f>
        <v>——</v>
      </c>
      <c r="E10" s="3185"/>
      <c r="F10" s="3185"/>
      <c r="G10" s="3185"/>
      <c r="H10" s="3185"/>
      <c r="I10" s="3185"/>
    </row>
    <row r="11" spans="1:9" ht="15">
      <c r="A11" s="3184" t="s">
        <v>927</v>
      </c>
      <c r="B11" s="3184"/>
      <c r="C11" s="3184"/>
      <c r="D11" s="3184" t="e">
        <f>结果表!D125</f>
        <v>#VALUE!</v>
      </c>
      <c r="E11" s="3184"/>
      <c r="F11" s="3184"/>
      <c r="G11" s="3184"/>
      <c r="H11" s="3184"/>
      <c r="I11" s="3184"/>
    </row>
    <row r="12" spans="1:9" ht="15.6">
      <c r="A12" s="3185" t="str">
        <f>结果表!A126</f>
        <v/>
      </c>
      <c r="B12" s="3185"/>
      <c r="C12" s="3185"/>
      <c r="D12" s="3185" t="str">
        <f>结果表!D126</f>
        <v>——</v>
      </c>
      <c r="E12" s="3185"/>
      <c r="F12" s="3185"/>
      <c r="G12" s="3185"/>
      <c r="H12" s="3185"/>
      <c r="I12" s="3185"/>
    </row>
    <row r="13" spans="1:9" ht="15.6" thickBot="1">
      <c r="A13" s="3189" t="s">
        <v>927</v>
      </c>
      <c r="B13" s="3189"/>
      <c r="C13" s="3189"/>
      <c r="D13" s="3189" t="e">
        <f>结果表!D127</f>
        <v>#VALUE!</v>
      </c>
      <c r="E13" s="3189"/>
      <c r="F13" s="3189"/>
      <c r="G13" s="3189"/>
      <c r="H13" s="3189"/>
      <c r="I13" s="3189"/>
    </row>
    <row r="14" spans="1:9" ht="14.4" thickTop="1">
      <c r="A14" s="3190" t="s">
        <v>932</v>
      </c>
      <c r="B14" s="3190"/>
      <c r="C14" s="3190"/>
      <c r="D14" s="3190"/>
      <c r="E14" s="3190"/>
      <c r="F14" s="3190"/>
      <c r="G14" s="3190"/>
      <c r="H14" s="3190"/>
      <c r="I14" s="3190"/>
    </row>
    <row r="16" spans="1:9" ht="17.399999999999999">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2"/>
    <col min="2" max="6" width="9" style="2022" customWidth="1"/>
    <col min="7" max="7" width="9" style="2056"/>
    <col min="8" max="8" width="9" style="2022"/>
    <col min="9" max="12" width="9" style="2022" customWidth="1"/>
    <col min="13" max="13" width="2.21875" style="2022" customWidth="1"/>
    <col min="14" max="14" width="9" style="2056" customWidth="1"/>
    <col min="15" max="17" width="9" style="2022" customWidth="1"/>
    <col min="18" max="18" width="2.33203125" style="2022" customWidth="1"/>
    <col min="19" max="19" width="7.109375" style="2056" customWidth="1"/>
    <col min="20" max="22" width="7.109375" style="2022" customWidth="1"/>
    <col min="23" max="23" width="24.21875" style="2022" customWidth="1"/>
    <col min="24" max="25" width="9" style="2022"/>
    <col min="26" max="27" width="11.6640625" style="2022" customWidth="1"/>
    <col min="28" max="28" width="9" style="2022"/>
    <col min="29" max="29" width="2" style="2022" customWidth="1"/>
    <col min="30" max="16384" width="9" style="2022"/>
  </cols>
  <sheetData>
    <row r="1" spans="1:34" s="2004"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5" customFormat="1" ht="1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4">
      <c r="A3" s="2009" t="s">
        <v>2109</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4">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3360</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3357</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2110</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3358</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3359</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2305</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2304</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2125</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2123</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2122</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8" thickBot="1">
      <c r="A18" s="2035" t="s">
        <v>2121</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2119</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8" thickBot="1">
      <c r="A20" s="2035" t="s">
        <v>2118</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2120</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499">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 customHeight="1">
      <c r="A22" s="2035" t="s">
        <v>2116</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499"/>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 customHeight="1">
      <c r="A23" s="2035" t="s">
        <v>2115</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499"/>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2108</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06"/>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2106</v>
      </c>
      <c r="B25" s="2044">
        <v>439</v>
      </c>
      <c r="C25" s="2044">
        <v>327</v>
      </c>
      <c r="D25" s="2044">
        <f>C25</f>
        <v>327</v>
      </c>
      <c r="E25" s="2044">
        <v>627</v>
      </c>
      <c r="F25" s="2045">
        <v>283</v>
      </c>
      <c r="G25" s="3502">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 customHeight="1">
      <c r="A26" s="2035" t="s">
        <v>2107</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499"/>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499"/>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06"/>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2">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499"/>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499"/>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8"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00"/>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8" thickBot="1">
      <c r="A33" s="2035" t="s">
        <v>124</v>
      </c>
      <c r="B33" s="2044">
        <v>333</v>
      </c>
      <c r="C33" s="2044">
        <v>277</v>
      </c>
      <c r="D33" s="2044">
        <f t="shared" si="246"/>
        <v>277</v>
      </c>
      <c r="E33" s="2044">
        <v>459</v>
      </c>
      <c r="F33" s="2045">
        <v>249</v>
      </c>
      <c r="G33" s="3498">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499"/>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499"/>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00"/>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8" thickBot="1">
      <c r="A37" s="2035" t="s">
        <v>120</v>
      </c>
      <c r="B37" s="2059">
        <v>318</v>
      </c>
      <c r="C37" s="2059">
        <v>268</v>
      </c>
      <c r="D37" s="2059">
        <f t="shared" si="246"/>
        <v>268</v>
      </c>
      <c r="E37" s="2059">
        <v>437</v>
      </c>
      <c r="F37" s="2060">
        <v>237</v>
      </c>
      <c r="G37" s="3498">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499"/>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8"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499"/>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8"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00"/>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8" thickBot="1">
      <c r="A41" s="2035" t="s">
        <v>465</v>
      </c>
      <c r="B41" s="2044">
        <v>299</v>
      </c>
      <c r="C41" s="2044">
        <v>252</v>
      </c>
      <c r="D41" s="2044">
        <f t="shared" si="246"/>
        <v>252</v>
      </c>
      <c r="E41" s="2044">
        <v>409</v>
      </c>
      <c r="F41" s="2045">
        <v>227</v>
      </c>
      <c r="G41" s="3503">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04"/>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04"/>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05"/>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8" thickBot="1">
      <c r="A45" s="2035" t="s">
        <v>469</v>
      </c>
      <c r="B45" s="2078">
        <v>278</v>
      </c>
      <c r="C45" s="2078">
        <v>234</v>
      </c>
      <c r="D45" s="2078">
        <f t="shared" si="246"/>
        <v>234</v>
      </c>
      <c r="E45" s="2078">
        <v>379</v>
      </c>
      <c r="F45" s="2079">
        <v>220</v>
      </c>
      <c r="G45" s="3498">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499"/>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499"/>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8" thickBot="1">
      <c r="A48" s="2035" t="s">
        <v>472</v>
      </c>
      <c r="B48" s="2036">
        <f>B47/(1+N47)</f>
        <v>275.19025476197027</v>
      </c>
      <c r="C48" s="2080">
        <v>232</v>
      </c>
      <c r="D48" s="2080">
        <f t="shared" si="246"/>
        <v>232</v>
      </c>
      <c r="E48" s="2036">
        <f t="shared" si="257"/>
        <v>375.65990977608692</v>
      </c>
      <c r="F48" s="2036">
        <f t="shared" si="257"/>
        <v>214.12518283971252</v>
      </c>
      <c r="G48" s="3500"/>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8" thickBot="1">
      <c r="A49" s="2035" t="s">
        <v>473</v>
      </c>
      <c r="B49" s="2044">
        <v>275</v>
      </c>
      <c r="C49" s="2044">
        <v>232</v>
      </c>
      <c r="D49" s="2044">
        <f t="shared" si="246"/>
        <v>232</v>
      </c>
      <c r="E49" s="2044">
        <v>376</v>
      </c>
      <c r="F49" s="2045">
        <v>213</v>
      </c>
      <c r="G49" s="3498">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499">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499">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8"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00">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8" thickBot="1">
      <c r="A53" s="2035" t="s">
        <v>477</v>
      </c>
      <c r="B53" s="2044">
        <v>269</v>
      </c>
      <c r="C53" s="2044">
        <v>221</v>
      </c>
      <c r="D53" s="2044">
        <f t="shared" si="246"/>
        <v>221</v>
      </c>
      <c r="E53" s="2044">
        <v>373</v>
      </c>
      <c r="F53" s="2045">
        <v>196</v>
      </c>
      <c r="G53" s="3498">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499">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499">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8"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00">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8" thickBot="1">
      <c r="A57" s="2035" t="s">
        <v>481</v>
      </c>
      <c r="B57" s="2044">
        <v>220</v>
      </c>
      <c r="C57" s="2044">
        <v>187</v>
      </c>
      <c r="D57" s="2044">
        <f t="shared" si="246"/>
        <v>187</v>
      </c>
      <c r="E57" s="2044">
        <v>301</v>
      </c>
      <c r="F57" s="2045">
        <v>168</v>
      </c>
      <c r="G57" s="3498">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499">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499">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00">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8" thickBot="1">
      <c r="A61" s="2035" t="s">
        <v>485</v>
      </c>
      <c r="B61" s="2078">
        <v>214</v>
      </c>
      <c r="C61" s="2078">
        <v>188</v>
      </c>
      <c r="D61" s="2078">
        <f t="shared" si="246"/>
        <v>188</v>
      </c>
      <c r="E61" s="2078">
        <v>289</v>
      </c>
      <c r="F61" s="2079">
        <v>166</v>
      </c>
      <c r="G61" s="3498">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499">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499">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8"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00">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8" thickBot="1">
      <c r="A65" s="2035" t="s">
        <v>489</v>
      </c>
      <c r="B65" s="2044">
        <v>188</v>
      </c>
      <c r="C65" s="2044">
        <v>165</v>
      </c>
      <c r="D65" s="2044">
        <f t="shared" si="246"/>
        <v>165</v>
      </c>
      <c r="E65" s="2044">
        <v>254</v>
      </c>
      <c r="F65" s="2045">
        <v>148</v>
      </c>
      <c r="G65" s="3498">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499">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499">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00">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8" thickBot="1">
      <c r="A69" s="2035" t="s">
        <v>493</v>
      </c>
      <c r="B69" s="2059">
        <v>159</v>
      </c>
      <c r="C69" s="2059">
        <v>141</v>
      </c>
      <c r="D69" s="2059">
        <f t="shared" si="246"/>
        <v>141</v>
      </c>
      <c r="E69" s="2059">
        <v>195</v>
      </c>
      <c r="F69" s="2060">
        <v>122</v>
      </c>
      <c r="G69" s="3498">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499">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499">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00">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8" thickBot="1">
      <c r="A73" s="2035" t="s">
        <v>497</v>
      </c>
      <c r="B73" s="2059">
        <v>138</v>
      </c>
      <c r="C73" s="2059">
        <v>131</v>
      </c>
      <c r="D73" s="2059">
        <f t="shared" si="246"/>
        <v>131</v>
      </c>
      <c r="E73" s="2059">
        <v>155</v>
      </c>
      <c r="F73" s="2060">
        <v>114</v>
      </c>
      <c r="G73" s="3498">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499">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499">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00">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8" thickBot="1">
      <c r="A77" s="2035" t="s">
        <v>501</v>
      </c>
      <c r="B77" s="2078">
        <v>121</v>
      </c>
      <c r="C77" s="2078">
        <v>122</v>
      </c>
      <c r="D77" s="2078">
        <f t="shared" si="246"/>
        <v>122</v>
      </c>
      <c r="E77" s="2078">
        <v>124</v>
      </c>
      <c r="F77" s="2079">
        <v>107</v>
      </c>
      <c r="G77" s="3498">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499">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499">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8"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00">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8" thickBot="1">
      <c r="A81" s="2035" t="s">
        <v>505</v>
      </c>
      <c r="B81" s="2098">
        <v>111</v>
      </c>
      <c r="C81" s="2098">
        <v>114</v>
      </c>
      <c r="D81" s="2098">
        <f t="shared" si="246"/>
        <v>114</v>
      </c>
      <c r="E81" s="2098">
        <v>108</v>
      </c>
      <c r="F81" s="2099">
        <v>104</v>
      </c>
      <c r="G81" s="349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499">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499">
        <v>2003</v>
      </c>
      <c r="H83" s="2046">
        <v>2</v>
      </c>
      <c r="I83" s="2100"/>
      <c r="J83" s="2100"/>
      <c r="K83" s="2100"/>
      <c r="L83" s="2100"/>
      <c r="X83" s="2092"/>
      <c r="Y83" s="2092"/>
      <c r="Z83" s="2092"/>
    </row>
    <row r="84" spans="1:26" ht="13.8" thickBot="1">
      <c r="A84" s="2035" t="s">
        <v>508</v>
      </c>
      <c r="B84" s="2102">
        <f t="shared" si="282"/>
        <v>107.25</v>
      </c>
      <c r="C84" s="2102">
        <f t="shared" si="282"/>
        <v>108.75</v>
      </c>
      <c r="D84" s="2102">
        <f t="shared" si="246"/>
        <v>108.75</v>
      </c>
      <c r="E84" s="2102">
        <f t="shared" si="283"/>
        <v>105.75</v>
      </c>
      <c r="F84" s="2102">
        <f t="shared" si="283"/>
        <v>102.5</v>
      </c>
      <c r="G84" s="3500">
        <v>2003</v>
      </c>
      <c r="H84" s="2103">
        <v>1</v>
      </c>
      <c r="I84" s="2100"/>
      <c r="J84" s="2100"/>
      <c r="K84" s="2100"/>
      <c r="L84" s="2100"/>
      <c r="S84" s="2038"/>
      <c r="T84" s="2023"/>
      <c r="U84" s="2023"/>
      <c r="X84" s="2092"/>
      <c r="Y84" s="2092"/>
      <c r="Z84" s="2092"/>
    </row>
    <row r="85" spans="1:26" ht="13.8" thickBot="1">
      <c r="A85" s="2035" t="s">
        <v>509</v>
      </c>
      <c r="B85" s="2104">
        <v>106</v>
      </c>
      <c r="C85" s="2104">
        <v>107</v>
      </c>
      <c r="D85" s="2104">
        <f t="shared" si="246"/>
        <v>107</v>
      </c>
      <c r="E85" s="2104">
        <v>105</v>
      </c>
      <c r="F85" s="2105">
        <v>102</v>
      </c>
      <c r="G85" s="349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499">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499">
        <v>2002</v>
      </c>
      <c r="H87" s="2046">
        <v>2</v>
      </c>
      <c r="I87" s="2100"/>
      <c r="J87" s="2100"/>
      <c r="K87" s="2100"/>
      <c r="L87" s="2100"/>
      <c r="X87" s="2092"/>
      <c r="Y87" s="2092"/>
      <c r="Z87" s="2092"/>
    </row>
    <row r="88" spans="1:26" s="2067" customFormat="1" ht="13.8" thickBot="1">
      <c r="A88" s="2063" t="s">
        <v>512</v>
      </c>
      <c r="B88" s="2070">
        <f t="shared" si="284"/>
        <v>103</v>
      </c>
      <c r="C88" s="2070">
        <f t="shared" si="284"/>
        <v>104</v>
      </c>
      <c r="D88" s="2070">
        <f t="shared" si="246"/>
        <v>104</v>
      </c>
      <c r="E88" s="2070">
        <f t="shared" si="285"/>
        <v>103.5</v>
      </c>
      <c r="F88" s="2070">
        <f t="shared" si="285"/>
        <v>100.5</v>
      </c>
      <c r="G88" s="3500">
        <v>2002</v>
      </c>
      <c r="H88" s="2106">
        <v>1</v>
      </c>
      <c r="I88" s="2107"/>
      <c r="J88" s="2107"/>
      <c r="K88" s="2107"/>
      <c r="L88" s="2107"/>
      <c r="N88" s="2108"/>
      <c r="S88" s="2108"/>
      <c r="X88" s="2109"/>
      <c r="Y88" s="2109"/>
      <c r="Z88" s="2109"/>
    </row>
    <row r="89" spans="1:26" ht="13.8"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8"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8"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45555</v>
      </c>
      <c r="D1" s="1214" t="s">
        <v>603</v>
      </c>
      <c r="E1" s="1209">
        <f>'数据-取费表'!B22</f>
        <v>2</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44701</v>
      </c>
      <c r="D18" s="1202">
        <v>3.7</v>
      </c>
      <c r="E18" s="1202">
        <f>D18</f>
        <v>3.7</v>
      </c>
      <c r="F18" s="1202">
        <f>D18</f>
        <v>3.7</v>
      </c>
      <c r="G18" s="1202">
        <f>D18</f>
        <v>3.7</v>
      </c>
      <c r="H18" s="1202">
        <v>4.45</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9"/>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5.6">
      <c r="B25" s="1197" t="s">
        <v>2306</v>
      </c>
      <c r="C25" s="1204">
        <v>43697</v>
      </c>
      <c r="D25" s="2567">
        <v>4.25</v>
      </c>
      <c r="E25" s="2567">
        <v>4.25</v>
      </c>
      <c r="F25" s="2567">
        <v>4.25</v>
      </c>
      <c r="G25" s="2567">
        <v>4.25</v>
      </c>
      <c r="H25" s="2567">
        <v>4.8499999999999996</v>
      </c>
      <c r="I25" s="2567"/>
      <c r="J25" s="2567"/>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2570"/>
      <c r="C26" s="2571">
        <v>42301</v>
      </c>
      <c r="D26" s="2572">
        <v>4.3499999999999996</v>
      </c>
      <c r="E26" s="2572">
        <v>4.3499999999999996</v>
      </c>
      <c r="F26" s="2572">
        <v>4.75</v>
      </c>
      <c r="G26" s="2572">
        <v>4.75</v>
      </c>
      <c r="H26" s="2572">
        <v>4.9000000000000004</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1" t="s">
        <v>949</v>
      </c>
      <c r="B1" s="3191"/>
      <c r="C1" s="3191"/>
      <c r="D1" s="3191"/>
    </row>
    <row r="2" spans="1:4" ht="17.399999999999999">
      <c r="A2" s="3192" t="s">
        <v>933</v>
      </c>
      <c r="B2" s="3192"/>
      <c r="C2" s="3192"/>
      <c r="D2" s="3192"/>
    </row>
    <row r="3" spans="1:4" ht="17.399999999999999">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崔锴</v>
      </c>
      <c r="B5" s="1404">
        <f ca="1">项目基本情况!E4</f>
        <v>1120100036</v>
      </c>
      <c r="C5" s="1407"/>
      <c r="D5" s="1406" t="s">
        <v>938</v>
      </c>
    </row>
    <row r="6" spans="1:4" ht="17.399999999999999">
      <c r="A6" s="3192" t="s">
        <v>939</v>
      </c>
      <c r="B6" s="3192"/>
      <c r="C6" s="3192"/>
      <c r="D6" s="3192"/>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193"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7" t="s">
        <v>943</v>
      </c>
      <c r="B16" s="3197"/>
      <c r="C16" s="3197"/>
      <c r="D16" s="3197"/>
    </row>
    <row r="17" spans="1:4" ht="144" customHeight="1">
      <c r="A17" s="3197" t="s">
        <v>944</v>
      </c>
      <c r="B17" s="3197"/>
      <c r="C17" s="3197"/>
      <c r="D17" s="3197"/>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0"/>
      <c r="B23" s="459"/>
      <c r="C23" s="459"/>
      <c r="D23" s="459"/>
    </row>
    <row r="24" spans="1:4">
      <c r="A24" s="1410"/>
      <c r="B24" s="459"/>
      <c r="C24" s="459"/>
      <c r="D24" s="459"/>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196">
        <v>42551</v>
      </c>
      <c r="D31" s="31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05" t="s">
        <v>956</v>
      </c>
      <c r="B15" s="3200" t="s">
        <v>109</v>
      </c>
      <c r="C15" s="3201"/>
    </row>
    <row r="16" spans="1:7" ht="14.4">
      <c r="A16" s="3206"/>
      <c r="B16" s="3200" t="s">
        <v>42</v>
      </c>
      <c r="C16" s="3201"/>
    </row>
    <row r="17" spans="1:3" ht="14.4">
      <c r="A17" s="3206"/>
      <c r="B17" s="3203" t="s">
        <v>957</v>
      </c>
      <c r="C17" s="1424" t="s">
        <v>956</v>
      </c>
    </row>
    <row r="18" spans="1:3" ht="14.4">
      <c r="A18" s="3206"/>
      <c r="B18" s="3203"/>
      <c r="C18" s="1424" t="s">
        <v>958</v>
      </c>
    </row>
    <row r="19" spans="1:3" ht="14.4">
      <c r="A19" s="3206"/>
      <c r="B19" s="3203"/>
      <c r="C19" s="1424" t="s">
        <v>959</v>
      </c>
    </row>
    <row r="20" spans="1:3" ht="14.4">
      <c r="A20" s="3207"/>
      <c r="B20" s="3202" t="s">
        <v>960</v>
      </c>
      <c r="C20" s="3201"/>
    </row>
    <row r="21" spans="1:3" ht="14.4">
      <c r="A21" s="1425" t="s">
        <v>961</v>
      </c>
      <c r="B21" s="1426"/>
      <c r="C21" s="1427"/>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4" t="s">
        <v>967</v>
      </c>
    </row>
    <row r="26" spans="1:3" ht="14.4">
      <c r="A26" s="3204"/>
      <c r="B26" s="3203"/>
      <c r="C26" s="1424" t="s">
        <v>968</v>
      </c>
    </row>
    <row r="27" spans="1:3" ht="14.4">
      <c r="A27" s="3204"/>
      <c r="B27" s="3203"/>
      <c r="C27" s="1424" t="s">
        <v>969</v>
      </c>
    </row>
    <row r="28" spans="1:3" ht="14.4">
      <c r="A28" s="3204"/>
      <c r="B28" s="3203"/>
      <c r="C28" s="1424" t="s">
        <v>970</v>
      </c>
    </row>
    <row r="29" spans="1:3" ht="14.4">
      <c r="A29" s="3204"/>
      <c r="B29" s="3203"/>
      <c r="C29" s="1424" t="s">
        <v>971</v>
      </c>
    </row>
    <row r="30" spans="1:3" ht="14.4">
      <c r="A30" s="3204"/>
      <c r="B30" s="3203"/>
      <c r="C30" s="1424" t="s">
        <v>972</v>
      </c>
    </row>
    <row r="31" spans="1:3" ht="14.4">
      <c r="A31" s="3204"/>
      <c r="B31" s="3203"/>
      <c r="C31" s="1424" t="s">
        <v>973</v>
      </c>
    </row>
    <row r="32" spans="1:3" ht="14.4">
      <c r="A32" s="3204"/>
      <c r="B32" s="3203"/>
      <c r="C32" s="1424" t="s">
        <v>974</v>
      </c>
    </row>
    <row r="33" spans="1:3" ht="14.4">
      <c r="A33" s="3204"/>
      <c r="B33" s="3203"/>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0" customWidth="1"/>
    <col min="2" max="2" width="38.6640625" style="2150" customWidth="1"/>
    <col min="3" max="3" width="26" style="2150" customWidth="1"/>
    <col min="4" max="4" width="35" style="2150" hidden="1" customWidth="1"/>
    <col min="5" max="5" width="30.109375" style="2150" customWidth="1"/>
    <col min="6" max="6" width="35.44140625" style="2150" customWidth="1"/>
    <col min="7" max="7" width="31" style="2150" customWidth="1"/>
    <col min="8" max="8" width="37.44140625" style="2150" hidden="1" customWidth="1"/>
    <col min="9" max="16384" width="22.6640625" style="2150"/>
  </cols>
  <sheetData>
    <row r="1" spans="1:8" ht="24" customHeight="1">
      <c r="A1" s="2149"/>
      <c r="B1" s="2149"/>
      <c r="C1" s="2149"/>
      <c r="D1" s="2149"/>
      <c r="E1" s="2149"/>
      <c r="F1" s="2149"/>
      <c r="G1" s="2149"/>
      <c r="H1" s="2149"/>
    </row>
    <row r="2" spans="1:8" ht="24" customHeight="1">
      <c r="A2" s="2151" t="s">
        <v>2134</v>
      </c>
      <c r="B2" s="2152">
        <f ca="1">TODAY()</f>
        <v>45560</v>
      </c>
      <c r="C2" s="2153" t="s">
        <v>2135</v>
      </c>
      <c r="D2" s="2153"/>
      <c r="E2" s="2153"/>
      <c r="F2" s="2149"/>
      <c r="G2" s="2149"/>
      <c r="H2" s="2149"/>
    </row>
    <row r="3" spans="1:8" ht="24" customHeight="1">
      <c r="A3" s="2154" t="s">
        <v>2136</v>
      </c>
      <c r="B3" s="1216" t="s">
        <v>2137</v>
      </c>
      <c r="C3" s="1216" t="s">
        <v>2138</v>
      </c>
      <c r="D3" s="2155" t="s">
        <v>2139</v>
      </c>
      <c r="E3" s="2156" t="s">
        <v>2140</v>
      </c>
      <c r="F3" s="1216" t="s">
        <v>2141</v>
      </c>
      <c r="G3" s="1216" t="s">
        <v>2138</v>
      </c>
      <c r="H3" s="2155" t="s">
        <v>2142</v>
      </c>
    </row>
    <row r="4" spans="1:8" ht="24" customHeight="1">
      <c r="A4" s="1216" t="s">
        <v>2143</v>
      </c>
      <c r="B4" s="1216">
        <f ca="1">IF(C4&lt;B2,"已过期",1119970066)</f>
        <v>1119970066</v>
      </c>
      <c r="C4" s="2157">
        <v>45937</v>
      </c>
      <c r="D4" s="2158" t="str">
        <f ca="1">A4&amp;"（注册号："&amp;B4&amp;"）"</f>
        <v>梁津（注册号：1119970066）</v>
      </c>
      <c r="E4" s="2159" t="s">
        <v>2143</v>
      </c>
      <c r="F4" s="1216">
        <f ca="1">IF(G4&lt;B2,"已过期",96010014)</f>
        <v>96010014</v>
      </c>
      <c r="G4" s="2160">
        <v>47118</v>
      </c>
      <c r="H4" s="2161" t="str">
        <f ca="1">E4&amp;"（注册号："&amp;F4&amp;"）"</f>
        <v>梁津（注册号：96010014）</v>
      </c>
    </row>
    <row r="5" spans="1:8" ht="24" customHeight="1">
      <c r="A5" s="1216" t="s">
        <v>2144</v>
      </c>
      <c r="B5" s="1216">
        <f ca="1">IF(C5&lt;B2,"已过期",1119970111)</f>
        <v>1119970111</v>
      </c>
      <c r="C5" s="2157">
        <v>45937</v>
      </c>
      <c r="D5" s="2158" t="str">
        <f t="shared" ref="D5:D15" ca="1" si="0">A5&amp;"（注册号："&amp;B5&amp;"）"</f>
        <v>叶凌（注册号：1119970111）</v>
      </c>
      <c r="E5" s="2159" t="s">
        <v>2144</v>
      </c>
      <c r="F5" s="1216">
        <f ca="1">IF(G5&lt;B2,"已过期",94010078)</f>
        <v>94010078</v>
      </c>
      <c r="G5" s="2160">
        <v>46387</v>
      </c>
      <c r="H5" s="2161" t="str">
        <f t="shared" ref="H5:H16" ca="1" si="1">E5&amp;"（注册号："&amp;F5&amp;"）"</f>
        <v>叶凌（注册号：94010078）</v>
      </c>
    </row>
    <row r="6" spans="1:8" ht="24" customHeight="1">
      <c r="A6" s="1216" t="s">
        <v>2145</v>
      </c>
      <c r="B6" s="1216" t="str">
        <f ca="1">IF(C6&lt;B2,"已过期",1120050019)</f>
        <v>已过期</v>
      </c>
      <c r="C6" s="2157">
        <v>45410</v>
      </c>
      <c r="D6" s="2158" t="str">
        <f t="shared" ca="1" si="0"/>
        <v>王鹏（注册号：已过期）</v>
      </c>
      <c r="E6" s="2159" t="s">
        <v>2145</v>
      </c>
      <c r="F6" s="1216">
        <f ca="1">IF(G6&lt;B2,"已过期",2002110030)</f>
        <v>2002110030</v>
      </c>
      <c r="G6" s="2160">
        <v>46387</v>
      </c>
      <c r="H6" s="2161" t="str">
        <f t="shared" ca="1" si="1"/>
        <v>王鹏（注册号：2002110030）</v>
      </c>
    </row>
    <row r="7" spans="1:8" ht="24" customHeight="1">
      <c r="A7" s="1216" t="s">
        <v>2146</v>
      </c>
      <c r="B7" s="1216">
        <f ca="1">IF(C7&lt;B2,"已过期",1120000080)</f>
        <v>1120000080</v>
      </c>
      <c r="C7" s="2157">
        <v>45937</v>
      </c>
      <c r="D7" s="2158" t="str">
        <f t="shared" ca="1" si="0"/>
        <v>欧红伟（注册号：1120000080）</v>
      </c>
      <c r="E7" s="2159" t="s">
        <v>2146</v>
      </c>
      <c r="F7" s="1216">
        <f ca="1">IF(G7&lt;B2,"已过期",2000110082)</f>
        <v>2000110082</v>
      </c>
      <c r="G7" s="2160">
        <v>46387</v>
      </c>
      <c r="H7" s="2161" t="str">
        <f t="shared" ca="1" si="1"/>
        <v>欧红伟（注册号：2000110082）</v>
      </c>
    </row>
    <row r="8" spans="1:8" ht="24" customHeight="1">
      <c r="A8" s="1216" t="s">
        <v>2147</v>
      </c>
      <c r="B8" s="1216">
        <f ca="1">IF(C8&lt;B2,"已过期",1419970001)</f>
        <v>1419970001</v>
      </c>
      <c r="C8" s="2157">
        <v>45937</v>
      </c>
      <c r="D8" s="2158" t="str">
        <f t="shared" ca="1" si="0"/>
        <v>吴薇（注册号：1419970001）</v>
      </c>
      <c r="E8" s="2159" t="s">
        <v>2147</v>
      </c>
      <c r="F8" s="1216">
        <f ca="1">IF(G8&lt;B2,"已过期",2002110125)</f>
        <v>2002110125</v>
      </c>
      <c r="G8" s="2160">
        <v>47118</v>
      </c>
      <c r="H8" s="2161" t="str">
        <f t="shared" ca="1" si="1"/>
        <v>吴薇（注册号：2002110125）</v>
      </c>
    </row>
    <row r="9" spans="1:8" ht="24" customHeight="1">
      <c r="A9" s="1216" t="s">
        <v>2148</v>
      </c>
      <c r="B9" s="1216">
        <f ca="1">IF(C9&lt;B2,"已过期",1120060040)</f>
        <v>1120060040</v>
      </c>
      <c r="C9" s="2162">
        <v>45592</v>
      </c>
      <c r="D9" s="2158" t="str">
        <f t="shared" ca="1" si="0"/>
        <v>陈颖（注册号：1120060040）</v>
      </c>
      <c r="E9" s="2159" t="s">
        <v>2148</v>
      </c>
      <c r="F9" s="1216">
        <f ca="1">IF(G9&lt;B2,"已过期",2004110096)</f>
        <v>2004110096</v>
      </c>
      <c r="G9" s="2160">
        <v>47118</v>
      </c>
      <c r="H9" s="2161" t="str">
        <f t="shared" ca="1" si="1"/>
        <v>陈颖（注册号：2004110096）</v>
      </c>
    </row>
    <row r="10" spans="1:8" ht="24" customHeight="1">
      <c r="A10" s="1216" t="s">
        <v>2149</v>
      </c>
      <c r="B10" s="1216">
        <f ca="1">IF(C10&lt;B2,"已过期",1120100036)</f>
        <v>1120100036</v>
      </c>
      <c r="C10" s="2162">
        <v>45752</v>
      </c>
      <c r="D10" s="2158" t="str">
        <f t="shared" ca="1" si="0"/>
        <v>崔锴（注册号：1120100036）</v>
      </c>
      <c r="E10" s="2159" t="s">
        <v>2149</v>
      </c>
      <c r="F10" s="1216">
        <f ca="1">IF(G10&lt;B2,"已过期",2010110070)</f>
        <v>2010110070</v>
      </c>
      <c r="G10" s="2160">
        <v>47907</v>
      </c>
      <c r="H10" s="2161" t="str">
        <f t="shared" ca="1" si="1"/>
        <v>崔锴（注册号：2010110070）</v>
      </c>
    </row>
    <row r="11" spans="1:8" ht="24" customHeight="1">
      <c r="A11" s="1216" t="s">
        <v>2150</v>
      </c>
      <c r="B11" s="1216">
        <f ca="1">IF(C11&lt;B2,"已过期",1120070131)</f>
        <v>1120070131</v>
      </c>
      <c r="C11" s="2157">
        <v>45937</v>
      </c>
      <c r="D11" s="2158" t="str">
        <f t="shared" ca="1" si="0"/>
        <v>郑燚（注册号：1120070131）</v>
      </c>
      <c r="E11" s="2159" t="s">
        <v>2150</v>
      </c>
      <c r="F11" s="1216">
        <f ca="1">IF(G11&lt;B2,"已过期",2014110011)</f>
        <v>2014110011</v>
      </c>
      <c r="G11" s="2160">
        <v>49302</v>
      </c>
      <c r="H11" s="2161" t="str">
        <f t="shared" ca="1" si="1"/>
        <v>郑燚（注册号：2014110011）</v>
      </c>
    </row>
    <row r="12" spans="1:8" ht="24" customHeight="1">
      <c r="A12" s="1216" t="s">
        <v>2151</v>
      </c>
      <c r="B12" s="1216">
        <f ca="1">IF(C12&lt;B2,"已过期",1120040230)</f>
        <v>1120040230</v>
      </c>
      <c r="C12" s="2162">
        <v>45937</v>
      </c>
      <c r="D12" s="2158" t="str">
        <f t="shared" ca="1" si="0"/>
        <v>苏海（注册号：1120040230）</v>
      </c>
      <c r="E12" s="2159" t="s">
        <v>2151</v>
      </c>
      <c r="F12" s="1216">
        <f ca="1">IF(G12&lt;B2,"已过期",98030020)</f>
        <v>98030020</v>
      </c>
      <c r="G12" s="2160">
        <v>47118</v>
      </c>
      <c r="H12" s="2161" t="str">
        <f t="shared" ca="1" si="1"/>
        <v>苏海（注册号：98030020）</v>
      </c>
    </row>
    <row r="13" spans="1:8" ht="24" customHeight="1">
      <c r="A13" s="1216" t="s">
        <v>2152</v>
      </c>
      <c r="B13" s="1216" t="str">
        <f ca="1">IF(C13&lt;B2,"已过期",1120020033)</f>
        <v>已过期</v>
      </c>
      <c r="C13" s="2157">
        <v>45375</v>
      </c>
      <c r="D13" s="2158" t="str">
        <f t="shared" ca="1" si="0"/>
        <v>刘敬东（注册号：已过期）</v>
      </c>
      <c r="E13" s="2159" t="s">
        <v>2152</v>
      </c>
      <c r="F13" s="1216">
        <f ca="1">IF(G13&lt;B2,"已过期",2000110137)</f>
        <v>2000110137</v>
      </c>
      <c r="G13" s="2160">
        <v>46387</v>
      </c>
      <c r="H13" s="2161" t="str">
        <f t="shared" ca="1" si="1"/>
        <v>刘敬东（注册号：2000110137）</v>
      </c>
    </row>
    <row r="14" spans="1:8" ht="24" customHeight="1">
      <c r="A14" s="1216" t="s">
        <v>2153</v>
      </c>
      <c r="B14" s="1216" t="str">
        <f ca="1">IF(C14&lt;B2,"已过期",1119980106)</f>
        <v>已过期</v>
      </c>
      <c r="C14" s="2162">
        <v>44969</v>
      </c>
      <c r="D14" s="2158" t="str">
        <f t="shared" ca="1" si="0"/>
        <v>刘俊财（注册号：已过期）</v>
      </c>
      <c r="E14" s="2159" t="s">
        <v>2153</v>
      </c>
      <c r="F14" s="1216">
        <f ca="1">IF(G14&lt;B2,"已过期",96010063)</f>
        <v>96010063</v>
      </c>
      <c r="G14" s="2160">
        <v>47483</v>
      </c>
      <c r="H14" s="2161" t="str">
        <f t="shared" ca="1" si="1"/>
        <v>刘俊财（注册号：96010063）</v>
      </c>
    </row>
    <row r="15" spans="1:8" ht="24" customHeight="1">
      <c r="A15" s="1216" t="s">
        <v>2434</v>
      </c>
      <c r="B15" s="1216">
        <v>1120210056</v>
      </c>
      <c r="C15" s="2162">
        <v>45410</v>
      </c>
      <c r="D15" s="2158" t="str">
        <f t="shared" si="0"/>
        <v>宁小鳗（注册号：1120210056）</v>
      </c>
      <c r="E15" s="2159" t="s">
        <v>2154</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08" t="s">
        <v>2155</v>
      </c>
      <c r="B17" s="3208"/>
      <c r="C17" s="3208"/>
      <c r="D17" s="3208"/>
      <c r="E17" s="3208"/>
      <c r="F17" s="3208"/>
      <c r="G17" s="3208"/>
      <c r="H17" s="3208"/>
    </row>
    <row r="18" spans="1:8" ht="24" customHeight="1">
      <c r="A18" s="3209" t="s">
        <v>2156</v>
      </c>
      <c r="B18" s="3209"/>
      <c r="C18" s="3209"/>
      <c r="D18" s="2155"/>
      <c r="E18" s="3210" t="s">
        <v>2157</v>
      </c>
      <c r="F18" s="3209"/>
      <c r="G18" s="3209"/>
    </row>
    <row r="19" spans="1:8" s="2165" customFormat="1" ht="24" customHeight="1">
      <c r="A19" s="2164" t="s">
        <v>2158</v>
      </c>
      <c r="B19" s="1216" t="s">
        <v>2159</v>
      </c>
      <c r="C19" s="1216" t="s">
        <v>2138</v>
      </c>
      <c r="D19" s="2155"/>
      <c r="E19" s="2159" t="s">
        <v>2158</v>
      </c>
      <c r="F19" s="1216" t="s">
        <v>2159</v>
      </c>
      <c r="G19" s="1216" t="s">
        <v>2138</v>
      </c>
    </row>
    <row r="20" spans="1:8" s="2165" customFormat="1" ht="24" customHeight="1">
      <c r="A20" s="2166" t="s">
        <v>2160</v>
      </c>
      <c r="B20" s="2166" t="s">
        <v>2161</v>
      </c>
      <c r="C20" s="2160">
        <v>45898</v>
      </c>
      <c r="D20" s="2167"/>
      <c r="E20" s="2168" t="s">
        <v>2162</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案例情况</vt:lpstr>
      <vt:lpstr>数据-基础表</vt:lpstr>
      <vt:lpstr>数据-汇总表</vt:lpstr>
      <vt:lpstr>数据-取费表</vt:lpstr>
      <vt:lpstr>估价对象房地状况</vt:lpstr>
      <vt:lpstr>原始表</vt:lpstr>
      <vt:lpstr>1号楼</vt:lpstr>
      <vt:lpstr>2号楼</vt:lpstr>
      <vt:lpstr>3-5号楼</vt:lpstr>
      <vt:lpstr>无查询证明的4套</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2024-09-25T09:13:59Z</dcterms:modified>
</cp:coreProperties>
</file>