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拆分价值"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1" i="79" l="1"/>
  <c r="E39" i="77"/>
  <c r="E44" i="77" s="1"/>
  <c r="E36" i="77"/>
  <c r="AH7" i="1"/>
  <c r="C90" i="9" l="1"/>
  <c r="C13" i="12"/>
  <c r="E29" i="79"/>
  <c r="N14" i="3"/>
  <c r="M14" i="3"/>
  <c r="C33" i="21"/>
  <c r="F33" i="21"/>
  <c r="AA33" i="21"/>
  <c r="R48" i="21"/>
  <c r="H33" i="21"/>
  <c r="AB33" i="21"/>
  <c r="T48" i="21"/>
  <c r="J33" i="21"/>
  <c r="AC33" i="21"/>
  <c r="V48" i="21"/>
  <c r="R49" i="21"/>
  <c r="C49" i="21"/>
  <c r="C50" i="21"/>
  <c r="M5" i="3"/>
  <c r="N5" i="3"/>
  <c r="F19" i="6"/>
  <c r="E19" i="6"/>
  <c r="K6" i="1"/>
  <c r="E45" i="77"/>
  <c r="AE26" i="77"/>
  <c r="AE25" i="77"/>
  <c r="AF26" i="77"/>
  <c r="AE27" i="77"/>
  <c r="C88" i="9"/>
  <c r="L83" i="9"/>
  <c r="E43" i="77"/>
  <c r="N7" i="1"/>
  <c r="I5" i="35"/>
  <c r="G5" i="35"/>
  <c r="C5" i="35"/>
  <c r="E4" i="31"/>
  <c r="F4" i="31"/>
  <c r="G4" i="31"/>
  <c r="H4" i="31"/>
  <c r="D4" i="31"/>
  <c r="D3" i="31"/>
  <c r="E3" i="31"/>
  <c r="F3" i="31"/>
  <c r="G3" i="31"/>
  <c r="H3" i="31"/>
  <c r="F120" i="21"/>
  <c r="E120" i="21"/>
  <c r="D120" i="21"/>
  <c r="E130" i="21"/>
  <c r="D130" i="21"/>
  <c r="C130" i="21"/>
  <c r="C15" i="31"/>
  <c r="C128" i="21"/>
  <c r="D103" i="21"/>
  <c r="E103" i="21"/>
  <c r="F103" i="21"/>
  <c r="G103" i="21"/>
  <c r="H103" i="21"/>
  <c r="I103" i="21"/>
  <c r="D104" i="21"/>
  <c r="E104" i="21"/>
  <c r="F104" i="21"/>
  <c r="G104" i="21"/>
  <c r="H104" i="21"/>
  <c r="I104" i="21"/>
  <c r="B25" i="31"/>
  <c r="B26" i="31"/>
  <c r="B27" i="31"/>
  <c r="B28" i="31"/>
  <c r="B29" i="31"/>
  <c r="B30" i="31"/>
  <c r="B31" i="31"/>
  <c r="B32" i="31"/>
  <c r="B33" i="31"/>
  <c r="B34" i="31"/>
  <c r="B35" i="31"/>
  <c r="B36" i="31"/>
  <c r="B38" i="31"/>
  <c r="B39" i="31"/>
  <c r="B40" i="31"/>
  <c r="B41" i="31"/>
  <c r="B42" i="31"/>
  <c r="B43" i="31"/>
  <c r="B44" i="31"/>
  <c r="B45" i="31"/>
  <c r="B46" i="31"/>
  <c r="B48" i="31"/>
  <c r="B49" i="31"/>
  <c r="B50" i="31"/>
  <c r="B51" i="31"/>
  <c r="B52" i="31"/>
  <c r="B24" i="31"/>
  <c r="C120" i="21"/>
  <c r="A25" i="31"/>
  <c r="A26" i="31"/>
  <c r="A27" i="31"/>
  <c r="A28" i="31"/>
  <c r="A29" i="31"/>
  <c r="A30" i="31"/>
  <c r="A31" i="31"/>
  <c r="A32" i="31"/>
  <c r="A33" i="31"/>
  <c r="A34" i="31"/>
  <c r="A35" i="31"/>
  <c r="A36" i="31"/>
  <c r="A38" i="31"/>
  <c r="A39" i="31"/>
  <c r="A40" i="31"/>
  <c r="A41" i="31"/>
  <c r="A42" i="31"/>
  <c r="A43" i="31"/>
  <c r="A44" i="31"/>
  <c r="A45" i="31"/>
  <c r="A46" i="31"/>
  <c r="A48" i="31"/>
  <c r="A49" i="31"/>
  <c r="A50" i="31"/>
  <c r="A51" i="31"/>
  <c r="A52" i="31"/>
  <c r="A24" i="31"/>
  <c r="E118" i="39"/>
  <c r="F118" i="39"/>
  <c r="G118" i="39"/>
  <c r="D118" i="39"/>
  <c r="C38" i="39"/>
  <c r="C41" i="21"/>
  <c r="I46" i="39"/>
  <c r="G46" i="39"/>
  <c r="E46" i="39"/>
  <c r="I5" i="39"/>
  <c r="G5" i="39"/>
  <c r="E5" i="39"/>
  <c r="L7" i="1"/>
  <c r="AO14" i="3"/>
  <c r="D117" i="39"/>
  <c r="E117" i="39"/>
  <c r="F117" i="39"/>
  <c r="G117" i="39"/>
  <c r="I38" i="39"/>
  <c r="G38" i="39"/>
  <c r="E38" i="39"/>
  <c r="D71" i="39"/>
  <c r="E71" i="39"/>
  <c r="F71" i="39"/>
  <c r="G71" i="39"/>
  <c r="H71" i="39"/>
  <c r="I71" i="39"/>
  <c r="J71" i="39"/>
  <c r="K71" i="39"/>
  <c r="L71" i="39"/>
  <c r="M71" i="39"/>
  <c r="I7" i="39"/>
  <c r="G7" i="39"/>
  <c r="E7" i="39"/>
  <c r="G20" i="6"/>
  <c r="F2" i="77"/>
  <c r="C36" i="79"/>
  <c r="E30" i="79"/>
  <c r="W72" i="77"/>
  <c r="W71" i="77"/>
  <c r="W65" i="77"/>
  <c r="W27" i="77"/>
  <c r="W66" i="77"/>
  <c r="W26" i="77"/>
  <c r="W24" i="77"/>
  <c r="W20" i="77"/>
  <c r="W17" i="77"/>
  <c r="W15" i="77"/>
  <c r="W14" i="77"/>
  <c r="W13" i="77"/>
  <c r="W12" i="77"/>
  <c r="W11" i="77"/>
  <c r="Z9" i="77"/>
  <c r="Y9" i="77"/>
  <c r="X9" i="77"/>
  <c r="V9" i="77"/>
  <c r="U9" i="77"/>
  <c r="T9" i="77"/>
  <c r="R9" i="77"/>
  <c r="Q9" i="77"/>
  <c r="O9" i="77"/>
  <c r="N9" i="77"/>
  <c r="W16" i="77"/>
  <c r="P9" i="77"/>
  <c r="S9" i="77"/>
  <c r="W10" i="77"/>
  <c r="W9" i="77"/>
  <c r="W67" i="77"/>
  <c r="E2" i="77"/>
  <c r="C11" i="39"/>
  <c r="C11" i="21"/>
  <c r="W68" i="77"/>
  <c r="M9" i="77"/>
  <c r="W70" i="77"/>
  <c r="W69" i="77"/>
  <c r="AH5" i="71"/>
  <c r="AG5" i="71"/>
  <c r="AE5" i="71"/>
  <c r="AF5" i="71"/>
  <c r="AD5" i="71"/>
  <c r="Q5" i="71"/>
  <c r="P5" i="71"/>
  <c r="O5" i="71"/>
  <c r="N5" i="71"/>
  <c r="AH6" i="71"/>
  <c r="AG6" i="71"/>
  <c r="AE6" i="71"/>
  <c r="AF6" i="71"/>
  <c r="AD6" i="71"/>
  <c r="Q6" i="71"/>
  <c r="P6" i="71"/>
  <c r="O6" i="71"/>
  <c r="N6" i="71"/>
  <c r="H16" i="49"/>
  <c r="D16" i="49"/>
  <c r="D15" i="49"/>
  <c r="B2" i="49"/>
  <c r="F15" i="49" s="1"/>
  <c r="H15"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c r="K47" i="39"/>
  <c r="K36" i="36"/>
  <c r="E59" i="9"/>
  <c r="K38" i="35"/>
  <c r="K42" i="37"/>
  <c r="K49" i="34"/>
  <c r="K48" i="33"/>
  <c r="K48" i="21"/>
  <c r="H104" i="9"/>
  <c r="F59" i="9"/>
  <c r="AH7" i="71"/>
  <c r="AG7" i="71"/>
  <c r="AE7" i="71"/>
  <c r="AF7" i="71"/>
  <c r="AD7" i="71"/>
  <c r="Q7" i="71"/>
  <c r="P7" i="71"/>
  <c r="O7" i="71"/>
  <c r="N7" i="71"/>
  <c r="AH8" i="71"/>
  <c r="AG8" i="71"/>
  <c r="AE8" i="71"/>
  <c r="AF8" i="71"/>
  <c r="AD8" i="71"/>
  <c r="Q8" i="71"/>
  <c r="P8" i="71"/>
  <c r="O8" i="71"/>
  <c r="N8" i="71"/>
  <c r="Q10" i="71"/>
  <c r="P10" i="71"/>
  <c r="O10" i="71"/>
  <c r="N10" i="71"/>
  <c r="AH9" i="71"/>
  <c r="AG9" i="71"/>
  <c r="AE9" i="71"/>
  <c r="AF9" i="7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c r="AD16" i="71"/>
  <c r="AD17" i="71"/>
  <c r="AG17" i="71"/>
  <c r="AH17" i="71"/>
  <c r="AE17" i="71"/>
  <c r="AF17" i="71"/>
  <c r="N17" i="71"/>
  <c r="B17" i="71"/>
  <c r="B16" i="71"/>
  <c r="B15" i="71"/>
  <c r="B14" i="71"/>
  <c r="B13" i="71"/>
  <c r="B12" i="71"/>
  <c r="B11" i="71"/>
  <c r="B10" i="71"/>
  <c r="Q17" i="71"/>
  <c r="P17" i="71"/>
  <c r="O17" i="71"/>
  <c r="C17" i="71"/>
  <c r="C16" i="71"/>
  <c r="Q18" i="71"/>
  <c r="F17" i="71"/>
  <c r="F16" i="71"/>
  <c r="F15" i="71"/>
  <c r="P18" i="71"/>
  <c r="O18" i="71"/>
  <c r="N18" i="71"/>
  <c r="A2" i="53"/>
  <c r="K59" i="67"/>
  <c r="P74" i="67"/>
  <c r="P61" i="67"/>
  <c r="K59" i="15"/>
  <c r="P74" i="15"/>
  <c r="D116" i="39"/>
  <c r="E116" i="39"/>
  <c r="F116" i="39"/>
  <c r="G116" i="39"/>
  <c r="H116" i="39"/>
  <c r="I116" i="39"/>
  <c r="J116" i="39"/>
  <c r="K116" i="39"/>
  <c r="L116" i="39"/>
  <c r="M116" i="39"/>
  <c r="C116" i="39"/>
  <c r="A21" i="62"/>
  <c r="B67" i="72"/>
  <c r="A20" i="62"/>
  <c r="A22" i="51"/>
  <c r="B17" i="72"/>
  <c r="A21" i="51"/>
  <c r="A20" i="51"/>
  <c r="B15" i="72"/>
  <c r="A14" i="62"/>
  <c r="B60" i="72"/>
  <c r="A13" i="62"/>
  <c r="B59" i="72"/>
  <c r="A19" i="62"/>
  <c r="B65" i="72"/>
  <c r="A12" i="62"/>
  <c r="B58" i="72"/>
  <c r="A120" i="9"/>
  <c r="H2" i="52"/>
  <c r="A1" i="52"/>
  <c r="A3" i="53"/>
  <c r="Q19" i="71"/>
  <c r="P19" i="71"/>
  <c r="O19" i="71"/>
  <c r="N19" i="71"/>
  <c r="A15" i="51"/>
  <c r="B12" i="72"/>
  <c r="C76" i="9"/>
  <c r="I107" i="40"/>
  <c r="K6" i="4"/>
  <c r="B22" i="31"/>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E9" i="43"/>
  <c r="AE12" i="43"/>
  <c r="AD9" i="43"/>
  <c r="AC9" i="43"/>
  <c r="AC12" i="43"/>
  <c r="AB9" i="43"/>
  <c r="AB12" i="43"/>
  <c r="AA9" i="43"/>
  <c r="AA12" i="43"/>
  <c r="Z9" i="43"/>
  <c r="Z12" i="43"/>
  <c r="AA10" i="43"/>
  <c r="AC10" i="43"/>
  <c r="AE10" i="43"/>
  <c r="AG10" i="43"/>
  <c r="AI10" i="43"/>
  <c r="Z10" i="43"/>
  <c r="AH10" i="43"/>
  <c r="AJ10" i="43"/>
  <c r="K49" i="9"/>
  <c r="E107" i="9"/>
  <c r="A122" i="9"/>
  <c r="A8" i="52"/>
  <c r="B54" i="72"/>
  <c r="E111" i="9"/>
  <c r="A126" i="9"/>
  <c r="A12" i="52"/>
  <c r="B56" i="72"/>
  <c r="E109" i="9"/>
  <c r="A124" i="9"/>
  <c r="A10" i="52"/>
  <c r="B55" i="72"/>
  <c r="B44" i="72"/>
  <c r="B42" i="72"/>
  <c r="B69" i="72"/>
  <c r="B68" i="72"/>
  <c r="B63" i="72"/>
  <c r="B62" i="72"/>
  <c r="B16" i="72"/>
  <c r="B66" i="72"/>
  <c r="B10" i="72"/>
  <c r="C53" i="10"/>
  <c r="B51" i="10"/>
  <c r="B19" i="72"/>
  <c r="A18" i="51"/>
  <c r="B13" i="72"/>
  <c r="B49" i="48"/>
  <c r="B5" i="72"/>
  <c r="I19" i="43"/>
  <c r="D82" i="71"/>
  <c r="F81" i="71"/>
  <c r="E81" i="71"/>
  <c r="E80" i="71"/>
  <c r="E79" i="71"/>
  <c r="C81" i="71"/>
  <c r="D81" i="71"/>
  <c r="B81" i="71"/>
  <c r="B80" i="71"/>
  <c r="F80" i="71"/>
  <c r="F79" i="71"/>
  <c r="B79" i="71"/>
  <c r="D78" i="71"/>
  <c r="F77" i="71"/>
  <c r="F76" i="71"/>
  <c r="F75" i="71"/>
  <c r="E77" i="71"/>
  <c r="E76" i="71"/>
  <c r="E75" i="71"/>
  <c r="C77" i="71"/>
  <c r="D77" i="71"/>
  <c r="B77"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B64" i="71"/>
  <c r="B63" i="71"/>
  <c r="Q63" i="71"/>
  <c r="P63" i="71"/>
  <c r="O63" i="71"/>
  <c r="N63" i="71"/>
  <c r="Q62" i="71"/>
  <c r="P62" i="71"/>
  <c r="O62" i="71"/>
  <c r="N62" i="71"/>
  <c r="D62" i="71"/>
  <c r="F61" i="71"/>
  <c r="V61" i="71"/>
  <c r="E61" i="71"/>
  <c r="P61" i="71"/>
  <c r="C61" i="71"/>
  <c r="B61" i="71"/>
  <c r="F60" i="71"/>
  <c r="F59"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40" i="71"/>
  <c r="F41" i="71"/>
  <c r="V41" i="71"/>
  <c r="Q38" i="71"/>
  <c r="F39"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AB32" i="71"/>
  <c r="P32" i="71"/>
  <c r="AA32" i="71"/>
  <c r="O32" i="71"/>
  <c r="Y32" i="71"/>
  <c r="Z32" i="71"/>
  <c r="N32" i="71"/>
  <c r="X32" i="71"/>
  <c r="Q31" i="71"/>
  <c r="AB31" i="71"/>
  <c r="P31" i="71"/>
  <c r="AA31" i="71"/>
  <c r="O31" i="71"/>
  <c r="Y31" i="71"/>
  <c r="Z31" i="71"/>
  <c r="N31" i="71"/>
  <c r="Q30" i="71"/>
  <c r="F31" i="71"/>
  <c r="P30" i="71"/>
  <c r="O30" i="71"/>
  <c r="Y30" i="71"/>
  <c r="N30" i="71"/>
  <c r="D30" i="71"/>
  <c r="Q29" i="71"/>
  <c r="AB29" i="71"/>
  <c r="P29" i="71"/>
  <c r="O29" i="71"/>
  <c r="N29" i="71"/>
  <c r="Q28" i="71"/>
  <c r="P28" i="71"/>
  <c r="AA28" i="71"/>
  <c r="O28" i="71"/>
  <c r="N28" i="71"/>
  <c r="Q27" i="71"/>
  <c r="AB27" i="71"/>
  <c r="P27" i="71"/>
  <c r="O27" i="71"/>
  <c r="N27" i="71"/>
  <c r="X27" i="71"/>
  <c r="Q26" i="71"/>
  <c r="AB26" i="71"/>
  <c r="P26" i="71"/>
  <c r="O26" i="71"/>
  <c r="N26" i="71"/>
  <c r="D26" i="71"/>
  <c r="Q25" i="71"/>
  <c r="P25" i="71"/>
  <c r="O25" i="71"/>
  <c r="Y23" i="71"/>
  <c r="Z23" i="71"/>
  <c r="Y25" i="71"/>
  <c r="Z25" i="71"/>
  <c r="N25" i="71"/>
  <c r="Q24" i="71"/>
  <c r="P24" i="71"/>
  <c r="O24" i="71"/>
  <c r="Y24" i="71"/>
  <c r="Z24" i="71"/>
  <c r="N24" i="71"/>
  <c r="Q23" i="71"/>
  <c r="AB23" i="71"/>
  <c r="P23" i="71"/>
  <c r="O23" i="71"/>
  <c r="N23" i="71"/>
  <c r="X22" i="71"/>
  <c r="F24" i="71"/>
  <c r="F25" i="71"/>
  <c r="V25" i="71"/>
  <c r="Q22" i="71"/>
  <c r="F23" i="71"/>
  <c r="P22" i="71"/>
  <c r="O22" i="71"/>
  <c r="N22" i="71"/>
  <c r="D22" i="71"/>
  <c r="O21" i="71"/>
  <c r="N21" i="71"/>
  <c r="B23" i="71"/>
  <c r="B27" i="71"/>
  <c r="B28" i="71"/>
  <c r="B29" i="71"/>
  <c r="S29" i="71"/>
  <c r="X26" i="71"/>
  <c r="B31" i="71"/>
  <c r="B32" i="71"/>
  <c r="B33" i="71"/>
  <c r="S33" i="71"/>
  <c r="X30" i="71"/>
  <c r="E31" i="71"/>
  <c r="E32" i="71"/>
  <c r="E33" i="71"/>
  <c r="U33" i="71"/>
  <c r="AA30" i="71"/>
  <c r="E27" i="71"/>
  <c r="E28" i="71"/>
  <c r="E29" i="71"/>
  <c r="U29" i="71"/>
  <c r="AA26" i="71"/>
  <c r="C23" i="71"/>
  <c r="X23" i="71"/>
  <c r="AA25" i="71"/>
  <c r="C27" i="71"/>
  <c r="C28" i="71"/>
  <c r="Y26" i="71"/>
  <c r="Z26" i="71"/>
  <c r="X28" i="71"/>
  <c r="X29" i="71"/>
  <c r="AA29" i="71"/>
  <c r="C31" i="71"/>
  <c r="Z30" i="71"/>
  <c r="AB30" i="71"/>
  <c r="X31" i="71"/>
  <c r="F44" i="71"/>
  <c r="F45" i="71"/>
  <c r="V45" i="71"/>
  <c r="Y20" i="71"/>
  <c r="Z20" i="71"/>
  <c r="B21" i="71"/>
  <c r="S21" i="71"/>
  <c r="B20" i="71"/>
  <c r="B19" i="71"/>
  <c r="X19" i="71"/>
  <c r="X20" i="71"/>
  <c r="X21" i="71"/>
  <c r="C24" i="71"/>
  <c r="D23" i="71"/>
  <c r="D27" i="71"/>
  <c r="C32" i="71"/>
  <c r="D31" i="71"/>
  <c r="C36" i="71"/>
  <c r="D35" i="71"/>
  <c r="C40" i="71"/>
  <c r="D40" i="71"/>
  <c r="D39" i="71"/>
  <c r="C44" i="71"/>
  <c r="D43" i="71"/>
  <c r="P21" i="71"/>
  <c r="E56" i="71"/>
  <c r="E57" i="71"/>
  <c r="U57" i="71"/>
  <c r="U61" i="71"/>
  <c r="E60" i="71"/>
  <c r="Q21" i="71"/>
  <c r="AB21" i="71"/>
  <c r="C48" i="71"/>
  <c r="D47" i="71"/>
  <c r="C52" i="71"/>
  <c r="D51" i="71"/>
  <c r="Q60" i="71"/>
  <c r="T61" i="71"/>
  <c r="O61" i="71"/>
  <c r="D61" i="71"/>
  <c r="C60" i="71"/>
  <c r="O60" i="71"/>
  <c r="Q61" i="71"/>
  <c r="C64" i="71"/>
  <c r="E64" i="71"/>
  <c r="E63" i="71"/>
  <c r="D65" i="71"/>
  <c r="C68" i="71"/>
  <c r="E68" i="71"/>
  <c r="E67" i="71"/>
  <c r="D69" i="71"/>
  <c r="C72" i="71"/>
  <c r="E72" i="71"/>
  <c r="E71" i="71"/>
  <c r="D73" i="71"/>
  <c r="C76" i="71"/>
  <c r="C80" i="71"/>
  <c r="C79" i="71"/>
  <c r="D79" i="71"/>
  <c r="F21" i="71"/>
  <c r="F20" i="71"/>
  <c r="F19" i="71"/>
  <c r="AB19" i="71"/>
  <c r="AB20" i="71"/>
  <c r="E21" i="71"/>
  <c r="E20" i="71"/>
  <c r="E19" i="71"/>
  <c r="AA3" i="71"/>
  <c r="AA18" i="71"/>
  <c r="AA19" i="71"/>
  <c r="AA20" i="71"/>
  <c r="AA21" i="71"/>
  <c r="C59" i="71"/>
  <c r="O58" i="71"/>
  <c r="D76" i="71"/>
  <c r="C75" i="71"/>
  <c r="D75" i="71"/>
  <c r="D68" i="71"/>
  <c r="C67" i="71"/>
  <c r="D67" i="71"/>
  <c r="D80" i="71"/>
  <c r="D72" i="71"/>
  <c r="C71" i="71"/>
  <c r="D71" i="71"/>
  <c r="D64" i="71"/>
  <c r="C63" i="71"/>
  <c r="D63" i="71"/>
  <c r="C53" i="71"/>
  <c r="D52" i="71"/>
  <c r="C49" i="71"/>
  <c r="D49" i="71"/>
  <c r="D48" i="71"/>
  <c r="P60" i="71"/>
  <c r="E59" i="71"/>
  <c r="P58" i="71"/>
  <c r="C45" i="71"/>
  <c r="T45" i="71"/>
  <c r="D44" i="71"/>
  <c r="C37" i="71"/>
  <c r="D36" i="71"/>
  <c r="C33" i="71"/>
  <c r="T33" i="71"/>
  <c r="D32" i="71"/>
  <c r="C29" i="71"/>
  <c r="D28" i="71"/>
  <c r="C25" i="71"/>
  <c r="T25" i="71"/>
  <c r="D24" i="71"/>
  <c r="V21" i="71"/>
  <c r="P59" i="71"/>
  <c r="O59" i="71"/>
  <c r="D59" i="71"/>
  <c r="D25" i="71"/>
  <c r="T29" i="71"/>
  <c r="D29" i="71"/>
  <c r="D33" i="71"/>
  <c r="T37" i="71"/>
  <c r="D37" i="71"/>
  <c r="D45" i="71"/>
  <c r="T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F29" i="39"/>
  <c r="AA29" i="39"/>
  <c r="Q18" i="36"/>
  <c r="Z18" i="36"/>
  <c r="D66" i="36"/>
  <c r="E66" i="36"/>
  <c r="F66" i="36"/>
  <c r="G66" i="36"/>
  <c r="H18" i="36"/>
  <c r="AB18" i="36"/>
  <c r="F18" i="36"/>
  <c r="AA18" i="36"/>
  <c r="C18" i="36"/>
  <c r="Z18" i="35"/>
  <c r="Q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C21" i="21"/>
  <c r="Q21" i="21"/>
  <c r="Z21" i="21"/>
  <c r="D83" i="21"/>
  <c r="F21" i="21"/>
  <c r="AA21" i="21"/>
  <c r="D81" i="21"/>
  <c r="H19" i="21"/>
  <c r="G20" i="20"/>
  <c r="B86" i="43"/>
  <c r="C22" i="20"/>
  <c r="B75" i="43"/>
  <c r="B55" i="43"/>
  <c r="B66" i="43"/>
  <c r="S25" i="40"/>
  <c r="S18" i="36"/>
  <c r="S21" i="34"/>
  <c r="F94" i="40"/>
  <c r="G94" i="40"/>
  <c r="H25" i="40"/>
  <c r="J25" i="40"/>
  <c r="H29" i="39"/>
  <c r="AB29" i="39"/>
  <c r="J29" i="39"/>
  <c r="AC29" i="39"/>
  <c r="J18" i="36"/>
  <c r="AC18" i="36"/>
  <c r="H18" i="35"/>
  <c r="AB18" i="35"/>
  <c r="J18" i="35"/>
  <c r="AC18" i="35"/>
  <c r="H21" i="37"/>
  <c r="U21" i="37"/>
  <c r="F21" i="37"/>
  <c r="H21" i="34"/>
  <c r="H21" i="33"/>
  <c r="U21" i="33"/>
  <c r="F21" i="33"/>
  <c r="E83" i="21"/>
  <c r="F83" i="21"/>
  <c r="G83" i="21"/>
  <c r="H1" i="69"/>
  <c r="AC25" i="40"/>
  <c r="W25" i="40"/>
  <c r="AB25" i="40"/>
  <c r="U25" i="40"/>
  <c r="AB21" i="37"/>
  <c r="AA21" i="37"/>
  <c r="S21" i="37"/>
  <c r="AB21" i="34"/>
  <c r="U21" i="34"/>
  <c r="AA21" i="33"/>
  <c r="S21" i="33"/>
  <c r="U18" i="35"/>
  <c r="W18" i="35"/>
  <c r="J21" i="37"/>
  <c r="J21" i="34"/>
  <c r="AC21" i="34"/>
  <c r="J21" i="33"/>
  <c r="AC21" i="33"/>
  <c r="H21" i="21"/>
  <c r="U21" i="21"/>
  <c r="F38" i="69"/>
  <c r="E37" i="69"/>
  <c r="F36" i="69"/>
  <c r="F35" i="69"/>
  <c r="F21" i="69"/>
  <c r="F40" i="69"/>
  <c r="F20" i="69"/>
  <c r="F39" i="69"/>
  <c r="E10" i="69"/>
  <c r="E9" i="69"/>
  <c r="C7" i="69"/>
  <c r="AC21" i="37"/>
  <c r="W21" i="37"/>
  <c r="W21" i="34"/>
  <c r="W21" i="33"/>
  <c r="AB21" i="21"/>
  <c r="J21" i="21"/>
  <c r="W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I23" i="66"/>
  <c r="D20" i="66"/>
  <c r="I19" i="66"/>
  <c r="I18" i="66"/>
  <c r="I17" i="66"/>
  <c r="I20" i="66"/>
  <c r="E15" i="66"/>
  <c r="I14" i="66"/>
  <c r="I13" i="66"/>
  <c r="I12" i="66"/>
  <c r="I15" i="66"/>
  <c r="I9" i="66"/>
  <c r="I8" i="66"/>
  <c r="I7" i="66"/>
  <c r="I6" i="66"/>
  <c r="I5" i="66"/>
  <c r="I4" i="66"/>
  <c r="I3" i="66"/>
  <c r="D1" i="43"/>
  <c r="F113" i="43"/>
  <c r="N99" i="43"/>
  <c r="N108" i="43"/>
  <c r="D99" i="43"/>
  <c r="D108" i="43"/>
  <c r="E99" i="43"/>
  <c r="E100" i="43"/>
  <c r="E108" i="43"/>
  <c r="F99" i="43"/>
  <c r="F108" i="43"/>
  <c r="G99" i="43"/>
  <c r="G108" i="43"/>
  <c r="H99" i="43"/>
  <c r="H108" i="43"/>
  <c r="I99" i="43"/>
  <c r="I108" i="43"/>
  <c r="J99" i="43"/>
  <c r="J108" i="43"/>
  <c r="K99" i="43"/>
  <c r="K100" i="43"/>
  <c r="K108" i="43"/>
  <c r="L99" i="43"/>
  <c r="L108" i="43"/>
  <c r="M99" i="43"/>
  <c r="M100" i="43"/>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E59" i="43"/>
  <c r="B57"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G12" i="1"/>
  <c r="F13" i="1"/>
  <c r="D6" i="1"/>
  <c r="D9" i="1"/>
  <c r="D10" i="1"/>
  <c r="D11" i="1"/>
  <c r="D12" i="1"/>
  <c r="D13" i="1"/>
  <c r="D7" i="1"/>
  <c r="D8" i="1"/>
  <c r="A7" i="1"/>
  <c r="B7" i="1"/>
  <c r="E7" i="1"/>
  <c r="A8" i="1"/>
  <c r="B8" i="1"/>
  <c r="E8" i="1"/>
  <c r="A9" i="1"/>
  <c r="A10" i="1"/>
  <c r="K10" i="1"/>
  <c r="M10" i="1" s="1"/>
  <c r="A11" i="1"/>
  <c r="A12" i="1"/>
  <c r="A13" i="1"/>
  <c r="B13" i="1"/>
  <c r="E13" i="1"/>
  <c r="A6" i="1"/>
  <c r="F3" i="35"/>
  <c r="B11" i="1"/>
  <c r="E11" i="1"/>
  <c r="K13" i="1"/>
  <c r="M13" i="1"/>
  <c r="O13" i="1" s="1"/>
  <c r="P13" i="1" s="1"/>
  <c r="G79" i="36"/>
  <c r="G85" i="35"/>
  <c r="G97" i="37"/>
  <c r="G110" i="34"/>
  <c r="G111" i="21"/>
  <c r="G109" i="33"/>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L110" i="3"/>
  <c r="BN110" i="3"/>
  <c r="BM110" i="3"/>
  <c r="BK110" i="3"/>
  <c r="BJ110" i="3"/>
  <c r="BI110" i="3"/>
  <c r="BH110" i="3"/>
  <c r="BG110" i="3"/>
  <c r="BF110" i="3"/>
  <c r="BE110" i="3"/>
  <c r="BD110" i="3"/>
  <c r="BC110" i="3"/>
  <c r="BA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L108" i="3"/>
  <c r="BN108" i="3"/>
  <c r="BM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c r="BC106" i="3"/>
  <c r="BB106" i="3"/>
  <c r="AZ106" i="3"/>
  <c r="AX106" i="3"/>
  <c r="AW106" i="3"/>
  <c r="AV106" i="3"/>
  <c r="AC106" i="3"/>
  <c r="H106" i="3"/>
  <c r="BT105" i="3"/>
  <c r="BS105" i="3"/>
  <c r="BR105" i="3"/>
  <c r="BQ105" i="3"/>
  <c r="BP105" i="3"/>
  <c r="BO105" i="3"/>
  <c r="BL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c r="AZ103" i="3"/>
  <c r="BC103" i="3"/>
  <c r="BB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L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G97" i="3"/>
  <c r="BT96" i="3"/>
  <c r="BS96" i="3"/>
  <c r="BR96" i="3"/>
  <c r="BQ96" i="3"/>
  <c r="BP96" i="3"/>
  <c r="BO96" i="3"/>
  <c r="BN96" i="3"/>
  <c r="BL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c r="BC94" i="3"/>
  <c r="BB94" i="3"/>
  <c r="AX94" i="3"/>
  <c r="AW94" i="3"/>
  <c r="AV94" i="3"/>
  <c r="AC94" i="3"/>
  <c r="H94" i="3"/>
  <c r="G94" i="3"/>
  <c r="BT93" i="3"/>
  <c r="BS93" i="3"/>
  <c r="BR93" i="3"/>
  <c r="BQ93" i="3"/>
  <c r="BP93" i="3"/>
  <c r="BO93" i="3"/>
  <c r="BN93" i="3"/>
  <c r="BL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BC92" i="3"/>
  <c r="BB92" i="3"/>
  <c r="AZ92" i="3"/>
  <c r="AX92" i="3"/>
  <c r="AW92" i="3"/>
  <c r="AV92" i="3"/>
  <c r="AC92" i="3"/>
  <c r="G92" i="3"/>
  <c r="H92" i="3"/>
  <c r="BT91" i="3"/>
  <c r="BS91" i="3"/>
  <c r="BR91" i="3"/>
  <c r="BQ91" i="3"/>
  <c r="BP91" i="3"/>
  <c r="BO91" i="3"/>
  <c r="BL91" i="3"/>
  <c r="BN91" i="3"/>
  <c r="BM91" i="3"/>
  <c r="BK91" i="3"/>
  <c r="BJ91" i="3"/>
  <c r="BI91" i="3"/>
  <c r="BH91" i="3"/>
  <c r="BG91" i="3"/>
  <c r="BF91" i="3"/>
  <c r="BE91" i="3"/>
  <c r="BD91" i="3"/>
  <c r="BC91" i="3"/>
  <c r="BA91" i="3"/>
  <c r="BB91" i="3"/>
  <c r="AX91" i="3"/>
  <c r="AW91" i="3"/>
  <c r="AV91" i="3"/>
  <c r="AC91" i="3"/>
  <c r="H91" i="3"/>
  <c r="G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G89" i="3"/>
  <c r="H89" i="3"/>
  <c r="BT88" i="3"/>
  <c r="BS88" i="3"/>
  <c r="BR88" i="3"/>
  <c r="BQ88" i="3"/>
  <c r="BP88" i="3"/>
  <c r="BO88" i="3"/>
  <c r="BL88" i="3"/>
  <c r="BN88" i="3"/>
  <c r="BM88" i="3"/>
  <c r="BK88" i="3"/>
  <c r="BJ88" i="3"/>
  <c r="BI88" i="3"/>
  <c r="BH88" i="3"/>
  <c r="BG88" i="3"/>
  <c r="BF88" i="3"/>
  <c r="BE88" i="3"/>
  <c r="BD88" i="3"/>
  <c r="BC88" i="3"/>
  <c r="BA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L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G80" i="3"/>
  <c r="H80" i="3"/>
  <c r="BT79" i="3"/>
  <c r="BS79" i="3"/>
  <c r="BR79" i="3"/>
  <c r="BQ79" i="3"/>
  <c r="BP79" i="3"/>
  <c r="BO79" i="3"/>
  <c r="BL79" i="3"/>
  <c r="BN79" i="3"/>
  <c r="BM79" i="3"/>
  <c r="BK79" i="3"/>
  <c r="BJ79" i="3"/>
  <c r="BI79" i="3"/>
  <c r="BH79" i="3"/>
  <c r="BG79" i="3"/>
  <c r="BF79" i="3"/>
  <c r="BE79" i="3"/>
  <c r="BD79" i="3"/>
  <c r="BC79" i="3"/>
  <c r="BA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L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G75" i="3"/>
  <c r="H75" i="3"/>
  <c r="BT74" i="3"/>
  <c r="BS74" i="3"/>
  <c r="BR74" i="3"/>
  <c r="BQ74" i="3"/>
  <c r="BP74" i="3"/>
  <c r="BO74" i="3"/>
  <c r="BL74" i="3"/>
  <c r="BN74" i="3"/>
  <c r="BM74" i="3"/>
  <c r="BK74" i="3"/>
  <c r="BJ74" i="3"/>
  <c r="BI74" i="3"/>
  <c r="BH74" i="3"/>
  <c r="BG74" i="3"/>
  <c r="BF74" i="3"/>
  <c r="BE74" i="3"/>
  <c r="BD74" i="3"/>
  <c r="BC74" i="3"/>
  <c r="BA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c r="BC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G70" i="3"/>
  <c r="H70" i="3"/>
  <c r="BT69" i="3"/>
  <c r="BS69" i="3"/>
  <c r="BR69" i="3"/>
  <c r="BQ69" i="3"/>
  <c r="BP69" i="3"/>
  <c r="BO69" i="3"/>
  <c r="BL69" i="3"/>
  <c r="BN69" i="3"/>
  <c r="BM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L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G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G62" i="3"/>
  <c r="H62" i="3"/>
  <c r="BT61" i="3"/>
  <c r="BS61" i="3"/>
  <c r="BR61" i="3"/>
  <c r="BQ61" i="3"/>
  <c r="BP61" i="3"/>
  <c r="BO61" i="3"/>
  <c r="BL61" i="3"/>
  <c r="BN61" i="3"/>
  <c r="BM61" i="3"/>
  <c r="BK61" i="3"/>
  <c r="BJ61" i="3"/>
  <c r="BI61" i="3"/>
  <c r="BH61" i="3"/>
  <c r="BG61" i="3"/>
  <c r="BF61" i="3"/>
  <c r="BE61" i="3"/>
  <c r="BD61" i="3"/>
  <c r="BC61" i="3"/>
  <c r="BA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L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G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L40" i="3"/>
  <c r="BM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G39" i="3"/>
  <c r="H39" i="3"/>
  <c r="BT38" i="3"/>
  <c r="BS38" i="3"/>
  <c r="BR38" i="3"/>
  <c r="BQ38" i="3"/>
  <c r="BP38" i="3"/>
  <c r="BO38" i="3"/>
  <c r="BN38" i="3"/>
  <c r="BM38" i="3"/>
  <c r="BL38" i="3"/>
  <c r="BK38" i="3"/>
  <c r="BJ38" i="3"/>
  <c r="BI38" i="3"/>
  <c r="BH38" i="3"/>
  <c r="BG38" i="3"/>
  <c r="BF38" i="3"/>
  <c r="BE38" i="3"/>
  <c r="BD38" i="3"/>
  <c r="BC38" i="3"/>
  <c r="BA38" i="3"/>
  <c r="BB38" i="3"/>
  <c r="AX38" i="3"/>
  <c r="AW38" i="3"/>
  <c r="AV38" i="3"/>
  <c r="AC38" i="3"/>
  <c r="H38" i="3"/>
  <c r="G38" i="3"/>
  <c r="BT37" i="3"/>
  <c r="BS37" i="3"/>
  <c r="BR37" i="3"/>
  <c r="BQ37" i="3"/>
  <c r="BP37" i="3"/>
  <c r="BO37" i="3"/>
  <c r="BN37" i="3"/>
  <c r="BL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G36" i="3"/>
  <c r="H36" i="3"/>
  <c r="BT35" i="3"/>
  <c r="BS35" i="3"/>
  <c r="BR35" i="3"/>
  <c r="BQ35" i="3"/>
  <c r="BP35" i="3"/>
  <c r="BO35" i="3"/>
  <c r="BN35" i="3"/>
  <c r="BM35" i="3"/>
  <c r="BL35" i="3"/>
  <c r="BK35" i="3"/>
  <c r="BJ35" i="3"/>
  <c r="BI35" i="3"/>
  <c r="BH35" i="3"/>
  <c r="BG35" i="3"/>
  <c r="BF35" i="3"/>
  <c r="BE35" i="3"/>
  <c r="BD35" i="3"/>
  <c r="BC35" i="3"/>
  <c r="BA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L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L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G29" i="3"/>
  <c r="H29" i="3"/>
  <c r="BT28" i="3"/>
  <c r="BS28" i="3"/>
  <c r="BR28" i="3"/>
  <c r="BQ28" i="3"/>
  <c r="BP28" i="3"/>
  <c r="BO28" i="3"/>
  <c r="BN28" i="3"/>
  <c r="BM28" i="3"/>
  <c r="BL28" i="3"/>
  <c r="BK28" i="3"/>
  <c r="BJ28" i="3"/>
  <c r="BI28" i="3"/>
  <c r="BH28" i="3"/>
  <c r="BG28" i="3"/>
  <c r="BF28" i="3"/>
  <c r="BE28" i="3"/>
  <c r="BD28" i="3"/>
  <c r="BC28" i="3"/>
  <c r="BA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L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G24" i="3"/>
  <c r="H24" i="3"/>
  <c r="BT23" i="3"/>
  <c r="BS23" i="3"/>
  <c r="BR23" i="3"/>
  <c r="BQ23" i="3"/>
  <c r="BP23" i="3"/>
  <c r="BO23" i="3"/>
  <c r="BN23" i="3"/>
  <c r="BM23" i="3"/>
  <c r="BL23" i="3"/>
  <c r="BK23" i="3"/>
  <c r="BJ23" i="3"/>
  <c r="BI23" i="3"/>
  <c r="BH23" i="3"/>
  <c r="BG23" i="3"/>
  <c r="BF23" i="3"/>
  <c r="BE23" i="3"/>
  <c r="BD23" i="3"/>
  <c r="BC23" i="3"/>
  <c r="BA23" i="3"/>
  <c r="BB23" i="3"/>
  <c r="AX23" i="3"/>
  <c r="AW23" i="3"/>
  <c r="AV23" i="3"/>
  <c r="AC23" i="3"/>
  <c r="H23" i="3"/>
  <c r="G23" i="3"/>
  <c r="BT22" i="3"/>
  <c r="BS22" i="3"/>
  <c r="BR22" i="3"/>
  <c r="BQ22" i="3"/>
  <c r="BP22" i="3"/>
  <c r="BO22" i="3"/>
  <c r="BN22" i="3"/>
  <c r="BL22" i="3"/>
  <c r="BM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G21" i="3"/>
  <c r="H21" i="3"/>
  <c r="BT20" i="3"/>
  <c r="BS20" i="3"/>
  <c r="BR20" i="3"/>
  <c r="BQ20" i="3"/>
  <c r="BP20" i="3"/>
  <c r="BO20" i="3"/>
  <c r="BN20" i="3"/>
  <c r="BM20" i="3"/>
  <c r="BL20" i="3"/>
  <c r="BK20" i="3"/>
  <c r="BJ20" i="3"/>
  <c r="BI20" i="3"/>
  <c r="BH20" i="3"/>
  <c r="BG20" i="3"/>
  <c r="BF20" i="3"/>
  <c r="BE20" i="3"/>
  <c r="BD20" i="3"/>
  <c r="BC20" i="3"/>
  <c r="BA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G19" i="3"/>
  <c r="H19" i="3"/>
  <c r="BT18" i="3"/>
  <c r="BS18" i="3"/>
  <c r="BR18" i="3"/>
  <c r="BQ18" i="3"/>
  <c r="BP18" i="3"/>
  <c r="BO18" i="3"/>
  <c r="BN18" i="3"/>
  <c r="BM18" i="3"/>
  <c r="BL18" i="3"/>
  <c r="BK18" i="3"/>
  <c r="BJ18" i="3"/>
  <c r="BI18" i="3"/>
  <c r="BH18" i="3"/>
  <c r="BG18" i="3"/>
  <c r="BF18" i="3"/>
  <c r="BE18" i="3"/>
  <c r="BD18" i="3"/>
  <c r="BC18" i="3"/>
  <c r="BA18" i="3"/>
  <c r="BB18" i="3"/>
  <c r="AX18" i="3"/>
  <c r="AW18" i="3"/>
  <c r="AV18" i="3"/>
  <c r="AC18" i="3"/>
  <c r="H18" i="3"/>
  <c r="G18" i="3"/>
  <c r="BT207" i="3"/>
  <c r="BS207" i="3"/>
  <c r="BR207" i="3"/>
  <c r="BQ207" i="3"/>
  <c r="BP207" i="3"/>
  <c r="BO207" i="3"/>
  <c r="BN207" i="3"/>
  <c r="BL207" i="3"/>
  <c r="BM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A205" i="3"/>
  <c r="AZ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L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L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L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N194" i="3"/>
  <c r="BM194" i="3"/>
  <c r="BL194" i="3"/>
  <c r="BK194" i="3"/>
  <c r="BJ194" i="3"/>
  <c r="BI194" i="3"/>
  <c r="BH194" i="3"/>
  <c r="BG194" i="3"/>
  <c r="BF194" i="3"/>
  <c r="BE194" i="3"/>
  <c r="BD194" i="3"/>
  <c r="BC194" i="3"/>
  <c r="BA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A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L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K173" i="3"/>
  <c r="BJ173" i="3"/>
  <c r="BI173" i="3"/>
  <c r="BH173" i="3"/>
  <c r="BG173" i="3"/>
  <c r="BF173" i="3"/>
  <c r="BE173" i="3"/>
  <c r="BD173" i="3"/>
  <c r="BC173" i="3"/>
  <c r="BA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G166" i="3"/>
  <c r="H166" i="3"/>
  <c r="BT165" i="3"/>
  <c r="BS165" i="3"/>
  <c r="BR165" i="3"/>
  <c r="BQ165" i="3"/>
  <c r="BP165" i="3"/>
  <c r="BO165" i="3"/>
  <c r="BL165" i="3"/>
  <c r="BN165" i="3"/>
  <c r="BM165" i="3"/>
  <c r="BK165" i="3"/>
  <c r="BJ165" i="3"/>
  <c r="BI165" i="3"/>
  <c r="BH165" i="3"/>
  <c r="BG165" i="3"/>
  <c r="BF165" i="3"/>
  <c r="BE165" i="3"/>
  <c r="BD165" i="3"/>
  <c r="BC165" i="3"/>
  <c r="BA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L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c r="AZ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L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G154" i="3"/>
  <c r="H154" i="3"/>
  <c r="BT153" i="3"/>
  <c r="BS153" i="3"/>
  <c r="BR153" i="3"/>
  <c r="BQ153" i="3"/>
  <c r="BP153" i="3"/>
  <c r="BO153" i="3"/>
  <c r="BN153" i="3"/>
  <c r="BM153" i="3"/>
  <c r="BL153" i="3"/>
  <c r="BK153" i="3"/>
  <c r="BJ153" i="3"/>
  <c r="BI153" i="3"/>
  <c r="BH153" i="3"/>
  <c r="BG153" i="3"/>
  <c r="BF153" i="3"/>
  <c r="BE153" i="3"/>
  <c r="BD153" i="3"/>
  <c r="BC153" i="3"/>
  <c r="BA153" i="3"/>
  <c r="AZ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L151" i="3"/>
  <c r="BM151" i="3"/>
  <c r="BK151" i="3"/>
  <c r="BJ151" i="3"/>
  <c r="BI151" i="3"/>
  <c r="BH151" i="3"/>
  <c r="BG151" i="3"/>
  <c r="BF151" i="3"/>
  <c r="BE151" i="3"/>
  <c r="BD151" i="3"/>
  <c r="BC151" i="3"/>
  <c r="BB151" i="3"/>
  <c r="AX151" i="3"/>
  <c r="AW151" i="3"/>
  <c r="AV151" i="3"/>
  <c r="AC151" i="3"/>
  <c r="G151" i="3"/>
  <c r="H151" i="3"/>
  <c r="BT150" i="3"/>
  <c r="BS150" i="3"/>
  <c r="BR150" i="3"/>
  <c r="BQ150" i="3"/>
  <c r="BP150" i="3"/>
  <c r="BO150" i="3"/>
  <c r="BN150" i="3"/>
  <c r="BM150" i="3"/>
  <c r="BL150" i="3"/>
  <c r="BK150" i="3"/>
  <c r="BJ150" i="3"/>
  <c r="BI150" i="3"/>
  <c r="BH150" i="3"/>
  <c r="BG150" i="3"/>
  <c r="BF150" i="3"/>
  <c r="BE150" i="3"/>
  <c r="BD150" i="3"/>
  <c r="BC150" i="3"/>
  <c r="BA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L145" i="3"/>
  <c r="BM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L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L137" i="3"/>
  <c r="BM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L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L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A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L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c r="BN302" i="3"/>
  <c r="BM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G297" i="3"/>
  <c r="H297" i="3"/>
  <c r="BT296" i="3"/>
  <c r="BS296" i="3"/>
  <c r="BR296" i="3"/>
  <c r="BQ296" i="3"/>
  <c r="BP296" i="3"/>
  <c r="BO296" i="3"/>
  <c r="BL296" i="3"/>
  <c r="BN296" i="3"/>
  <c r="BM296" i="3"/>
  <c r="BK296" i="3"/>
  <c r="BJ296" i="3"/>
  <c r="BI296" i="3"/>
  <c r="BH296" i="3"/>
  <c r="BG296" i="3"/>
  <c r="BF296" i="3"/>
  <c r="BE296" i="3"/>
  <c r="BD296" i="3"/>
  <c r="BC296" i="3"/>
  <c r="BA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G295" i="3"/>
  <c r="H295" i="3"/>
  <c r="BT294" i="3"/>
  <c r="BS294" i="3"/>
  <c r="BR294" i="3"/>
  <c r="BQ294" i="3"/>
  <c r="BP294" i="3"/>
  <c r="BO294" i="3"/>
  <c r="BL294" i="3"/>
  <c r="BN294" i="3"/>
  <c r="BM294" i="3"/>
  <c r="BK294" i="3"/>
  <c r="BJ294" i="3"/>
  <c r="BI294" i="3"/>
  <c r="BH294" i="3"/>
  <c r="BG294" i="3"/>
  <c r="BF294" i="3"/>
  <c r="BE294" i="3"/>
  <c r="BD294" i="3"/>
  <c r="BC294" i="3"/>
  <c r="BA294" i="3"/>
  <c r="BB294" i="3"/>
  <c r="AX294" i="3"/>
  <c r="AW294" i="3"/>
  <c r="AV294" i="3"/>
  <c r="AC294" i="3"/>
  <c r="H294" i="3"/>
  <c r="G294" i="3"/>
  <c r="BT293" i="3"/>
  <c r="BS293" i="3"/>
  <c r="BR293" i="3"/>
  <c r="BQ293" i="3"/>
  <c r="BP293" i="3"/>
  <c r="BO293" i="3"/>
  <c r="BN293" i="3"/>
  <c r="BL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c r="BC291" i="3"/>
  <c r="BB291" i="3"/>
  <c r="AX291" i="3"/>
  <c r="AW291" i="3"/>
  <c r="AV291" i="3"/>
  <c r="AC291" i="3"/>
  <c r="H291" i="3"/>
  <c r="G291" i="3"/>
  <c r="BT290" i="3"/>
  <c r="BS290" i="3"/>
  <c r="BR290" i="3"/>
  <c r="BQ290" i="3"/>
  <c r="BP290" i="3"/>
  <c r="BO290" i="3"/>
  <c r="BN290" i="3"/>
  <c r="BL290" i="3"/>
  <c r="BM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L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L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L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L285" i="3"/>
  <c r="BM285" i="3"/>
  <c r="BK285" i="3"/>
  <c r="BJ285" i="3"/>
  <c r="BI285" i="3"/>
  <c r="BH285" i="3"/>
  <c r="BG285" i="3"/>
  <c r="BF285" i="3"/>
  <c r="BE285" i="3"/>
  <c r="BD285" i="3"/>
  <c r="BC285" i="3"/>
  <c r="BB285" i="3"/>
  <c r="BA285" i="3"/>
  <c r="AZ285" i="3"/>
  <c r="AX285" i="3"/>
  <c r="AW285" i="3"/>
  <c r="AV285" i="3"/>
  <c r="AC285" i="3"/>
  <c r="G285" i="3"/>
  <c r="H285" i="3"/>
  <c r="BT284" i="3"/>
  <c r="BS284" i="3"/>
  <c r="BR284" i="3"/>
  <c r="BQ284" i="3"/>
  <c r="BP284" i="3"/>
  <c r="BO284" i="3"/>
  <c r="BN284" i="3"/>
  <c r="BM284" i="3"/>
  <c r="BL284" i="3"/>
  <c r="BK284" i="3"/>
  <c r="BJ284" i="3"/>
  <c r="BI284" i="3"/>
  <c r="BH284" i="3"/>
  <c r="BG284" i="3"/>
  <c r="BF284" i="3"/>
  <c r="BE284" i="3"/>
  <c r="BD284" i="3"/>
  <c r="BC284" i="3"/>
  <c r="BA284" i="3"/>
  <c r="AZ284" i="3"/>
  <c r="BB284" i="3"/>
  <c r="AX284" i="3"/>
  <c r="AW284" i="3"/>
  <c r="AV284" i="3"/>
  <c r="AC284" i="3"/>
  <c r="H284" i="3"/>
  <c r="G284" i="3"/>
  <c r="BT283" i="3"/>
  <c r="BS283" i="3"/>
  <c r="BR283" i="3"/>
  <c r="BQ283" i="3"/>
  <c r="BP283" i="3"/>
  <c r="BO283" i="3"/>
  <c r="BN283" i="3"/>
  <c r="BL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G282" i="3"/>
  <c r="H282" i="3"/>
  <c r="BT281" i="3"/>
  <c r="BS281" i="3"/>
  <c r="BR281" i="3"/>
  <c r="BQ281" i="3"/>
  <c r="BP281" i="3"/>
  <c r="BO281" i="3"/>
  <c r="BN281" i="3"/>
  <c r="BM281" i="3"/>
  <c r="BL281" i="3"/>
  <c r="BK281" i="3"/>
  <c r="BJ281" i="3"/>
  <c r="BI281" i="3"/>
  <c r="BH281" i="3"/>
  <c r="BG281" i="3"/>
  <c r="BF281" i="3"/>
  <c r="BE281" i="3"/>
  <c r="BD281" i="3"/>
  <c r="BC281" i="3"/>
  <c r="BA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G280" i="3"/>
  <c r="H280" i="3"/>
  <c r="BT279" i="3"/>
  <c r="BS279" i="3"/>
  <c r="BR279" i="3"/>
  <c r="BQ279" i="3"/>
  <c r="BP279" i="3"/>
  <c r="BO279" i="3"/>
  <c r="BN279" i="3"/>
  <c r="BM279" i="3"/>
  <c r="BL279" i="3"/>
  <c r="BK279" i="3"/>
  <c r="BJ279" i="3"/>
  <c r="BI279" i="3"/>
  <c r="BH279" i="3"/>
  <c r="BG279" i="3"/>
  <c r="BF279" i="3"/>
  <c r="BE279" i="3"/>
  <c r="BD279" i="3"/>
  <c r="BC279" i="3"/>
  <c r="BA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L277" i="3"/>
  <c r="BM277" i="3"/>
  <c r="BK277" i="3"/>
  <c r="BJ277" i="3"/>
  <c r="BI277" i="3"/>
  <c r="BH277" i="3"/>
  <c r="BG277" i="3"/>
  <c r="BF277" i="3"/>
  <c r="BE277" i="3"/>
  <c r="BD277" i="3"/>
  <c r="BC277" i="3"/>
  <c r="BB277" i="3"/>
  <c r="BA277" i="3"/>
  <c r="AX277" i="3"/>
  <c r="AW277" i="3"/>
  <c r="AV277" i="3"/>
  <c r="AC277" i="3"/>
  <c r="G277" i="3"/>
  <c r="H277" i="3"/>
  <c r="BT276" i="3"/>
  <c r="BS276" i="3"/>
  <c r="BR276" i="3"/>
  <c r="BQ276" i="3"/>
  <c r="BP276" i="3"/>
  <c r="BO276" i="3"/>
  <c r="BN276" i="3"/>
  <c r="BM276" i="3"/>
  <c r="BL276" i="3"/>
  <c r="BK276" i="3"/>
  <c r="BJ276" i="3"/>
  <c r="BI276" i="3"/>
  <c r="BH276" i="3"/>
  <c r="BG276" i="3"/>
  <c r="BF276" i="3"/>
  <c r="BE276" i="3"/>
  <c r="BD276" i="3"/>
  <c r="BC276" i="3"/>
  <c r="BA276" i="3"/>
  <c r="AZ276" i="3"/>
  <c r="BB276" i="3"/>
  <c r="AX276" i="3"/>
  <c r="AW276" i="3"/>
  <c r="AV276" i="3"/>
  <c r="AC276" i="3"/>
  <c r="H276" i="3"/>
  <c r="G276" i="3"/>
  <c r="BT275" i="3"/>
  <c r="BS275" i="3"/>
  <c r="BR275" i="3"/>
  <c r="BQ275" i="3"/>
  <c r="BP275" i="3"/>
  <c r="BO275" i="3"/>
  <c r="BN275" i="3"/>
  <c r="BL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G274" i="3"/>
  <c r="H274" i="3"/>
  <c r="BT273" i="3"/>
  <c r="BS273" i="3"/>
  <c r="BR273" i="3"/>
  <c r="BQ273" i="3"/>
  <c r="BP273" i="3"/>
  <c r="BO273" i="3"/>
  <c r="BN273" i="3"/>
  <c r="BM273" i="3"/>
  <c r="BL273" i="3"/>
  <c r="BK273" i="3"/>
  <c r="BJ273" i="3"/>
  <c r="BI273" i="3"/>
  <c r="BH273" i="3"/>
  <c r="BG273" i="3"/>
  <c r="BF273" i="3"/>
  <c r="BE273" i="3"/>
  <c r="BD273" i="3"/>
  <c r="BC273" i="3"/>
  <c r="BA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L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C269" i="3"/>
  <c r="BA269" i="3"/>
  <c r="BB269" i="3"/>
  <c r="AX269" i="3"/>
  <c r="AW269" i="3"/>
  <c r="AV269" i="3"/>
  <c r="AC269" i="3"/>
  <c r="G269" i="3"/>
  <c r="H269" i="3"/>
  <c r="BT268" i="3"/>
  <c r="BS268" i="3"/>
  <c r="BR268" i="3"/>
  <c r="BQ268" i="3"/>
  <c r="BP268" i="3"/>
  <c r="BO268" i="3"/>
  <c r="BN268" i="3"/>
  <c r="BM268" i="3"/>
  <c r="BL268" i="3"/>
  <c r="BK268" i="3"/>
  <c r="BJ268" i="3"/>
  <c r="BI268" i="3"/>
  <c r="BH268" i="3"/>
  <c r="BG268" i="3"/>
  <c r="BF268" i="3"/>
  <c r="BE268" i="3"/>
  <c r="BD268" i="3"/>
  <c r="BC268" i="3"/>
  <c r="BA268" i="3"/>
  <c r="BB268" i="3"/>
  <c r="AX268" i="3"/>
  <c r="AW268" i="3"/>
  <c r="AV268" i="3"/>
  <c r="AC268" i="3"/>
  <c r="G268" i="3"/>
  <c r="H268" i="3"/>
  <c r="BT267" i="3"/>
  <c r="BS267" i="3"/>
  <c r="BR267" i="3"/>
  <c r="BQ267" i="3"/>
  <c r="BP267" i="3"/>
  <c r="BO267" i="3"/>
  <c r="BN267" i="3"/>
  <c r="BM267" i="3"/>
  <c r="BL267" i="3"/>
  <c r="BK267" i="3"/>
  <c r="BJ267" i="3"/>
  <c r="BI267" i="3"/>
  <c r="BH267" i="3"/>
  <c r="BG267" i="3"/>
  <c r="BF267" i="3"/>
  <c r="BE267" i="3"/>
  <c r="BD267" i="3"/>
  <c r="BC267" i="3"/>
  <c r="BA267" i="3"/>
  <c r="BB267" i="3"/>
  <c r="AX267" i="3"/>
  <c r="AW267" i="3"/>
  <c r="AV267" i="3"/>
  <c r="AC267" i="3"/>
  <c r="H267" i="3"/>
  <c r="G267" i="3"/>
  <c r="BT266" i="3"/>
  <c r="BS266" i="3"/>
  <c r="BR266" i="3"/>
  <c r="BQ266" i="3"/>
  <c r="BP266" i="3"/>
  <c r="BO266" i="3"/>
  <c r="BN266" i="3"/>
  <c r="BL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L264" i="3"/>
  <c r="BM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N262" i="3"/>
  <c r="BM262" i="3"/>
  <c r="BL262" i="3"/>
  <c r="BK262" i="3"/>
  <c r="BJ262" i="3"/>
  <c r="BI262" i="3"/>
  <c r="BH262" i="3"/>
  <c r="BG262" i="3"/>
  <c r="BF262" i="3"/>
  <c r="BE262" i="3"/>
  <c r="BD262" i="3"/>
  <c r="BC262" i="3"/>
  <c r="BA262" i="3"/>
  <c r="AZ262" i="3"/>
  <c r="BB262" i="3"/>
  <c r="AX262" i="3"/>
  <c r="AW262" i="3"/>
  <c r="AV262" i="3"/>
  <c r="AC262" i="3"/>
  <c r="H262" i="3"/>
  <c r="G262" i="3"/>
  <c r="BT261" i="3"/>
  <c r="BS261" i="3"/>
  <c r="BR261" i="3"/>
  <c r="BQ261" i="3"/>
  <c r="BP261" i="3"/>
  <c r="BO261" i="3"/>
  <c r="BN261" i="3"/>
  <c r="BL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G260" i="3"/>
  <c r="H260" i="3"/>
  <c r="BT259" i="3"/>
  <c r="BS259" i="3"/>
  <c r="BR259" i="3"/>
  <c r="BQ259" i="3"/>
  <c r="BP259" i="3"/>
  <c r="BO259" i="3"/>
  <c r="BN259" i="3"/>
  <c r="BM259" i="3"/>
  <c r="BL259" i="3"/>
  <c r="BK259" i="3"/>
  <c r="BJ259" i="3"/>
  <c r="BI259" i="3"/>
  <c r="BH259" i="3"/>
  <c r="BG259" i="3"/>
  <c r="BF259" i="3"/>
  <c r="BE259" i="3"/>
  <c r="BD259" i="3"/>
  <c r="BC259" i="3"/>
  <c r="BA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G255" i="3"/>
  <c r="H255" i="3"/>
  <c r="BT254" i="3"/>
  <c r="BS254" i="3"/>
  <c r="BR254" i="3"/>
  <c r="BQ254" i="3"/>
  <c r="BP254" i="3"/>
  <c r="BO254" i="3"/>
  <c r="BN254" i="3"/>
  <c r="BM254" i="3"/>
  <c r="BL254" i="3"/>
  <c r="BK254" i="3"/>
  <c r="BJ254" i="3"/>
  <c r="BI254" i="3"/>
  <c r="BH254" i="3"/>
  <c r="BG254" i="3"/>
  <c r="BF254" i="3"/>
  <c r="BE254" i="3"/>
  <c r="BD254" i="3"/>
  <c r="BC254" i="3"/>
  <c r="BA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A252" i="3"/>
  <c r="AZ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G247" i="3"/>
  <c r="H247" i="3"/>
  <c r="BT246" i="3"/>
  <c r="BS246" i="3"/>
  <c r="BR246" i="3"/>
  <c r="BQ246" i="3"/>
  <c r="BP246" i="3"/>
  <c r="BO246" i="3"/>
  <c r="BN246" i="3"/>
  <c r="BM246" i="3"/>
  <c r="BL246" i="3"/>
  <c r="BK246" i="3"/>
  <c r="BJ246" i="3"/>
  <c r="BI246" i="3"/>
  <c r="BH246" i="3"/>
  <c r="BG246" i="3"/>
  <c r="BF246" i="3"/>
  <c r="BE246" i="3"/>
  <c r="BD246" i="3"/>
  <c r="BC246" i="3"/>
  <c r="BA246" i="3"/>
  <c r="BB246" i="3"/>
  <c r="AX246" i="3"/>
  <c r="AW246" i="3"/>
  <c r="AV246" i="3"/>
  <c r="AC246" i="3"/>
  <c r="H246" i="3"/>
  <c r="G246" i="3"/>
  <c r="BT245" i="3"/>
  <c r="BS245" i="3"/>
  <c r="BR245" i="3"/>
  <c r="BQ245" i="3"/>
  <c r="BP245" i="3"/>
  <c r="BO245" i="3"/>
  <c r="BN245" i="3"/>
  <c r="BL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G244" i="3"/>
  <c r="H244" i="3"/>
  <c r="BT243" i="3"/>
  <c r="BS243" i="3"/>
  <c r="BR243" i="3"/>
  <c r="BQ243" i="3"/>
  <c r="BP243" i="3"/>
  <c r="BO243" i="3"/>
  <c r="BN243" i="3"/>
  <c r="BM243" i="3"/>
  <c r="BL243" i="3"/>
  <c r="BK243" i="3"/>
  <c r="BJ243" i="3"/>
  <c r="BI243" i="3"/>
  <c r="BH243" i="3"/>
  <c r="BG243" i="3"/>
  <c r="BF243" i="3"/>
  <c r="BE243" i="3"/>
  <c r="BD243" i="3"/>
  <c r="BC243" i="3"/>
  <c r="BA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L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G239" i="3"/>
  <c r="H239" i="3"/>
  <c r="BT238" i="3"/>
  <c r="BS238" i="3"/>
  <c r="BR238" i="3"/>
  <c r="BQ238" i="3"/>
  <c r="BP238" i="3"/>
  <c r="BO238" i="3"/>
  <c r="BN238" i="3"/>
  <c r="BM238" i="3"/>
  <c r="BL238" i="3"/>
  <c r="BK238" i="3"/>
  <c r="BJ238" i="3"/>
  <c r="BI238" i="3"/>
  <c r="BH238" i="3"/>
  <c r="BG238" i="3"/>
  <c r="BF238" i="3"/>
  <c r="BE238" i="3"/>
  <c r="BD238" i="3"/>
  <c r="BC238" i="3"/>
  <c r="BA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G237" i="3"/>
  <c r="H237" i="3"/>
  <c r="BT236" i="3"/>
  <c r="BS236" i="3"/>
  <c r="BR236" i="3"/>
  <c r="BQ236" i="3"/>
  <c r="BP236" i="3"/>
  <c r="BO236" i="3"/>
  <c r="BN236" i="3"/>
  <c r="BM236" i="3"/>
  <c r="BL236" i="3"/>
  <c r="BK236" i="3"/>
  <c r="BJ236" i="3"/>
  <c r="BI236" i="3"/>
  <c r="BH236" i="3"/>
  <c r="BG236" i="3"/>
  <c r="BF236" i="3"/>
  <c r="BE236" i="3"/>
  <c r="BD236" i="3"/>
  <c r="BC236" i="3"/>
  <c r="BA236" i="3"/>
  <c r="AZ236" i="3"/>
  <c r="BB236" i="3"/>
  <c r="AX236" i="3"/>
  <c r="AW236" i="3"/>
  <c r="AV236" i="3"/>
  <c r="AC236" i="3"/>
  <c r="H236" i="3"/>
  <c r="G236" i="3"/>
  <c r="BT235" i="3"/>
  <c r="BS235" i="3"/>
  <c r="BR235" i="3"/>
  <c r="BQ235" i="3"/>
  <c r="BP235" i="3"/>
  <c r="BO235" i="3"/>
  <c r="BN235" i="3"/>
  <c r="BL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L231" i="3"/>
  <c r="BM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L228" i="3"/>
  <c r="BM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G227" i="3"/>
  <c r="H227" i="3"/>
  <c r="BT226" i="3"/>
  <c r="BS226" i="3"/>
  <c r="BR226" i="3"/>
  <c r="BQ226" i="3"/>
  <c r="BP226" i="3"/>
  <c r="BO226" i="3"/>
  <c r="BN226" i="3"/>
  <c r="BM226" i="3"/>
  <c r="BL226" i="3"/>
  <c r="BK226" i="3"/>
  <c r="BJ226" i="3"/>
  <c r="BI226" i="3"/>
  <c r="BH226" i="3"/>
  <c r="BG226" i="3"/>
  <c r="BF226" i="3"/>
  <c r="BE226" i="3"/>
  <c r="BD226" i="3"/>
  <c r="BC226" i="3"/>
  <c r="BA226" i="3"/>
  <c r="AZ226" i="3"/>
  <c r="BB226" i="3"/>
  <c r="AX226" i="3"/>
  <c r="AW226" i="3"/>
  <c r="AV226" i="3"/>
  <c r="AC226" i="3"/>
  <c r="H226" i="3"/>
  <c r="G226" i="3"/>
  <c r="BT225" i="3"/>
  <c r="BS225" i="3"/>
  <c r="BR225" i="3"/>
  <c r="BQ225" i="3"/>
  <c r="BP225" i="3"/>
  <c r="BO225" i="3"/>
  <c r="BN225" i="3"/>
  <c r="BL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G224" i="3"/>
  <c r="H224" i="3"/>
  <c r="BT223" i="3"/>
  <c r="BS223" i="3"/>
  <c r="BR223" i="3"/>
  <c r="BQ223" i="3"/>
  <c r="BP223" i="3"/>
  <c r="BO223" i="3"/>
  <c r="BN223" i="3"/>
  <c r="BM223" i="3"/>
  <c r="BL223" i="3"/>
  <c r="BK223" i="3"/>
  <c r="BJ223" i="3"/>
  <c r="BI223" i="3"/>
  <c r="BH223" i="3"/>
  <c r="BG223" i="3"/>
  <c r="BF223" i="3"/>
  <c r="BE223" i="3"/>
  <c r="BD223" i="3"/>
  <c r="BC223" i="3"/>
  <c r="BA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G222" i="3"/>
  <c r="H222" i="3"/>
  <c r="BT221" i="3"/>
  <c r="BS221" i="3"/>
  <c r="BR221" i="3"/>
  <c r="BQ221" i="3"/>
  <c r="BP221" i="3"/>
  <c r="BO221" i="3"/>
  <c r="BN221" i="3"/>
  <c r="BM221" i="3"/>
  <c r="BL221" i="3"/>
  <c r="BK221" i="3"/>
  <c r="BJ221" i="3"/>
  <c r="BI221" i="3"/>
  <c r="BH221" i="3"/>
  <c r="BG221" i="3"/>
  <c r="BF221" i="3"/>
  <c r="BE221" i="3"/>
  <c r="BD221" i="3"/>
  <c r="BC221" i="3"/>
  <c r="BA221" i="3"/>
  <c r="AZ221" i="3"/>
  <c r="BB221" i="3"/>
  <c r="AX221" i="3"/>
  <c r="AW221" i="3"/>
  <c r="AV221" i="3"/>
  <c r="AC221" i="3"/>
  <c r="H221" i="3"/>
  <c r="G221" i="3"/>
  <c r="BT220" i="3"/>
  <c r="BS220" i="3"/>
  <c r="BR220" i="3"/>
  <c r="BQ220" i="3"/>
  <c r="BP220" i="3"/>
  <c r="BO220" i="3"/>
  <c r="BN220" i="3"/>
  <c r="BL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L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L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L209" i="3"/>
  <c r="BK209" i="3"/>
  <c r="BJ209" i="3"/>
  <c r="BI209" i="3"/>
  <c r="BH209" i="3"/>
  <c r="BG209" i="3"/>
  <c r="BF209" i="3"/>
  <c r="BE209" i="3"/>
  <c r="BD209" i="3"/>
  <c r="BC209" i="3"/>
  <c r="BA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c r="H397" i="3"/>
  <c r="BT396" i="3"/>
  <c r="BS396" i="3"/>
  <c r="BR396" i="3"/>
  <c r="BQ396" i="3"/>
  <c r="BP396" i="3"/>
  <c r="BO396" i="3"/>
  <c r="BN396" i="3"/>
  <c r="BM396" i="3"/>
  <c r="BK396" i="3"/>
  <c r="BJ396" i="3"/>
  <c r="BI396" i="3"/>
  <c r="BH396" i="3"/>
  <c r="BG396" i="3"/>
  <c r="BF396" i="3"/>
  <c r="BE396" i="3"/>
  <c r="BD396" i="3"/>
  <c r="BC396" i="3"/>
  <c r="BA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c r="BM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c r="H349" i="3"/>
  <c r="BT348" i="3"/>
  <c r="BS348" i="3"/>
  <c r="BR348" i="3"/>
  <c r="BQ348" i="3"/>
  <c r="BP348" i="3"/>
  <c r="BO348" i="3"/>
  <c r="BN348" i="3"/>
  <c r="BM348" i="3"/>
  <c r="BL348" i="3"/>
  <c r="BK348" i="3"/>
  <c r="BJ348" i="3"/>
  <c r="BI348" i="3"/>
  <c r="BH348" i="3"/>
  <c r="BG348" i="3"/>
  <c r="BF348" i="3"/>
  <c r="BE348" i="3"/>
  <c r="BD348" i="3"/>
  <c r="BC348" i="3"/>
  <c r="BA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c r="H334" i="3"/>
  <c r="BT333" i="3"/>
  <c r="BS333" i="3"/>
  <c r="BR333" i="3"/>
  <c r="BQ333" i="3"/>
  <c r="BP333" i="3"/>
  <c r="BO333" i="3"/>
  <c r="BN333" i="3"/>
  <c r="BM333" i="3"/>
  <c r="BK333" i="3"/>
  <c r="BJ333" i="3"/>
  <c r="BI333" i="3"/>
  <c r="BH333" i="3"/>
  <c r="BG333" i="3"/>
  <c r="BF333" i="3"/>
  <c r="BE333" i="3"/>
  <c r="BD333" i="3"/>
  <c r="BC333" i="3"/>
  <c r="BA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L316" i="3"/>
  <c r="AZ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c r="AZ486" i="3"/>
  <c r="BC486" i="3"/>
  <c r="BB486" i="3"/>
  <c r="AX486" i="3"/>
  <c r="AW486" i="3"/>
  <c r="AV486" i="3"/>
  <c r="AC486" i="3"/>
  <c r="H486" i="3"/>
  <c r="G486" i="3"/>
  <c r="BT485" i="3"/>
  <c r="BS485" i="3"/>
  <c r="BR485" i="3"/>
  <c r="BQ485" i="3"/>
  <c r="BP485" i="3"/>
  <c r="BO485" i="3"/>
  <c r="BL485" i="3"/>
  <c r="BN485" i="3"/>
  <c r="BM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c r="AZ482" i="3"/>
  <c r="BC482" i="3"/>
  <c r="BB482" i="3"/>
  <c r="AX482" i="3"/>
  <c r="AW482" i="3"/>
  <c r="AV482" i="3"/>
  <c r="AC482" i="3"/>
  <c r="H482" i="3"/>
  <c r="G482" i="3"/>
  <c r="BT481" i="3"/>
  <c r="BS481" i="3"/>
  <c r="BR481" i="3"/>
  <c r="BQ481" i="3"/>
  <c r="BP481" i="3"/>
  <c r="BO481" i="3"/>
  <c r="BL481" i="3"/>
  <c r="BN481" i="3"/>
  <c r="BM481" i="3"/>
  <c r="BK481" i="3"/>
  <c r="BJ481" i="3"/>
  <c r="BI481" i="3"/>
  <c r="BH481" i="3"/>
  <c r="BG481" i="3"/>
  <c r="BF481" i="3"/>
  <c r="BE481" i="3"/>
  <c r="BD481" i="3"/>
  <c r="BA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c r="AZ478" i="3"/>
  <c r="BC478" i="3"/>
  <c r="BB478" i="3"/>
  <c r="AX478" i="3"/>
  <c r="AW478" i="3"/>
  <c r="AV478" i="3"/>
  <c r="AC478" i="3"/>
  <c r="H478" i="3"/>
  <c r="G478" i="3"/>
  <c r="BT477" i="3"/>
  <c r="BS477" i="3"/>
  <c r="BR477" i="3"/>
  <c r="BQ477" i="3"/>
  <c r="BP477" i="3"/>
  <c r="BO477" i="3"/>
  <c r="BL477" i="3"/>
  <c r="BN477" i="3"/>
  <c r="BM477" i="3"/>
  <c r="BK477" i="3"/>
  <c r="BJ477" i="3"/>
  <c r="BI477" i="3"/>
  <c r="BH477" i="3"/>
  <c r="BG477" i="3"/>
  <c r="BF477" i="3"/>
  <c r="BE477" i="3"/>
  <c r="BD477" i="3"/>
  <c r="BA477" i="3"/>
  <c r="AZ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c r="AZ474" i="3"/>
  <c r="BC474" i="3"/>
  <c r="BB474" i="3"/>
  <c r="AX474" i="3"/>
  <c r="AW474" i="3"/>
  <c r="AV474" i="3"/>
  <c r="AC474" i="3"/>
  <c r="H474" i="3"/>
  <c r="G474" i="3"/>
  <c r="BT473" i="3"/>
  <c r="BS473" i="3"/>
  <c r="BR473" i="3"/>
  <c r="BQ473" i="3"/>
  <c r="BP473" i="3"/>
  <c r="BO473" i="3"/>
  <c r="BL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AZ471" i="3"/>
  <c r="BC471" i="3"/>
  <c r="BB471" i="3"/>
  <c r="AX471" i="3"/>
  <c r="AW471" i="3"/>
  <c r="AV471" i="3"/>
  <c r="AC471" i="3"/>
  <c r="H471" i="3"/>
  <c r="G471" i="3"/>
  <c r="BT470" i="3"/>
  <c r="BS470" i="3"/>
  <c r="BR470" i="3"/>
  <c r="BQ470" i="3"/>
  <c r="BP470" i="3"/>
  <c r="BO470" i="3"/>
  <c r="BL470" i="3"/>
  <c r="BN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c r="AZ467" i="3"/>
  <c r="BC467" i="3"/>
  <c r="BB467" i="3"/>
  <c r="AX467" i="3"/>
  <c r="AW467" i="3"/>
  <c r="AV467" i="3"/>
  <c r="AC467" i="3"/>
  <c r="H467" i="3"/>
  <c r="G467" i="3"/>
  <c r="BT466" i="3"/>
  <c r="BS466" i="3"/>
  <c r="BR466" i="3"/>
  <c r="BQ466" i="3"/>
  <c r="BP466" i="3"/>
  <c r="BO466" i="3"/>
  <c r="BL466" i="3"/>
  <c r="BN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H464" i="3"/>
  <c r="G464" i="3"/>
  <c r="BT463" i="3"/>
  <c r="BS463" i="3"/>
  <c r="BR463" i="3"/>
  <c r="BQ463" i="3"/>
  <c r="BP463" i="3"/>
  <c r="BO463" i="3"/>
  <c r="BL463" i="3"/>
  <c r="BN463" i="3"/>
  <c r="BM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H460" i="3"/>
  <c r="G460" i="3"/>
  <c r="BT459" i="3"/>
  <c r="BS459" i="3"/>
  <c r="BR459" i="3"/>
  <c r="BQ459" i="3"/>
  <c r="BP459" i="3"/>
  <c r="BO459" i="3"/>
  <c r="BL459" i="3"/>
  <c r="BN459" i="3"/>
  <c r="BM459" i="3"/>
  <c r="BK459" i="3"/>
  <c r="BJ459" i="3"/>
  <c r="BI459" i="3"/>
  <c r="BH459" i="3"/>
  <c r="BG459" i="3"/>
  <c r="BF459" i="3"/>
  <c r="BE459" i="3"/>
  <c r="BD459" i="3"/>
  <c r="BA459" i="3"/>
  <c r="AZ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L456" i="3"/>
  <c r="BN456" i="3"/>
  <c r="BM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c r="AZ453" i="3"/>
  <c r="BC453" i="3"/>
  <c r="BB453" i="3"/>
  <c r="AX453" i="3"/>
  <c r="AW453" i="3"/>
  <c r="AV453" i="3"/>
  <c r="AC453" i="3"/>
  <c r="H453" i="3"/>
  <c r="G453" i="3"/>
  <c r="BT452" i="3"/>
  <c r="BS452" i="3"/>
  <c r="BR452" i="3"/>
  <c r="BQ452" i="3"/>
  <c r="BP452" i="3"/>
  <c r="BO452" i="3"/>
  <c r="BL452" i="3"/>
  <c r="BN452" i="3"/>
  <c r="BM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c r="AZ449" i="3"/>
  <c r="BC449" i="3"/>
  <c r="BB449" i="3"/>
  <c r="AX449" i="3"/>
  <c r="AW449" i="3"/>
  <c r="AV449" i="3"/>
  <c r="AC449" i="3"/>
  <c r="H449" i="3"/>
  <c r="G449" i="3"/>
  <c r="BT448" i="3"/>
  <c r="BS448" i="3"/>
  <c r="BR448" i="3"/>
  <c r="BQ448" i="3"/>
  <c r="BP448" i="3"/>
  <c r="BO448" i="3"/>
  <c r="BL448" i="3"/>
  <c r="BN448" i="3"/>
  <c r="BM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c r="AZ445" i="3"/>
  <c r="BC445" i="3"/>
  <c r="BB445" i="3"/>
  <c r="AX445" i="3"/>
  <c r="AW445" i="3"/>
  <c r="AV445" i="3"/>
  <c r="AC445" i="3"/>
  <c r="H445" i="3"/>
  <c r="G445" i="3"/>
  <c r="BT444" i="3"/>
  <c r="BS444" i="3"/>
  <c r="BR444" i="3"/>
  <c r="BQ444" i="3"/>
  <c r="BP444" i="3"/>
  <c r="BO444" i="3"/>
  <c r="BL444" i="3"/>
  <c r="BN444" i="3"/>
  <c r="BM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L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L434" i="3"/>
  <c r="BN434" i="3"/>
  <c r="BM434" i="3"/>
  <c r="BK434" i="3"/>
  <c r="BJ434" i="3"/>
  <c r="BI434" i="3"/>
  <c r="BH434" i="3"/>
  <c r="BG434" i="3"/>
  <c r="BF434" i="3"/>
  <c r="BE434" i="3"/>
  <c r="BD434" i="3"/>
  <c r="BA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L431" i="3"/>
  <c r="BN431" i="3"/>
  <c r="BM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c r="AZ425" i="3"/>
  <c r="BC425" i="3"/>
  <c r="BB425" i="3"/>
  <c r="AX425" i="3"/>
  <c r="AW425" i="3"/>
  <c r="AV425" i="3"/>
  <c r="AC425" i="3"/>
  <c r="H425" i="3"/>
  <c r="G425" i="3"/>
  <c r="BT424" i="3"/>
  <c r="BS424" i="3"/>
  <c r="BR424" i="3"/>
  <c r="BQ424" i="3"/>
  <c r="BP424" i="3"/>
  <c r="BO424" i="3"/>
  <c r="BL424" i="3"/>
  <c r="BN424" i="3"/>
  <c r="BM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c r="AZ421" i="3"/>
  <c r="BC421" i="3"/>
  <c r="BB421" i="3"/>
  <c r="AX421" i="3"/>
  <c r="AW421" i="3"/>
  <c r="AV421" i="3"/>
  <c r="AC421" i="3"/>
  <c r="H421" i="3"/>
  <c r="G421" i="3"/>
  <c r="BT420" i="3"/>
  <c r="BS420" i="3"/>
  <c r="BR420" i="3"/>
  <c r="BQ420" i="3"/>
  <c r="BP420" i="3"/>
  <c r="BO420" i="3"/>
  <c r="BL420" i="3"/>
  <c r="BN420" i="3"/>
  <c r="BM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c r="AZ414" i="3"/>
  <c r="BC414" i="3"/>
  <c r="BB414" i="3"/>
  <c r="AX414" i="3"/>
  <c r="AW414" i="3"/>
  <c r="AV414" i="3"/>
  <c r="AC414" i="3"/>
  <c r="H414" i="3"/>
  <c r="G414" i="3"/>
  <c r="BT413" i="3"/>
  <c r="BS413" i="3"/>
  <c r="BR413" i="3"/>
  <c r="BQ413" i="3"/>
  <c r="BP413" i="3"/>
  <c r="BO413" i="3"/>
  <c r="BL413" i="3"/>
  <c r="BN413" i="3"/>
  <c r="BM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c r="AZ411" i="3"/>
  <c r="BC411" i="3"/>
  <c r="BB411" i="3"/>
  <c r="AX411" i="3"/>
  <c r="AW411" i="3"/>
  <c r="AV411" i="3"/>
  <c r="AC411" i="3"/>
  <c r="H411" i="3"/>
  <c r="G411" i="3"/>
  <c r="BT410" i="3"/>
  <c r="BS410" i="3"/>
  <c r="BR410" i="3"/>
  <c r="BQ410" i="3"/>
  <c r="BP410" i="3"/>
  <c r="BO410" i="3"/>
  <c r="BL410" i="3"/>
  <c r="BN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L407" i="3"/>
  <c r="BN407" i="3"/>
  <c r="BM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AZ404" i="3"/>
  <c r="BC404" i="3"/>
  <c r="BB404" i="3"/>
  <c r="AX404" i="3"/>
  <c r="AW404" i="3"/>
  <c r="AV404" i="3"/>
  <c r="AC404" i="3"/>
  <c r="H404" i="3"/>
  <c r="G404" i="3"/>
  <c r="BT403" i="3"/>
  <c r="BS403" i="3"/>
  <c r="BR403" i="3"/>
  <c r="BQ403" i="3"/>
  <c r="BP403" i="3"/>
  <c r="BO403" i="3"/>
  <c r="BL403" i="3"/>
  <c r="BN403" i="3"/>
  <c r="BM403" i="3"/>
  <c r="BK403" i="3"/>
  <c r="BJ403" i="3"/>
  <c r="BI403" i="3"/>
  <c r="BH403" i="3"/>
  <c r="BG403" i="3"/>
  <c r="BF403" i="3"/>
  <c r="BE403" i="3"/>
  <c r="BD403" i="3"/>
  <c r="BA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L400" i="3"/>
  <c r="BN400" i="3"/>
  <c r="BM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3" i="31"/>
  <c r="R54" i="31"/>
  <c r="S54" i="31"/>
  <c r="R55" i="31"/>
  <c r="S55" i="31"/>
  <c r="R56" i="31"/>
  <c r="S56" i="31"/>
  <c r="R57" i="31"/>
  <c r="S57" i="31"/>
  <c r="R58" i="31"/>
  <c r="S58" i="31"/>
  <c r="R59" i="31"/>
  <c r="S59" i="31"/>
  <c r="R60" i="31"/>
  <c r="S60" i="31"/>
  <c r="R61" i="31"/>
  <c r="S61" i="31"/>
  <c r="R62" i="31"/>
  <c r="S62" i="31"/>
  <c r="R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R102" i="31"/>
  <c r="S102" i="31"/>
  <c r="R103" i="31"/>
  <c r="S103" i="31"/>
  <c r="R104" i="31"/>
  <c r="S104" i="31"/>
  <c r="R105" i="31"/>
  <c r="R106" i="31"/>
  <c r="S106" i="31"/>
  <c r="R107" i="31"/>
  <c r="S107" i="31"/>
  <c r="R108" i="31"/>
  <c r="S108" i="31"/>
  <c r="R109" i="31"/>
  <c r="R110" i="31"/>
  <c r="S110" i="31"/>
  <c r="R111" i="31"/>
  <c r="S111" i="31"/>
  <c r="R112" i="31"/>
  <c r="S112" i="31"/>
  <c r="R113" i="31"/>
  <c r="R114" i="31"/>
  <c r="S114" i="31"/>
  <c r="R115" i="31"/>
  <c r="S115" i="31"/>
  <c r="R116" i="31"/>
  <c r="S116" i="31"/>
  <c r="R117" i="31"/>
  <c r="R118" i="31"/>
  <c r="S118" i="31"/>
  <c r="R119" i="31"/>
  <c r="S119" i="31"/>
  <c r="R120" i="31"/>
  <c r="S120" i="31"/>
  <c r="R121" i="31"/>
  <c r="R122" i="31"/>
  <c r="S122" i="31"/>
  <c r="R123" i="31"/>
  <c r="S123" i="31"/>
  <c r="R124" i="31"/>
  <c r="S124" i="31"/>
  <c r="R125" i="31"/>
  <c r="R126" i="31"/>
  <c r="S126" i="31"/>
  <c r="R127" i="31"/>
  <c r="S127" i="31"/>
  <c r="R128" i="31"/>
  <c r="S128" i="31"/>
  <c r="R129" i="31"/>
  <c r="R130" i="31"/>
  <c r="S130" i="31"/>
  <c r="R131" i="31"/>
  <c r="S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S145" i="31"/>
  <c r="R146" i="31"/>
  <c r="S146" i="31"/>
  <c r="R147" i="31"/>
  <c r="S147" i="31"/>
  <c r="R148" i="31"/>
  <c r="S148" i="31"/>
  <c r="R149" i="31"/>
  <c r="R150" i="31"/>
  <c r="S150" i="31"/>
  <c r="R151" i="31"/>
  <c r="S151" i="31"/>
  <c r="R152" i="31"/>
  <c r="S152" i="31"/>
  <c r="R153" i="31"/>
  <c r="S153" i="31"/>
  <c r="R154" i="31"/>
  <c r="S154" i="31"/>
  <c r="R155" i="31"/>
  <c r="S155" i="31"/>
  <c r="R156" i="31"/>
  <c r="S156" i="31"/>
  <c r="R157" i="31"/>
  <c r="R158" i="31"/>
  <c r="S158" i="31"/>
  <c r="R159" i="31"/>
  <c r="S159" i="31"/>
  <c r="R160" i="31"/>
  <c r="S160" i="31"/>
  <c r="R161" i="31"/>
  <c r="S161" i="31"/>
  <c r="R162" i="31"/>
  <c r="S162" i="31"/>
  <c r="R163" i="31"/>
  <c r="S163" i="31"/>
  <c r="R164" i="31"/>
  <c r="S164" i="31"/>
  <c r="R165" i="31"/>
  <c r="R166" i="31"/>
  <c r="S166" i="31"/>
  <c r="R167" i="31"/>
  <c r="S167" i="31"/>
  <c r="R168" i="31"/>
  <c r="S168" i="31"/>
  <c r="R169" i="31"/>
  <c r="S169" i="31"/>
  <c r="R170" i="31"/>
  <c r="S170" i="31"/>
  <c r="R171" i="31"/>
  <c r="S171" i="31"/>
  <c r="R172" i="31"/>
  <c r="S172" i="31"/>
  <c r="R173" i="31"/>
  <c r="R174" i="31"/>
  <c r="S174" i="31"/>
  <c r="R175" i="31"/>
  <c r="S175" i="31"/>
  <c r="R176" i="31"/>
  <c r="S176" i="31"/>
  <c r="R177" i="31"/>
  <c r="S177" i="31"/>
  <c r="R178" i="31"/>
  <c r="S178" i="31"/>
  <c r="R179" i="31"/>
  <c r="S179" i="31"/>
  <c r="R180" i="31"/>
  <c r="S180" i="31"/>
  <c r="R181" i="31"/>
  <c r="R182" i="31"/>
  <c r="S182" i="31"/>
  <c r="R183" i="31"/>
  <c r="S183" i="31"/>
  <c r="R184" i="31"/>
  <c r="S184" i="31"/>
  <c r="R185" i="31"/>
  <c r="S185" i="31"/>
  <c r="R186" i="31"/>
  <c r="S186" i="31"/>
  <c r="R187" i="31"/>
  <c r="S187" i="31"/>
  <c r="R188" i="31"/>
  <c r="S188" i="31"/>
  <c r="R189" i="31"/>
  <c r="R190" i="31"/>
  <c r="S190" i="31"/>
  <c r="R191" i="31"/>
  <c r="S191" i="31"/>
  <c r="R192" i="31"/>
  <c r="S192" i="31"/>
  <c r="R193" i="31"/>
  <c r="S193" i="31"/>
  <c r="R194" i="31"/>
  <c r="S194" i="31"/>
  <c r="R195" i="31"/>
  <c r="S195" i="31"/>
  <c r="R196" i="31"/>
  <c r="S196" i="31"/>
  <c r="R197" i="31"/>
  <c r="R198" i="31"/>
  <c r="S198" i="31"/>
  <c r="R199" i="31"/>
  <c r="S199" i="31"/>
  <c r="R200" i="31"/>
  <c r="S200" i="31"/>
  <c r="R201" i="31"/>
  <c r="S201" i="31"/>
  <c r="R202" i="31"/>
  <c r="S202" i="31"/>
  <c r="R203" i="31"/>
  <c r="S203" i="31"/>
  <c r="R204" i="31"/>
  <c r="S204" i="31"/>
  <c r="R205" i="31"/>
  <c r="R206" i="31"/>
  <c r="S206" i="31"/>
  <c r="R207" i="31"/>
  <c r="S207" i="31"/>
  <c r="R208" i="31"/>
  <c r="S208" i="31"/>
  <c r="R209" i="31"/>
  <c r="S209" i="31"/>
  <c r="R210" i="31"/>
  <c r="S210" i="31"/>
  <c r="R211" i="31"/>
  <c r="S211" i="31"/>
  <c r="R212" i="31"/>
  <c r="S212" i="31"/>
  <c r="R213" i="31"/>
  <c r="R214" i="31"/>
  <c r="S214" i="31"/>
  <c r="R215" i="31"/>
  <c r="S215" i="31"/>
  <c r="R216" i="31"/>
  <c r="S216" i="31"/>
  <c r="R217" i="31"/>
  <c r="S217" i="31"/>
  <c r="R218" i="31"/>
  <c r="S218" i="31"/>
  <c r="R219" i="31"/>
  <c r="S219" i="31"/>
  <c r="R220" i="31"/>
  <c r="S220" i="31"/>
  <c r="R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S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S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S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S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S396" i="31"/>
  <c r="R397" i="31"/>
  <c r="S397" i="31"/>
  <c r="R398" i="31"/>
  <c r="S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S414" i="31"/>
  <c r="R415" i="31"/>
  <c r="S415" i="31"/>
  <c r="R416" i="31"/>
  <c r="S416" i="31"/>
  <c r="R417" i="31"/>
  <c r="S417" i="31"/>
  <c r="R418" i="31"/>
  <c r="R419" i="31"/>
  <c r="S419" i="31"/>
  <c r="R420" i="31"/>
  <c r="S420" i="31"/>
  <c r="R421" i="31"/>
  <c r="S421" i="31"/>
  <c r="R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R502" i="31"/>
  <c r="S502" i="31"/>
  <c r="R503" i="31"/>
  <c r="S503" i="31"/>
  <c r="R504" i="31"/>
  <c r="S504" i="31"/>
  <c r="R505" i="31"/>
  <c r="S505" i="31"/>
  <c r="R506" i="31"/>
  <c r="S506" i="31"/>
  <c r="R507" i="31"/>
  <c r="S507" i="31"/>
  <c r="R508" i="31"/>
  <c r="S508" i="31"/>
  <c r="R509" i="31"/>
  <c r="S509" i="31"/>
  <c r="R510" i="31"/>
  <c r="R511" i="31"/>
  <c r="S511" i="31"/>
  <c r="R512" i="31"/>
  <c r="S512" i="31"/>
  <c r="R513" i="31"/>
  <c r="S513" i="31"/>
  <c r="R514" i="31"/>
  <c r="R515" i="31"/>
  <c r="S515" i="31"/>
  <c r="R516" i="31"/>
  <c r="S516" i="31"/>
  <c r="R517" i="31"/>
  <c r="S517" i="31"/>
  <c r="R518" i="31"/>
  <c r="R519" i="31"/>
  <c r="S519" i="31"/>
  <c r="R520" i="31"/>
  <c r="S520" i="31"/>
  <c r="R521" i="31"/>
  <c r="S521" i="31"/>
  <c r="R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G11" i="1"/>
  <c r="I15" i="4"/>
  <c r="H15" i="4"/>
  <c r="G15" i="4"/>
  <c r="F8" i="1"/>
  <c r="G8" i="1"/>
  <c r="E15" i="4"/>
  <c r="F6" i="1"/>
  <c r="G6" i="1"/>
  <c r="D15" i="4"/>
  <c r="L21" i="4"/>
  <c r="F19" i="4"/>
  <c r="F2" i="52"/>
  <c r="B50" i="72"/>
  <c r="D2" i="52"/>
  <c r="B46" i="72"/>
  <c r="B8" i="53"/>
  <c r="B23" i="72"/>
  <c r="L4" i="9"/>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M32" i="31"/>
  <c r="M48" i="31"/>
  <c r="M64" i="31"/>
  <c r="M80" i="31"/>
  <c r="M96" i="31"/>
  <c r="M112" i="31"/>
  <c r="M128" i="31"/>
  <c r="M144" i="31"/>
  <c r="M160" i="31"/>
  <c r="M176" i="31"/>
  <c r="M192" i="31"/>
  <c r="M203" i="31"/>
  <c r="M211" i="31"/>
  <c r="M219" i="31"/>
  <c r="M227" i="31"/>
  <c r="M235" i="31"/>
  <c r="M243" i="31"/>
  <c r="M251" i="31"/>
  <c r="M259" i="31"/>
  <c r="M267" i="31"/>
  <c r="M275" i="31"/>
  <c r="M283" i="31"/>
  <c r="M291" i="31"/>
  <c r="M299" i="31"/>
  <c r="M307" i="31"/>
  <c r="M315" i="31"/>
  <c r="M323" i="31"/>
  <c r="M331" i="31"/>
  <c r="M339" i="31"/>
  <c r="M347" i="31"/>
  <c r="M355" i="31"/>
  <c r="M363" i="31"/>
  <c r="M371" i="31"/>
  <c r="M379" i="31"/>
  <c r="M387" i="31"/>
  <c r="M395" i="31"/>
  <c r="M403" i="31"/>
  <c r="M411" i="31"/>
  <c r="M419" i="31"/>
  <c r="M427" i="31"/>
  <c r="M435" i="31"/>
  <c r="M443" i="31"/>
  <c r="M451"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L23" i="31"/>
  <c r="J23" i="31"/>
  <c r="H23" i="31"/>
  <c r="F23" i="31"/>
  <c r="Q25" i="31"/>
  <c r="M25" i="31"/>
  <c r="K25" i="31"/>
  <c r="G25" i="31"/>
  <c r="S422" i="31"/>
  <c r="S418" i="31"/>
  <c r="S410" i="31"/>
  <c r="S406" i="31"/>
  <c r="S402" i="31"/>
  <c r="S394" i="31"/>
  <c r="S390" i="31"/>
  <c r="S386" i="31"/>
  <c r="S378" i="31"/>
  <c r="S374" i="31"/>
  <c r="S370" i="31"/>
  <c r="S362" i="31"/>
  <c r="S358" i="31"/>
  <c r="S354" i="31"/>
  <c r="S346" i="31"/>
  <c r="S342" i="31"/>
  <c r="S338" i="31"/>
  <c r="S330" i="31"/>
  <c r="S326" i="31"/>
  <c r="S322" i="31"/>
  <c r="S314" i="31"/>
  <c r="S306" i="31"/>
  <c r="S298" i="31"/>
  <c r="S290" i="31"/>
  <c r="S282" i="31"/>
  <c r="S274" i="31"/>
  <c r="S266" i="31"/>
  <c r="S258" i="31"/>
  <c r="S221" i="31"/>
  <c r="S213" i="31"/>
  <c r="S205" i="31"/>
  <c r="S197" i="31"/>
  <c r="S189" i="31"/>
  <c r="S181" i="31"/>
  <c r="S173" i="31"/>
  <c r="S165" i="31"/>
  <c r="S157" i="31"/>
  <c r="S149" i="31"/>
  <c r="S141" i="31"/>
  <c r="S137" i="31"/>
  <c r="S133" i="31"/>
  <c r="S129" i="31"/>
  <c r="S125" i="31"/>
  <c r="S121" i="31"/>
  <c r="S117" i="31"/>
  <c r="S113" i="31"/>
  <c r="S53" i="31"/>
  <c r="S63" i="31"/>
  <c r="S101" i="31"/>
  <c r="S105" i="31"/>
  <c r="S109" i="31"/>
  <c r="S446"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8" i="31"/>
  <c r="S522"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S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1" i="21"/>
  <c r="F19" i="21"/>
  <c r="AA19" i="21"/>
  <c r="D77" i="21"/>
  <c r="E77" i="21"/>
  <c r="F77" i="21"/>
  <c r="G77" i="21"/>
  <c r="B130" i="21"/>
  <c r="B15" i="31"/>
  <c r="O25" i="31"/>
  <c r="B128" i="21"/>
  <c r="B126" i="21"/>
  <c r="B5" i="3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E20" i="6"/>
  <c r="K7" i="1" s="1"/>
  <c r="D3" i="35"/>
  <c r="O5" i="3"/>
  <c r="P5" i="3"/>
  <c r="E21" i="6"/>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W9" i="34"/>
  <c r="S34" i="34"/>
  <c r="U34" i="34"/>
  <c r="H39" i="33"/>
  <c r="AB39" i="33"/>
  <c r="F26" i="33"/>
  <c r="AA26" i="33"/>
  <c r="U33" i="33"/>
  <c r="U35" i="33"/>
  <c r="S40" i="33"/>
  <c r="W39" i="33"/>
  <c r="H39" i="37"/>
  <c r="AB39" i="37"/>
  <c r="S27" i="35"/>
  <c r="F11" i="40"/>
  <c r="AA11" i="40"/>
  <c r="H11" i="40"/>
  <c r="AB11" i="40"/>
  <c r="W8" i="40"/>
  <c r="AC40" i="40"/>
  <c r="AA9" i="40"/>
  <c r="AC9" i="40"/>
  <c r="U9" i="40"/>
  <c r="S34" i="40"/>
  <c r="S40" i="40"/>
  <c r="W31" i="40"/>
  <c r="U34" i="40"/>
  <c r="U40" i="40"/>
  <c r="F42" i="39"/>
  <c r="AA42" i="39"/>
  <c r="F41" i="39"/>
  <c r="S41" i="39"/>
  <c r="H40" i="39"/>
  <c r="AB40"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AC31" i="39"/>
  <c r="H27" i="39"/>
  <c r="U27" i="39"/>
  <c r="J19" i="39"/>
  <c r="AC19" i="39"/>
  <c r="J27" i="39"/>
  <c r="AC27" i="39"/>
  <c r="F27" i="39"/>
  <c r="AA27" i="39"/>
  <c r="F11" i="21"/>
  <c r="S11" i="21"/>
  <c r="S40" i="21"/>
  <c r="U34" i="21"/>
  <c r="C25" i="39"/>
  <c r="C27" i="39"/>
  <c r="C21" i="39"/>
  <c r="H11" i="39"/>
  <c r="U11" i="39"/>
  <c r="C15" i="39"/>
  <c r="H32" i="33"/>
  <c r="AB32" i="33"/>
  <c r="H11" i="21"/>
  <c r="U11" i="21"/>
  <c r="H37" i="40"/>
  <c r="U37" i="40"/>
  <c r="H36" i="40"/>
  <c r="AB36" i="40"/>
  <c r="F35" i="40"/>
  <c r="AA35" i="40"/>
  <c r="H23" i="40"/>
  <c r="AB23" i="40"/>
  <c r="H17" i="40"/>
  <c r="U17" i="40"/>
  <c r="J15" i="40"/>
  <c r="W15" i="40"/>
  <c r="J11" i="40"/>
  <c r="W11" i="40"/>
  <c r="AB8" i="39"/>
  <c r="AB12" i="33"/>
  <c r="AC12" i="34"/>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c r="F23" i="35"/>
  <c r="AA23" i="35"/>
  <c r="J32" i="35"/>
  <c r="AC32" i="35"/>
  <c r="J16" i="35"/>
  <c r="AC16" i="35"/>
  <c r="H16" i="35"/>
  <c r="U16" i="35"/>
  <c r="F16" i="35"/>
  <c r="S16" i="35"/>
  <c r="H14" i="35"/>
  <c r="AB14" i="35"/>
  <c r="H33" i="35"/>
  <c r="AB33"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S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W31" i="34"/>
  <c r="AC13" i="36"/>
  <c r="W13" i="36"/>
  <c r="S11" i="36"/>
  <c r="W11" i="36"/>
  <c r="W11" i="35"/>
  <c r="AB46" i="34"/>
  <c r="AC30" i="34"/>
  <c r="AA14" i="34"/>
  <c r="AB45" i="33"/>
  <c r="AB31" i="33"/>
  <c r="U31" i="33"/>
  <c r="W29" i="33"/>
  <c r="U13" i="33"/>
  <c r="AC28" i="21"/>
  <c r="S44" i="34"/>
  <c r="BA586" i="3"/>
  <c r="BA585" i="3"/>
  <c r="AZ585" i="3"/>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AZ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AZ520" i="3"/>
  <c r="BA518" i="3"/>
  <c r="AZ518" i="3"/>
  <c r="BA516" i="3"/>
  <c r="AZ516" i="3"/>
  <c r="BA514" i="3"/>
  <c r="BA512" i="3"/>
  <c r="AZ512" i="3"/>
  <c r="BA510" i="3"/>
  <c r="AZ510" i="3"/>
  <c r="BA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AZ555" i="3"/>
  <c r="BA553" i="3"/>
  <c r="BA549" i="3"/>
  <c r="BA547" i="3"/>
  <c r="BA545" i="3"/>
  <c r="BA543" i="3"/>
  <c r="BA541" i="3"/>
  <c r="BA539" i="3"/>
  <c r="BA537" i="3"/>
  <c r="AZ537" i="3"/>
  <c r="BA535" i="3"/>
  <c r="BA533" i="3"/>
  <c r="BA531" i="3"/>
  <c r="BA529" i="3"/>
  <c r="BA527" i="3"/>
  <c r="BA525" i="3"/>
  <c r="BA523" i="3"/>
  <c r="BA519" i="3"/>
  <c r="AZ519" i="3"/>
  <c r="BA517" i="3"/>
  <c r="BA515" i="3"/>
  <c r="AZ515" i="3"/>
  <c r="BA513" i="3"/>
  <c r="BA511" i="3"/>
  <c r="AZ511" i="3"/>
  <c r="BA507" i="3"/>
  <c r="AZ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AZ501" i="3"/>
  <c r="BQ499" i="3"/>
  <c r="BL499" i="3"/>
  <c r="AZ499" i="3"/>
  <c r="BQ497" i="3"/>
  <c r="BL497" i="3"/>
  <c r="AZ497" i="3"/>
  <c r="BQ495" i="3"/>
  <c r="BL495" i="3"/>
  <c r="AZ495" i="3"/>
  <c r="BQ493" i="3"/>
  <c r="AZ584"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c r="W15" i="34"/>
  <c r="AC15" i="34"/>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AC43" i="39"/>
  <c r="W43" i="39"/>
  <c r="U45" i="39"/>
  <c r="AB45" i="39"/>
  <c r="AB44" i="39"/>
  <c r="U44" i="39"/>
  <c r="H37" i="39"/>
  <c r="AB37" i="39"/>
  <c r="AC37" i="39"/>
  <c r="W37" i="39"/>
  <c r="H25" i="39"/>
  <c r="AB25" i="39"/>
  <c r="F25" i="39"/>
  <c r="AA25" i="39"/>
  <c r="F15" i="39"/>
  <c r="AA15" i="39"/>
  <c r="H15" i="39"/>
  <c r="U15" i="39"/>
  <c r="H41" i="39"/>
  <c r="AB41" i="39"/>
  <c r="AB34" i="39"/>
  <c r="W14" i="39"/>
  <c r="AA41" i="39"/>
  <c r="W9" i="39"/>
  <c r="W8" i="39"/>
  <c r="J19" i="40"/>
  <c r="AC19" i="40"/>
  <c r="J50" i="40"/>
  <c r="H103" i="9"/>
  <c r="D8" i="53"/>
  <c r="B16" i="53"/>
  <c r="B33" i="72"/>
  <c r="C7" i="37"/>
  <c r="C7" i="34"/>
  <c r="C59" i="34"/>
  <c r="D59" i="34"/>
  <c r="E59" i="34"/>
  <c r="F59" i="34"/>
  <c r="G59" i="34"/>
  <c r="H59" i="34"/>
  <c r="I59" i="34"/>
  <c r="J59" i="34"/>
  <c r="C7" i="36"/>
  <c r="C46" i="36"/>
  <c r="D46" i="36"/>
  <c r="E46" i="36"/>
  <c r="F46" i="36"/>
  <c r="G46" i="36"/>
  <c r="H46" i="36"/>
  <c r="I46" i="36"/>
  <c r="W35" i="40"/>
  <c r="A118" i="9"/>
  <c r="A4" i="52"/>
  <c r="B41" i="72"/>
  <c r="J11" i="39"/>
  <c r="W11" i="39"/>
  <c r="F11" i="39"/>
  <c r="AA11" i="39"/>
  <c r="G4" i="4"/>
  <c r="I4" i="4"/>
  <c r="K5" i="4"/>
  <c r="B47" i="48"/>
  <c r="A2" i="9"/>
  <c r="F59" i="43"/>
  <c r="H62" i="43"/>
  <c r="AZ20" i="3"/>
  <c r="AZ24" i="3"/>
  <c r="AZ28" i="3"/>
  <c r="AZ32"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G181" i="3"/>
  <c r="BA183" i="3"/>
  <c r="BL184" i="3"/>
  <c r="AZ184" i="3"/>
  <c r="G185" i="3"/>
  <c r="BA187" i="3"/>
  <c r="AZ187" i="3"/>
  <c r="BL188" i="3"/>
  <c r="AZ188" i="3"/>
  <c r="G189" i="3"/>
  <c r="BA191" i="3"/>
  <c r="AZ191" i="3"/>
  <c r="BL192" i="3"/>
  <c r="G193" i="3"/>
  <c r="BA195" i="3"/>
  <c r="AZ195" i="3"/>
  <c r="BL196" i="3"/>
  <c r="AZ196" i="3"/>
  <c r="G197" i="3"/>
  <c r="BA199" i="3"/>
  <c r="AZ199" i="3"/>
  <c r="BL200" i="3"/>
  <c r="G201" i="3"/>
  <c r="BA203" i="3"/>
  <c r="BL204" i="3"/>
  <c r="AZ204" i="3"/>
  <c r="AZ39" i="3"/>
  <c r="AZ43" i="3"/>
  <c r="AZ47" i="3"/>
  <c r="AZ51" i="3"/>
  <c r="AZ59" i="3"/>
  <c r="AZ67" i="3"/>
  <c r="AZ79" i="3"/>
  <c r="AZ83" i="3"/>
  <c r="AZ136" i="3"/>
  <c r="AZ160" i="3"/>
  <c r="AZ168"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AZ342" i="3"/>
  <c r="BL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c r="AZ380" i="3"/>
  <c r="G509" i="3"/>
  <c r="BL493" i="3"/>
  <c r="AZ491" i="3"/>
  <c r="AZ390" i="3"/>
  <c r="AZ493" i="3"/>
  <c r="U36" i="40"/>
  <c r="F36" i="43"/>
  <c r="F81" i="43"/>
  <c r="H83" i="43"/>
  <c r="H113" i="43"/>
  <c r="F48" i="43"/>
  <c r="H52" i="43"/>
  <c r="F70" i="43"/>
  <c r="H77" i="43"/>
  <c r="M11" i="43"/>
  <c r="D17" i="43"/>
  <c r="F39" i="43"/>
  <c r="I17" i="43"/>
  <c r="F35" i="43"/>
  <c r="J17" i="43"/>
  <c r="AC35" i="21"/>
  <c r="U10" i="2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10" i="3"/>
  <c r="H75" i="43"/>
  <c r="I20" i="43"/>
  <c r="C20" i="43"/>
  <c r="H27" i="36"/>
  <c r="U27" i="36"/>
  <c r="F27" i="36"/>
  <c r="AA27" i="36"/>
  <c r="H33" i="34"/>
  <c r="U33" i="34"/>
  <c r="F32" i="37"/>
  <c r="AA32" i="37"/>
  <c r="G96" i="37"/>
  <c r="H96" i="37"/>
  <c r="I96" i="37"/>
  <c r="J96" i="37"/>
  <c r="K96" i="37"/>
  <c r="L96" i="37"/>
  <c r="M96" i="37"/>
  <c r="F20" i="36"/>
  <c r="AA20" i="36"/>
  <c r="J33" i="34"/>
  <c r="AC33" i="34"/>
  <c r="H86" i="43"/>
  <c r="H82" i="43"/>
  <c r="H87" i="43"/>
  <c r="K9" i="1"/>
  <c r="M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AA12" i="33"/>
  <c r="H12" i="39"/>
  <c r="AB12" i="39"/>
  <c r="F39" i="40"/>
  <c r="BA14" i="3"/>
  <c r="AZ14" i="3"/>
  <c r="AZ367" i="3"/>
  <c r="AZ224" i="3"/>
  <c r="AZ234" i="3"/>
  <c r="AZ238" i="3"/>
  <c r="AZ250" i="3"/>
  <c r="AZ254" i="3"/>
  <c r="AZ281" i="3"/>
  <c r="AZ286" i="3"/>
  <c r="AZ297" i="3"/>
  <c r="AZ149" i="3"/>
  <c r="AZ157" i="3"/>
  <c r="AZ165" i="3"/>
  <c r="AZ181" i="3"/>
  <c r="AZ189" i="3"/>
  <c r="AZ197" i="3"/>
  <c r="AZ19" i="3"/>
  <c r="AZ26" i="3"/>
  <c r="AZ35" i="3"/>
  <c r="AZ41" i="3"/>
  <c r="S12" i="1"/>
  <c r="AR12" i="1" s="1"/>
  <c r="R12" i="1"/>
  <c r="B12" i="1"/>
  <c r="E12" i="1"/>
  <c r="S10" i="1"/>
  <c r="AQ10" i="1"/>
  <c r="R10" i="1"/>
  <c r="B10" i="1"/>
  <c r="E10" i="1"/>
  <c r="AZ80" i="3"/>
  <c r="AZ84" i="3"/>
  <c r="AZ88" i="3"/>
  <c r="AZ107" i="3"/>
  <c r="AZ111" i="3"/>
  <c r="K12" i="1"/>
  <c r="M12" i="1"/>
  <c r="S13" i="1"/>
  <c r="AR13" i="1"/>
  <c r="R13" i="1"/>
  <c r="S11" i="1"/>
  <c r="AQ11" i="1" s="1"/>
  <c r="R11" i="1"/>
  <c r="S9" i="1"/>
  <c r="AR9" i="1"/>
  <c r="R9" i="1"/>
  <c r="J51" i="67"/>
  <c r="C42" i="1"/>
  <c r="H100" i="43"/>
  <c r="AC34" i="33"/>
  <c r="AA34" i="33"/>
  <c r="J100" i="43"/>
  <c r="AB37" i="40"/>
  <c r="S35" i="40"/>
  <c r="U35" i="40"/>
  <c r="AC36" i="40"/>
  <c r="AA32" i="40"/>
  <c r="S17" i="40"/>
  <c r="S23" i="40"/>
  <c r="AC17" i="40"/>
  <c r="AC15" i="40"/>
  <c r="AB27" i="40"/>
  <c r="AA19" i="40"/>
  <c r="S28" i="40"/>
  <c r="AA27" i="40"/>
  <c r="U21" i="40"/>
  <c r="AB19" i="40"/>
  <c r="W39" i="39"/>
  <c r="S43" i="39"/>
  <c r="S37" i="39"/>
  <c r="U35" i="39"/>
  <c r="F32" i="39"/>
  <c r="AA32" i="39"/>
  <c r="F21" i="39"/>
  <c r="AA21" i="39"/>
  <c r="H21" i="39"/>
  <c r="W19" i="39"/>
  <c r="U19" i="39"/>
  <c r="AB15" i="39"/>
  <c r="AA12"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AB27" i="35"/>
  <c r="U36" i="35"/>
  <c r="U32" i="35"/>
  <c r="AA33" i="35"/>
  <c r="AC30" i="35"/>
  <c r="S32" i="35"/>
  <c r="AA36" i="35"/>
  <c r="W32" i="35"/>
  <c r="AB16" i="35"/>
  <c r="U22" i="35"/>
  <c r="S22" i="35"/>
  <c r="AC10" i="35"/>
  <c r="AA10" i="35"/>
  <c r="AB10" i="35"/>
  <c r="AA11" i="35"/>
  <c r="S8" i="35"/>
  <c r="W9" i="35"/>
  <c r="AC12" i="35"/>
  <c r="W13" i="35"/>
  <c r="F9" i="35"/>
  <c r="AA9" i="35"/>
  <c r="H9" i="35"/>
  <c r="AB9"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U9" i="37"/>
  <c r="AA13" i="37"/>
  <c r="AA12" i="37"/>
  <c r="AA9" i="37"/>
  <c r="H10" i="37"/>
  <c r="H60" i="37"/>
  <c r="I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c r="H10" i="34"/>
  <c r="F11"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S43" i="33"/>
  <c r="F91" i="33"/>
  <c r="G91" i="33"/>
  <c r="H91" i="33"/>
  <c r="I91" i="33"/>
  <c r="J91" i="33"/>
  <c r="K91" i="33"/>
  <c r="L91" i="33"/>
  <c r="M91" i="33"/>
  <c r="H27" i="33"/>
  <c r="F87" i="33"/>
  <c r="H25" i="33"/>
  <c r="F25" i="33"/>
  <c r="AA25" i="33"/>
  <c r="J23" i="33"/>
  <c r="F85" i="33"/>
  <c r="G85" i="33"/>
  <c r="H23" i="33"/>
  <c r="F81" i="33"/>
  <c r="G81" i="33"/>
  <c r="F19" i="33"/>
  <c r="S19" i="33"/>
  <c r="W19" i="33"/>
  <c r="J17" i="33"/>
  <c r="AC17" i="33"/>
  <c r="F79" i="33"/>
  <c r="S15" i="33"/>
  <c r="W15" i="33"/>
  <c r="U9" i="33"/>
  <c r="I66" i="33"/>
  <c r="J10" i="33"/>
  <c r="W10" i="33"/>
  <c r="H10" i="33"/>
  <c r="AA10" i="33"/>
  <c r="AC11" i="33"/>
  <c r="AB14" i="33"/>
  <c r="W43" i="21"/>
  <c r="W41" i="21"/>
  <c r="AA43" i="21"/>
  <c r="S39" i="21"/>
  <c r="AA38" i="21"/>
  <c r="J15" i="21"/>
  <c r="W15" i="21"/>
  <c r="F23" i="21"/>
  <c r="S23" i="21"/>
  <c r="E85" i="21"/>
  <c r="F85" i="21"/>
  <c r="G85" i="21"/>
  <c r="AA14" i="21"/>
  <c r="AB8" i="21"/>
  <c r="S8" i="21"/>
  <c r="M3" i="43"/>
  <c r="M1" i="43"/>
  <c r="N8" i="43"/>
  <c r="D120" i="9"/>
  <c r="D121" i="9"/>
  <c r="D7" i="52"/>
  <c r="C18" i="9"/>
  <c r="D18" i="9"/>
  <c r="F34" i="67"/>
  <c r="F62" i="67"/>
  <c r="M20" i="67"/>
  <c r="F34" i="15"/>
  <c r="F62" i="15"/>
  <c r="G13" i="3"/>
  <c r="BA13" i="3"/>
  <c r="BL17" i="3"/>
  <c r="AZ17" i="3"/>
  <c r="BL13" i="3"/>
  <c r="AZ13" i="3"/>
  <c r="J56" i="9"/>
  <c r="A24" i="51"/>
  <c r="B18" i="72"/>
  <c r="U29" i="34"/>
  <c r="E5" i="6"/>
  <c r="D9" i="68" s="1"/>
  <c r="C9" i="68" s="1"/>
  <c r="E32" i="6"/>
  <c r="L19" i="6"/>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78" i="43"/>
  <c r="C17" i="43"/>
  <c r="F33" i="43"/>
  <c r="K17" i="43"/>
  <c r="F34" i="43"/>
  <c r="N6" i="43"/>
  <c r="C6" i="43"/>
  <c r="N3" i="43"/>
  <c r="F38" i="43"/>
  <c r="F37" i="43"/>
  <c r="M9" i="43"/>
  <c r="N5" i="43"/>
  <c r="M12" i="43"/>
  <c r="B19" i="53"/>
  <c r="B37" i="72"/>
  <c r="C7" i="39"/>
  <c r="C68" i="39"/>
  <c r="C7" i="35"/>
  <c r="C48" i="35"/>
  <c r="D48" i="35"/>
  <c r="C7" i="33"/>
  <c r="C58" i="33"/>
  <c r="C7" i="21"/>
  <c r="C58" i="21"/>
  <c r="C7" i="40"/>
  <c r="C63" i="40"/>
  <c r="M47" i="9"/>
  <c r="G19" i="43"/>
  <c r="O19" i="43"/>
  <c r="C19" i="43"/>
  <c r="T35" i="4"/>
  <c r="A19" i="51"/>
  <c r="B14" i="72"/>
  <c r="C52" i="37"/>
  <c r="D52" i="37"/>
  <c r="A4" i="51"/>
  <c r="B6" i="72"/>
  <c r="H66" i="43"/>
  <c r="H65" i="43"/>
  <c r="H64" i="43"/>
  <c r="H63" i="43"/>
  <c r="H55" i="43"/>
  <c r="H56" i="43"/>
  <c r="H72" i="43"/>
  <c r="L20" i="6"/>
  <c r="B6" i="1"/>
  <c r="E6" i="1"/>
  <c r="K11" i="1"/>
  <c r="M11" i="1" s="1"/>
  <c r="AP6" i="1"/>
  <c r="B9" i="1"/>
  <c r="E9" i="1"/>
  <c r="W23" i="40"/>
  <c r="U32" i="40"/>
  <c r="AB31" i="40"/>
  <c r="S37" i="40"/>
  <c r="AB28" i="40"/>
  <c r="W28" i="40"/>
  <c r="W34" i="40"/>
  <c r="W19" i="40"/>
  <c r="S36" i="40"/>
  <c r="W37" i="40"/>
  <c r="AC14" i="40"/>
  <c r="S13" i="40"/>
  <c r="S33" i="40"/>
  <c r="AA15" i="40"/>
  <c r="U11" i="40"/>
  <c r="S31" i="40"/>
  <c r="AB13" i="40"/>
  <c r="U15" i="40"/>
  <c r="AB17" i="40"/>
  <c r="U8" i="40"/>
  <c r="S8" i="40"/>
  <c r="AC41" i="39"/>
  <c r="U41" i="39"/>
  <c r="U13" i="39"/>
  <c r="AB13" i="39"/>
  <c r="AA13" i="39"/>
  <c r="S13" i="39"/>
  <c r="S14" i="39"/>
  <c r="AA14" i="39"/>
  <c r="U43" i="39"/>
  <c r="AB43" i="39"/>
  <c r="AB11" i="39"/>
  <c r="S27" i="39"/>
  <c r="W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F37" i="21"/>
  <c r="AA37" i="21"/>
  <c r="AA26" i="21"/>
  <c r="AB14" i="21"/>
  <c r="AB31" i="21"/>
  <c r="U31" i="21"/>
  <c r="U13" i="21"/>
  <c r="AB13" i="21"/>
  <c r="W8" i="21"/>
  <c r="S35" i="21"/>
  <c r="AB37" i="21"/>
  <c r="J37" i="21"/>
  <c r="W37" i="21"/>
  <c r="H15" i="21"/>
  <c r="U15" i="21"/>
  <c r="J17" i="21"/>
  <c r="W17" i="21"/>
  <c r="AC19" i="21"/>
  <c r="AC14" i="21"/>
  <c r="W30" i="21"/>
  <c r="F29" i="21"/>
  <c r="S29" i="21"/>
  <c r="F13" i="21"/>
  <c r="AA13" i="21"/>
  <c r="AC38" i="21"/>
  <c r="H9" i="21"/>
  <c r="U9" i="21"/>
  <c r="J9" i="21"/>
  <c r="AC9" i="21"/>
  <c r="F32" i="21"/>
  <c r="S32" i="21"/>
  <c r="AA31" i="21"/>
  <c r="U17" i="21"/>
  <c r="S19" i="21"/>
  <c r="AA9" i="21"/>
  <c r="K141" i="21"/>
  <c r="K144" i="21"/>
  <c r="K143" i="21"/>
  <c r="U27" i="21"/>
  <c r="AB25" i="21"/>
  <c r="AA30" i="21"/>
  <c r="W13" i="21"/>
  <c r="F10" i="21"/>
  <c r="S10" i="21"/>
  <c r="K145" i="21"/>
  <c r="W25" i="21"/>
  <c r="W31" i="21"/>
  <c r="S27" i="21"/>
  <c r="AA15"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E7" i="70"/>
  <c r="AA39" i="40"/>
  <c r="S39" i="40"/>
  <c r="S12" i="33"/>
  <c r="J32" i="39"/>
  <c r="W32" i="39"/>
  <c r="H32" i="39"/>
  <c r="U32" i="39"/>
  <c r="S32" i="39"/>
  <c r="AB21" i="39"/>
  <c r="U21" i="39"/>
  <c r="S21" i="39"/>
  <c r="AC17" i="37"/>
  <c r="S17" i="37"/>
  <c r="J19" i="37"/>
  <c r="G75" i="37"/>
  <c r="AA19" i="37"/>
  <c r="J23" i="37"/>
  <c r="AC23" i="37"/>
  <c r="G79" i="37"/>
  <c r="J10" i="37"/>
  <c r="W10" i="37"/>
  <c r="G63" i="37"/>
  <c r="H11" i="37"/>
  <c r="AB10" i="37"/>
  <c r="U10" i="37"/>
  <c r="H11" i="34"/>
  <c r="AB10" i="34"/>
  <c r="U10" i="34"/>
  <c r="J10" i="34"/>
  <c r="AC10" i="34"/>
  <c r="AB41" i="33"/>
  <c r="H111" i="33"/>
  <c r="I111" i="33"/>
  <c r="J111" i="33"/>
  <c r="K111" i="33"/>
  <c r="L111" i="33"/>
  <c r="M111" i="33"/>
  <c r="J36" i="33"/>
  <c r="W36" i="33"/>
  <c r="H36" i="33"/>
  <c r="S36" i="33"/>
  <c r="AA36" i="33"/>
  <c r="U27" i="33"/>
  <c r="AB27" i="33"/>
  <c r="J27" i="33"/>
  <c r="AC27" i="33"/>
  <c r="U25" i="33"/>
  <c r="AB25" i="33"/>
  <c r="S25" i="33"/>
  <c r="G87" i="33"/>
  <c r="H87" i="33"/>
  <c r="I87" i="33"/>
  <c r="J87" i="33"/>
  <c r="K87" i="33"/>
  <c r="L87" i="33"/>
  <c r="M87" i="33"/>
  <c r="J25" i="33"/>
  <c r="AB23" i="33"/>
  <c r="U23" i="33"/>
  <c r="F23" i="33"/>
  <c r="S23" i="33"/>
  <c r="AC23" i="33"/>
  <c r="W23" i="33"/>
  <c r="AA19" i="33"/>
  <c r="H19" i="33"/>
  <c r="G79" i="33"/>
  <c r="H17" i="33"/>
  <c r="AB17" i="33"/>
  <c r="F17" i="33"/>
  <c r="S17" i="33"/>
  <c r="U10" i="33"/>
  <c r="AB10" i="33"/>
  <c r="AC10" i="33"/>
  <c r="U33" i="21"/>
  <c r="J23" i="21"/>
  <c r="W23" i="21"/>
  <c r="H23" i="21"/>
  <c r="U23" i="21"/>
  <c r="S13" i="21"/>
  <c r="D6" i="52"/>
  <c r="AP7" i="1"/>
  <c r="AA10" i="21"/>
  <c r="AC32" i="39"/>
  <c r="W19" i="37"/>
  <c r="AC19" i="37"/>
  <c r="W23" i="37"/>
  <c r="AB11" i="37"/>
  <c r="U11" i="37"/>
  <c r="H63" i="37"/>
  <c r="I63" i="37"/>
  <c r="J63" i="37"/>
  <c r="K63" i="37"/>
  <c r="L63" i="37"/>
  <c r="M63" i="37"/>
  <c r="J11" i="37"/>
  <c r="W11" i="37"/>
  <c r="U11" i="34"/>
  <c r="AB11" i="34"/>
  <c r="J11" i="34"/>
  <c r="AC36" i="33"/>
  <c r="U36" i="33"/>
  <c r="AB36" i="33"/>
  <c r="W27" i="33"/>
  <c r="W25" i="33"/>
  <c r="AC25" i="33"/>
  <c r="AB19" i="33"/>
  <c r="U19" i="33"/>
  <c r="AA17" i="33"/>
  <c r="W11" i="34"/>
  <c r="AC11" i="34"/>
  <c r="AE7" i="1"/>
  <c r="AE8" i="1"/>
  <c r="AG6" i="1"/>
  <c r="H109" i="9"/>
  <c r="D124" i="9"/>
  <c r="H110" i="9"/>
  <c r="D18" i="53" s="1"/>
  <c r="B35" i="72" s="1"/>
  <c r="D16" i="53"/>
  <c r="D17" i="53"/>
  <c r="B36" i="72"/>
  <c r="AD3" i="71"/>
  <c r="J1" i="73"/>
  <c r="H76" i="4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G17" i="43"/>
  <c r="C16" i="43"/>
  <c r="E17" i="43"/>
  <c r="C15" i="71"/>
  <c r="D15" i="71"/>
  <c r="D16" i="71"/>
  <c r="D17" i="71"/>
  <c r="U17" i="71"/>
  <c r="S17" i="71"/>
  <c r="T17" i="71"/>
  <c r="AB15" i="71"/>
  <c r="X13" i="71"/>
  <c r="X12" i="71"/>
  <c r="AA13" i="71"/>
  <c r="AA12" i="71"/>
  <c r="X16" i="71"/>
  <c r="Y12" i="71"/>
  <c r="Z12" i="71"/>
  <c r="AB13" i="71"/>
  <c r="AB12" i="71"/>
  <c r="S13" i="71"/>
  <c r="F14" i="71"/>
  <c r="F13" i="71"/>
  <c r="F12" i="71"/>
  <c r="F11" i="71"/>
  <c r="F10" i="71"/>
  <c r="Y13" i="71"/>
  <c r="Z13" i="71"/>
  <c r="X3" i="71"/>
  <c r="C14" i="71"/>
  <c r="C13" i="71"/>
  <c r="G20" i="43"/>
  <c r="E41" i="43"/>
  <c r="C41" i="43"/>
  <c r="W29" i="39"/>
  <c r="E103" i="39"/>
  <c r="F103" i="39"/>
  <c r="G103" i="39"/>
  <c r="E13" i="6"/>
  <c r="E58" i="40" s="1"/>
  <c r="G29" i="6"/>
  <c r="E29" i="6"/>
  <c r="K15" i="1"/>
  <c r="F29" i="6"/>
  <c r="F30" i="6"/>
  <c r="F7" i="1"/>
  <c r="G7" i="1"/>
  <c r="J57" i="9"/>
  <c r="J59" i="9"/>
  <c r="J61" i="9"/>
  <c r="C12" i="71"/>
  <c r="T13" i="71"/>
  <c r="D13" i="71"/>
  <c r="U13" i="71"/>
  <c r="AZ521" i="3"/>
  <c r="G30" i="6"/>
  <c r="E28" i="6"/>
  <c r="K14" i="1"/>
  <c r="M14" i="1"/>
  <c r="C5" i="43"/>
  <c r="D5" i="43"/>
  <c r="H14" i="74"/>
  <c r="B7" i="74"/>
  <c r="D10" i="52"/>
  <c r="D125" i="9"/>
  <c r="D11" i="52"/>
  <c r="AZ529" i="3"/>
  <c r="AZ545" i="3"/>
  <c r="U17" i="33"/>
  <c r="D14" i="71"/>
  <c r="AC11" i="37"/>
  <c r="AA23" i="33"/>
  <c r="W10" i="34"/>
  <c r="AC10" i="37"/>
  <c r="W17" i="33"/>
  <c r="AC32" i="33"/>
  <c r="W35" i="33"/>
  <c r="S9" i="35"/>
  <c r="AC15" i="21"/>
  <c r="B34" i="72"/>
  <c r="AA23" i="37"/>
  <c r="W30" i="40"/>
  <c r="AB34" i="33"/>
  <c r="AB33" i="34"/>
  <c r="AA40" i="34"/>
  <c r="W27" i="40"/>
  <c r="H71" i="43"/>
  <c r="S32" i="37"/>
  <c r="S27" i="36"/>
  <c r="AC27" i="36"/>
  <c r="U25" i="39"/>
  <c r="S30" i="40"/>
  <c r="AA39" i="34"/>
  <c r="H23" i="39"/>
  <c r="U23" i="39"/>
  <c r="F23" i="39"/>
  <c r="AA23" i="39"/>
  <c r="H73" i="43"/>
  <c r="AA14" i="37"/>
  <c r="U31" i="34"/>
  <c r="AA45" i="33"/>
  <c r="AC32" i="40"/>
  <c r="W32" i="40"/>
  <c r="AB14" i="37"/>
  <c r="U14" i="37"/>
  <c r="J29" i="35"/>
  <c r="H87" i="35"/>
  <c r="I87" i="35"/>
  <c r="J87" i="35"/>
  <c r="K87" i="35"/>
  <c r="L87" i="35"/>
  <c r="M87" i="35"/>
  <c r="F29" i="35"/>
  <c r="H74" i="43"/>
  <c r="AA11" i="37"/>
  <c r="H53" i="43"/>
  <c r="S43" i="34"/>
  <c r="U37" i="39"/>
  <c r="H50" i="43"/>
  <c r="U12" i="35"/>
  <c r="AB12" i="35"/>
  <c r="U38" i="40"/>
  <c r="AB38" i="40"/>
  <c r="H39" i="21"/>
  <c r="U39" i="21"/>
  <c r="D23"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F81" i="21"/>
  <c r="G81" i="21"/>
  <c r="AA9" i="33"/>
  <c r="H12" i="36"/>
  <c r="H24" i="36"/>
  <c r="J40" i="39"/>
  <c r="AC40" i="39"/>
  <c r="J38" i="40"/>
  <c r="H39" i="40"/>
  <c r="F38" i="40"/>
  <c r="E523" i="31"/>
  <c r="E518" i="31"/>
  <c r="E513" i="31"/>
  <c r="E507" i="31"/>
  <c r="E502" i="31"/>
  <c r="E497" i="31"/>
  <c r="E491" i="31"/>
  <c r="E486" i="31"/>
  <c r="E481" i="31"/>
  <c r="E475" i="31"/>
  <c r="E470" i="31"/>
  <c r="E465" i="31"/>
  <c r="E459" i="31"/>
  <c r="E454" i="31"/>
  <c r="E449" i="31"/>
  <c r="E443" i="31"/>
  <c r="E438" i="31"/>
  <c r="E433" i="31"/>
  <c r="E427" i="31"/>
  <c r="E422" i="31"/>
  <c r="E417" i="31"/>
  <c r="E411" i="31"/>
  <c r="E406" i="31"/>
  <c r="E401" i="31"/>
  <c r="E395" i="31"/>
  <c r="E390" i="31"/>
  <c r="E385" i="31"/>
  <c r="E379" i="31"/>
  <c r="E374" i="31"/>
  <c r="E369" i="31"/>
  <c r="E363" i="31"/>
  <c r="E358" i="31"/>
  <c r="E353" i="31"/>
  <c r="E347" i="31"/>
  <c r="E342" i="31"/>
  <c r="E337" i="31"/>
  <c r="E331" i="31"/>
  <c r="E326" i="31"/>
  <c r="E321" i="31"/>
  <c r="E315" i="31"/>
  <c r="E310" i="31"/>
  <c r="E305" i="31"/>
  <c r="E299" i="31"/>
  <c r="E294" i="31"/>
  <c r="E289" i="31"/>
  <c r="E283" i="31"/>
  <c r="E278" i="31"/>
  <c r="E273" i="31"/>
  <c r="E267" i="31"/>
  <c r="E262" i="31"/>
  <c r="E257" i="31"/>
  <c r="E251" i="31"/>
  <c r="E246" i="31"/>
  <c r="E241" i="31"/>
  <c r="E235" i="31"/>
  <c r="E230" i="31"/>
  <c r="E225" i="31"/>
  <c r="E219" i="31"/>
  <c r="E211" i="31"/>
  <c r="E203" i="31"/>
  <c r="E195" i="31"/>
  <c r="E187" i="31"/>
  <c r="E179" i="31"/>
  <c r="E171" i="31"/>
  <c r="E163" i="31"/>
  <c r="E155" i="31"/>
  <c r="E147" i="31"/>
  <c r="E139" i="31"/>
  <c r="E131" i="31"/>
  <c r="E123" i="31"/>
  <c r="E115" i="31"/>
  <c r="E107" i="31"/>
  <c r="E99" i="31"/>
  <c r="E91" i="31"/>
  <c r="E83" i="31"/>
  <c r="E75" i="31"/>
  <c r="E67" i="31"/>
  <c r="E59" i="31"/>
  <c r="E51" i="31"/>
  <c r="E43" i="31"/>
  <c r="E35" i="31"/>
  <c r="BL550" i="3"/>
  <c r="AZ550" i="3"/>
  <c r="E25" i="31"/>
  <c r="E28" i="31"/>
  <c r="E522" i="31"/>
  <c r="E517" i="31"/>
  <c r="E511" i="31"/>
  <c r="E506" i="31"/>
  <c r="E501" i="31"/>
  <c r="E495" i="31"/>
  <c r="E490" i="31"/>
  <c r="E485" i="31"/>
  <c r="E479" i="31"/>
  <c r="E474" i="31"/>
  <c r="E469" i="31"/>
  <c r="E463" i="31"/>
  <c r="E458" i="31"/>
  <c r="E453" i="31"/>
  <c r="E447" i="31"/>
  <c r="E442" i="31"/>
  <c r="E437" i="31"/>
  <c r="E431" i="31"/>
  <c r="E426" i="31"/>
  <c r="E421" i="31"/>
  <c r="E415" i="31"/>
  <c r="E410" i="31"/>
  <c r="E405" i="31"/>
  <c r="E399" i="31"/>
  <c r="E394" i="31"/>
  <c r="E389" i="31"/>
  <c r="E383" i="31"/>
  <c r="E378" i="31"/>
  <c r="E373" i="31"/>
  <c r="E367" i="31"/>
  <c r="E362" i="31"/>
  <c r="E357" i="31"/>
  <c r="E351" i="31"/>
  <c r="E346" i="31"/>
  <c r="E341" i="31"/>
  <c r="E335" i="31"/>
  <c r="E330" i="31"/>
  <c r="E325" i="31"/>
  <c r="E319" i="31"/>
  <c r="E314" i="31"/>
  <c r="E309" i="31"/>
  <c r="E303" i="31"/>
  <c r="E298" i="31"/>
  <c r="E293" i="31"/>
  <c r="E287" i="31"/>
  <c r="E282" i="31"/>
  <c r="E277" i="31"/>
  <c r="E271" i="31"/>
  <c r="E266" i="31"/>
  <c r="E261" i="31"/>
  <c r="E255" i="31"/>
  <c r="E250" i="31"/>
  <c r="E245" i="31"/>
  <c r="E239" i="31"/>
  <c r="E234" i="31"/>
  <c r="E229" i="31"/>
  <c r="E223" i="31"/>
  <c r="E217" i="31"/>
  <c r="E209" i="31"/>
  <c r="E201" i="31"/>
  <c r="E193" i="31"/>
  <c r="E185" i="31"/>
  <c r="E177" i="31"/>
  <c r="E169" i="31"/>
  <c r="E161" i="31"/>
  <c r="E153" i="31"/>
  <c r="E145" i="31"/>
  <c r="E137" i="31"/>
  <c r="E129" i="31"/>
  <c r="E121" i="31"/>
  <c r="E113" i="31"/>
  <c r="E105" i="31"/>
  <c r="E97" i="31"/>
  <c r="E89" i="31"/>
  <c r="E81" i="31"/>
  <c r="E73" i="31"/>
  <c r="E65" i="31"/>
  <c r="E57" i="31"/>
  <c r="E49" i="31"/>
  <c r="E41" i="31"/>
  <c r="E33" i="31"/>
  <c r="W33" i="33"/>
  <c r="O29" i="31"/>
  <c r="O33" i="31"/>
  <c r="O37" i="31"/>
  <c r="O41" i="31"/>
  <c r="O45" i="31"/>
  <c r="O49" i="31"/>
  <c r="O53" i="31"/>
  <c r="O57" i="31"/>
  <c r="O61" i="31"/>
  <c r="O65" i="31"/>
  <c r="O69" i="31"/>
  <c r="O73" i="31"/>
  <c r="O77" i="31"/>
  <c r="O81" i="31"/>
  <c r="O85" i="31"/>
  <c r="O89" i="31"/>
  <c r="O93" i="31"/>
  <c r="O97" i="31"/>
  <c r="O101" i="31"/>
  <c r="O105" i="31"/>
  <c r="O109" i="31"/>
  <c r="O113" i="31"/>
  <c r="O117" i="31"/>
  <c r="O121" i="31"/>
  <c r="O125" i="31"/>
  <c r="O129" i="31"/>
  <c r="O133" i="31"/>
  <c r="O137" i="31"/>
  <c r="O141" i="31"/>
  <c r="O145" i="31"/>
  <c r="O149" i="31"/>
  <c r="O153" i="31"/>
  <c r="O157" i="31"/>
  <c r="O161" i="31"/>
  <c r="O165" i="31"/>
  <c r="O169" i="31"/>
  <c r="O173" i="31"/>
  <c r="O177" i="31"/>
  <c r="O181" i="31"/>
  <c r="O185" i="31"/>
  <c r="O189" i="31"/>
  <c r="O193" i="31"/>
  <c r="O197" i="31"/>
  <c r="O201" i="31"/>
  <c r="O205" i="31"/>
  <c r="O209" i="31"/>
  <c r="O213" i="31"/>
  <c r="O217" i="31"/>
  <c r="O31" i="31"/>
  <c r="O36" i="31"/>
  <c r="O42" i="31"/>
  <c r="O47" i="31"/>
  <c r="O52" i="31"/>
  <c r="O58" i="31"/>
  <c r="O63" i="31"/>
  <c r="O68" i="31"/>
  <c r="O74" i="31"/>
  <c r="O79" i="31"/>
  <c r="O84" i="31"/>
  <c r="O90" i="31"/>
  <c r="O95" i="31"/>
  <c r="O100" i="31"/>
  <c r="O106" i="31"/>
  <c r="O111" i="31"/>
  <c r="O116" i="31"/>
  <c r="O122" i="31"/>
  <c r="O127" i="31"/>
  <c r="O132" i="31"/>
  <c r="O138" i="31"/>
  <c r="O143" i="31"/>
  <c r="O148" i="31"/>
  <c r="O154" i="31"/>
  <c r="O159" i="31"/>
  <c r="O164" i="31"/>
  <c r="O170" i="31"/>
  <c r="O175" i="31"/>
  <c r="O180" i="31"/>
  <c r="O186" i="31"/>
  <c r="O191" i="31"/>
  <c r="O196" i="31"/>
  <c r="O202" i="31"/>
  <c r="O207" i="31"/>
  <c r="O212"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32" i="31"/>
  <c r="O38" i="31"/>
  <c r="O43" i="31"/>
  <c r="O48" i="31"/>
  <c r="O54" i="31"/>
  <c r="O59" i="31"/>
  <c r="O64" i="31"/>
  <c r="O70" i="31"/>
  <c r="O75" i="31"/>
  <c r="O80" i="31"/>
  <c r="O86" i="31"/>
  <c r="O91" i="31"/>
  <c r="O96" i="31"/>
  <c r="O102" i="31"/>
  <c r="O107" i="31"/>
  <c r="O112" i="31"/>
  <c r="O118" i="31"/>
  <c r="O123" i="31"/>
  <c r="O128" i="31"/>
  <c r="O134" i="31"/>
  <c r="O139" i="31"/>
  <c r="O144" i="31"/>
  <c r="O150" i="31"/>
  <c r="O155" i="31"/>
  <c r="O160" i="31"/>
  <c r="O166" i="31"/>
  <c r="O171" i="31"/>
  <c r="O176" i="31"/>
  <c r="O182" i="31"/>
  <c r="O187" i="31"/>
  <c r="O192" i="31"/>
  <c r="O198" i="31"/>
  <c r="O203" i="31"/>
  <c r="O208" i="31"/>
  <c r="O214" i="31"/>
  <c r="O219" i="31"/>
  <c r="O223" i="31"/>
  <c r="O227" i="31"/>
  <c r="O231" i="31"/>
  <c r="O235" i="31"/>
  <c r="O239" i="31"/>
  <c r="O243" i="31"/>
  <c r="O247" i="31"/>
  <c r="O251" i="31"/>
  <c r="O255" i="31"/>
  <c r="O259" i="31"/>
  <c r="O263" i="31"/>
  <c r="O267" i="31"/>
  <c r="O271" i="31"/>
  <c r="O275" i="31"/>
  <c r="O279" i="31"/>
  <c r="O283" i="31"/>
  <c r="O287" i="31"/>
  <c r="O291" i="31"/>
  <c r="O295" i="31"/>
  <c r="O299" i="31"/>
  <c r="O303" i="31"/>
  <c r="O307" i="31"/>
  <c r="O311" i="31"/>
  <c r="O315" i="31"/>
  <c r="O319" i="31"/>
  <c r="O323" i="31"/>
  <c r="O327" i="31"/>
  <c r="O331" i="31"/>
  <c r="O335" i="31"/>
  <c r="O339" i="31"/>
  <c r="O343" i="31"/>
  <c r="O347" i="31"/>
  <c r="O351" i="31"/>
  <c r="O355" i="31"/>
  <c r="O359" i="31"/>
  <c r="O363" i="31"/>
  <c r="O367" i="31"/>
  <c r="O371" i="31"/>
  <c r="O375" i="31"/>
  <c r="O379" i="31"/>
  <c r="O383" i="31"/>
  <c r="O387" i="31"/>
  <c r="O391" i="31"/>
  <c r="O395" i="31"/>
  <c r="O399" i="31"/>
  <c r="O403" i="31"/>
  <c r="O407" i="31"/>
  <c r="O411" i="31"/>
  <c r="O415" i="31"/>
  <c r="O419" i="31"/>
  <c r="O423" i="31"/>
  <c r="O427" i="31"/>
  <c r="O431" i="31"/>
  <c r="O435" i="31"/>
  <c r="O439" i="31"/>
  <c r="O443" i="31"/>
  <c r="O447" i="31"/>
  <c r="O451" i="31"/>
  <c r="O455" i="31"/>
  <c r="O459" i="31"/>
  <c r="O463" i="31"/>
  <c r="O467" i="31"/>
  <c r="O471" i="31"/>
  <c r="O475" i="31"/>
  <c r="O479" i="31"/>
  <c r="O483" i="31"/>
  <c r="O487" i="31"/>
  <c r="O491" i="31"/>
  <c r="O495" i="31"/>
  <c r="O499" i="31"/>
  <c r="O503" i="31"/>
  <c r="O507" i="31"/>
  <c r="O511" i="31"/>
  <c r="O515" i="31"/>
  <c r="O519" i="31"/>
  <c r="O523" i="31"/>
  <c r="O34" i="31"/>
  <c r="O39" i="31"/>
  <c r="O44" i="31"/>
  <c r="O50" i="31"/>
  <c r="O55" i="31"/>
  <c r="O60" i="31"/>
  <c r="O66" i="31"/>
  <c r="O71" i="31"/>
  <c r="O76" i="31"/>
  <c r="O82" i="31"/>
  <c r="O87" i="31"/>
  <c r="O92" i="31"/>
  <c r="O98" i="31"/>
  <c r="O103" i="31"/>
  <c r="O108" i="31"/>
  <c r="O114" i="31"/>
  <c r="O119" i="31"/>
  <c r="O124" i="31"/>
  <c r="O130" i="31"/>
  <c r="O135" i="31"/>
  <c r="O140" i="31"/>
  <c r="O146" i="31"/>
  <c r="O151" i="31"/>
  <c r="O156" i="31"/>
  <c r="O162" i="31"/>
  <c r="O167" i="31"/>
  <c r="O172" i="31"/>
  <c r="O178" i="31"/>
  <c r="O183" i="31"/>
  <c r="O188" i="31"/>
  <c r="O194" i="31"/>
  <c r="O199" i="31"/>
  <c r="O204" i="31"/>
  <c r="O210" i="31"/>
  <c r="O215"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5" i="31"/>
  <c r="O40" i="31"/>
  <c r="O46" i="31"/>
  <c r="O51" i="31"/>
  <c r="O56" i="31"/>
  <c r="O62" i="31"/>
  <c r="O67" i="31"/>
  <c r="O72" i="31"/>
  <c r="O78" i="31"/>
  <c r="O83" i="31"/>
  <c r="O88" i="31"/>
  <c r="O94" i="31"/>
  <c r="O99" i="31"/>
  <c r="O104" i="31"/>
  <c r="O110" i="31"/>
  <c r="O115" i="31"/>
  <c r="O120" i="31"/>
  <c r="O126" i="31"/>
  <c r="O131" i="31"/>
  <c r="O136" i="31"/>
  <c r="O142" i="31"/>
  <c r="O147" i="31"/>
  <c r="O152" i="31"/>
  <c r="O158" i="31"/>
  <c r="O163" i="31"/>
  <c r="O168" i="31"/>
  <c r="O174" i="31"/>
  <c r="O179" i="31"/>
  <c r="O184" i="31"/>
  <c r="O190" i="31"/>
  <c r="O195" i="31"/>
  <c r="O200" i="31"/>
  <c r="O206" i="31"/>
  <c r="O211" i="31"/>
  <c r="O216" i="31"/>
  <c r="O221" i="31"/>
  <c r="O225" i="31"/>
  <c r="O229" i="31"/>
  <c r="O233" i="31"/>
  <c r="O237" i="31"/>
  <c r="O241" i="31"/>
  <c r="O245" i="31"/>
  <c r="O249" i="31"/>
  <c r="O253" i="31"/>
  <c r="O257" i="31"/>
  <c r="O261" i="31"/>
  <c r="O265" i="31"/>
  <c r="O269" i="31"/>
  <c r="O273" i="31"/>
  <c r="O277" i="31"/>
  <c r="O281" i="31"/>
  <c r="O285" i="31"/>
  <c r="O289" i="31"/>
  <c r="O293" i="31"/>
  <c r="O297" i="31"/>
  <c r="O301" i="31"/>
  <c r="O305" i="31"/>
  <c r="O309" i="31"/>
  <c r="O313" i="31"/>
  <c r="O317" i="31"/>
  <c r="O321" i="31"/>
  <c r="O325" i="31"/>
  <c r="O329" i="31"/>
  <c r="O333" i="31"/>
  <c r="O337" i="31"/>
  <c r="O341" i="31"/>
  <c r="O345" i="31"/>
  <c r="O349" i="31"/>
  <c r="O353" i="31"/>
  <c r="O357" i="31"/>
  <c r="O361" i="31"/>
  <c r="O365" i="31"/>
  <c r="O369" i="31"/>
  <c r="O373" i="31"/>
  <c r="O377" i="31"/>
  <c r="O381" i="31"/>
  <c r="O385" i="31"/>
  <c r="O389" i="31"/>
  <c r="O393" i="31"/>
  <c r="O397" i="31"/>
  <c r="O401" i="31"/>
  <c r="O405" i="31"/>
  <c r="O409" i="31"/>
  <c r="O413" i="31"/>
  <c r="O417" i="31"/>
  <c r="O421" i="31"/>
  <c r="O425" i="31"/>
  <c r="O429" i="31"/>
  <c r="O433" i="31"/>
  <c r="O437" i="31"/>
  <c r="O441" i="31"/>
  <c r="O445" i="31"/>
  <c r="O449" i="31"/>
  <c r="O453" i="31"/>
  <c r="O457" i="31"/>
  <c r="O461" i="31"/>
  <c r="O465" i="31"/>
  <c r="O469" i="31"/>
  <c r="O473" i="31"/>
  <c r="O477" i="31"/>
  <c r="O481" i="31"/>
  <c r="O485" i="31"/>
  <c r="O489" i="31"/>
  <c r="O493" i="31"/>
  <c r="O497" i="31"/>
  <c r="O501" i="31"/>
  <c r="O505" i="31"/>
  <c r="O509" i="31"/>
  <c r="O513" i="31"/>
  <c r="O517" i="31"/>
  <c r="O521" i="31"/>
  <c r="J14" i="35"/>
  <c r="G556" i="3"/>
  <c r="BA551" i="3"/>
  <c r="AZ551" i="3"/>
  <c r="E27" i="31"/>
  <c r="E521" i="31"/>
  <c r="E515" i="31"/>
  <c r="E510" i="31"/>
  <c r="E505" i="31"/>
  <c r="E499" i="31"/>
  <c r="E494" i="31"/>
  <c r="E489" i="31"/>
  <c r="E483" i="31"/>
  <c r="E478" i="31"/>
  <c r="E473" i="31"/>
  <c r="E467" i="31"/>
  <c r="E462" i="31"/>
  <c r="E457" i="31"/>
  <c r="E451" i="31"/>
  <c r="E446" i="31"/>
  <c r="E441" i="31"/>
  <c r="E435" i="31"/>
  <c r="E430" i="31"/>
  <c r="E425" i="31"/>
  <c r="E419" i="31"/>
  <c r="E414" i="31"/>
  <c r="E409" i="31"/>
  <c r="E403" i="31"/>
  <c r="E398" i="31"/>
  <c r="E393" i="31"/>
  <c r="E387" i="31"/>
  <c r="E382" i="31"/>
  <c r="E377" i="31"/>
  <c r="E371" i="31"/>
  <c r="E366" i="31"/>
  <c r="E361" i="31"/>
  <c r="E355" i="31"/>
  <c r="E350" i="31"/>
  <c r="E345" i="31"/>
  <c r="E339" i="31"/>
  <c r="E334" i="31"/>
  <c r="E329" i="31"/>
  <c r="E323" i="31"/>
  <c r="E318" i="31"/>
  <c r="E313" i="31"/>
  <c r="E307" i="31"/>
  <c r="E302" i="31"/>
  <c r="E297" i="31"/>
  <c r="E291" i="31"/>
  <c r="E286" i="31"/>
  <c r="E281" i="31"/>
  <c r="E275" i="31"/>
  <c r="E270" i="31"/>
  <c r="E265" i="31"/>
  <c r="E259" i="31"/>
  <c r="E254" i="31"/>
  <c r="E249" i="31"/>
  <c r="E243" i="31"/>
  <c r="E238" i="31"/>
  <c r="E233" i="31"/>
  <c r="E227" i="31"/>
  <c r="E222" i="31"/>
  <c r="E215" i="31"/>
  <c r="E207" i="31"/>
  <c r="E199" i="31"/>
  <c r="E191" i="31"/>
  <c r="E183" i="31"/>
  <c r="E175" i="31"/>
  <c r="E167" i="31"/>
  <c r="E159" i="31"/>
  <c r="E151" i="31"/>
  <c r="E143" i="31"/>
  <c r="E135" i="31"/>
  <c r="E127" i="31"/>
  <c r="E119" i="31"/>
  <c r="E111" i="31"/>
  <c r="E103" i="31"/>
  <c r="E95" i="31"/>
  <c r="E87" i="31"/>
  <c r="E79" i="31"/>
  <c r="E71" i="31"/>
  <c r="E63" i="31"/>
  <c r="E55" i="31"/>
  <c r="E47" i="31"/>
  <c r="E39" i="31"/>
  <c r="E31" i="31"/>
  <c r="N23" i="31"/>
  <c r="E26" i="31"/>
  <c r="E519" i="31"/>
  <c r="E514" i="31"/>
  <c r="E509" i="31"/>
  <c r="E503" i="31"/>
  <c r="E498" i="31"/>
  <c r="E493" i="31"/>
  <c r="E487" i="31"/>
  <c r="E482" i="31"/>
  <c r="E477" i="31"/>
  <c r="E471" i="31"/>
  <c r="E466" i="31"/>
  <c r="E461" i="31"/>
  <c r="E455" i="31"/>
  <c r="E450" i="31"/>
  <c r="E445" i="31"/>
  <c r="E439" i="31"/>
  <c r="E434" i="31"/>
  <c r="E429" i="31"/>
  <c r="E423" i="31"/>
  <c r="E418" i="31"/>
  <c r="E413" i="31"/>
  <c r="E407" i="31"/>
  <c r="E402" i="31"/>
  <c r="E397" i="31"/>
  <c r="E391" i="31"/>
  <c r="E386" i="31"/>
  <c r="E381" i="31"/>
  <c r="E375" i="31"/>
  <c r="E370" i="31"/>
  <c r="E365" i="31"/>
  <c r="E359" i="31"/>
  <c r="E354" i="31"/>
  <c r="E349" i="31"/>
  <c r="E343" i="31"/>
  <c r="E338" i="31"/>
  <c r="E333" i="31"/>
  <c r="E327" i="31"/>
  <c r="E322" i="31"/>
  <c r="E317" i="31"/>
  <c r="E311" i="31"/>
  <c r="E306" i="31"/>
  <c r="E301" i="31"/>
  <c r="E295" i="31"/>
  <c r="E290" i="31"/>
  <c r="E285" i="31"/>
  <c r="E279" i="31"/>
  <c r="E274" i="31"/>
  <c r="E269" i="31"/>
  <c r="E263" i="31"/>
  <c r="E258" i="31"/>
  <c r="E253" i="31"/>
  <c r="E247" i="31"/>
  <c r="E242" i="31"/>
  <c r="E237" i="31"/>
  <c r="E231" i="31"/>
  <c r="E226" i="31"/>
  <c r="E221" i="31"/>
  <c r="E213" i="31"/>
  <c r="E205" i="31"/>
  <c r="E197" i="31"/>
  <c r="E189" i="31"/>
  <c r="E181" i="31"/>
  <c r="E173" i="31"/>
  <c r="E165" i="31"/>
  <c r="E157" i="31"/>
  <c r="E149" i="31"/>
  <c r="E141" i="31"/>
  <c r="E133" i="31"/>
  <c r="E125" i="31"/>
  <c r="E117" i="31"/>
  <c r="E109" i="31"/>
  <c r="E101" i="31"/>
  <c r="E93" i="31"/>
  <c r="E85" i="31"/>
  <c r="E77" i="31"/>
  <c r="E69" i="31"/>
  <c r="E61" i="31"/>
  <c r="E53" i="31"/>
  <c r="E45" i="31"/>
  <c r="E37" i="31"/>
  <c r="E29" i="31"/>
  <c r="AZ399" i="3"/>
  <c r="AZ403" i="3"/>
  <c r="AZ415" i="3"/>
  <c r="AZ422" i="3"/>
  <c r="AZ423" i="3"/>
  <c r="AZ427" i="3"/>
  <c r="AZ429" i="3"/>
  <c r="AZ436" i="3"/>
  <c r="AZ481" i="3"/>
  <c r="AZ416" i="3"/>
  <c r="AZ418" i="3"/>
  <c r="AZ419" i="3"/>
  <c r="AZ430" i="3"/>
  <c r="AZ434" i="3"/>
  <c r="AZ450" i="3"/>
  <c r="AZ451" i="3"/>
  <c r="AZ405" i="3"/>
  <c r="AZ409" i="3"/>
  <c r="AZ439" i="3"/>
  <c r="AZ446" i="3"/>
  <c r="AZ447" i="3"/>
  <c r="AZ461" i="3"/>
  <c r="AZ469" i="3"/>
  <c r="AZ475" i="3"/>
  <c r="AZ479" i="3"/>
  <c r="AZ483" i="3"/>
  <c r="A15" i="62"/>
  <c r="B61" i="72"/>
  <c r="G491" i="3"/>
  <c r="BL312" i="3"/>
  <c r="AZ312" i="3"/>
  <c r="BL317" i="3"/>
  <c r="AZ317" i="3"/>
  <c r="BA323" i="3"/>
  <c r="AZ323" i="3"/>
  <c r="BL365" i="3"/>
  <c r="AZ365" i="3"/>
  <c r="BA388" i="3"/>
  <c r="AZ388" i="3"/>
  <c r="BL396" i="3"/>
  <c r="AZ396" i="3"/>
  <c r="AZ212" i="3"/>
  <c r="AZ230" i="3"/>
  <c r="AZ242" i="3"/>
  <c r="AZ246" i="3"/>
  <c r="AZ267" i="3"/>
  <c r="AZ270" i="3"/>
  <c r="AZ277" i="3"/>
  <c r="AZ122" i="3"/>
  <c r="AZ134" i="3"/>
  <c r="AZ113" i="3"/>
  <c r="AZ126" i="3"/>
  <c r="AZ208" i="3"/>
  <c r="AZ216" i="3"/>
  <c r="AZ219" i="3"/>
  <c r="AZ225" i="3"/>
  <c r="AZ129" i="3"/>
  <c r="BL314" i="3"/>
  <c r="AZ314" i="3"/>
  <c r="BL330" i="3"/>
  <c r="AZ330" i="3"/>
  <c r="BL333" i="3"/>
  <c r="AZ333" i="3"/>
  <c r="BA339" i="3"/>
  <c r="AZ339" i="3"/>
  <c r="BL354" i="3"/>
  <c r="AZ354" i="3"/>
  <c r="BA210" i="3"/>
  <c r="AZ210" i="3"/>
  <c r="AZ211" i="3"/>
  <c r="BA213" i="3"/>
  <c r="AZ213" i="3"/>
  <c r="AZ217" i="3"/>
  <c r="AZ220" i="3"/>
  <c r="AZ278" i="3"/>
  <c r="AZ293" i="3"/>
  <c r="AZ294" i="3"/>
  <c r="AZ118" i="3"/>
  <c r="AZ121" i="3"/>
  <c r="BL173" i="3"/>
  <c r="AZ173" i="3"/>
  <c r="BA180" i="3"/>
  <c r="AZ180" i="3"/>
  <c r="AZ193" i="3"/>
  <c r="AZ201" i="3"/>
  <c r="AZ25" i="3"/>
  <c r="AZ30" i="3"/>
  <c r="AZ52" i="3"/>
  <c r="AZ54" i="3"/>
  <c r="AZ57" i="3"/>
  <c r="BA169" i="3"/>
  <c r="AZ169" i="3"/>
  <c r="BA170" i="3"/>
  <c r="AZ170" i="3"/>
  <c r="BL174" i="3"/>
  <c r="AZ174" i="3"/>
  <c r="BL177" i="3"/>
  <c r="BL183" i="3"/>
  <c r="AZ183" i="3"/>
  <c r="BL203" i="3"/>
  <c r="AZ203" i="3"/>
  <c r="AZ23" i="3"/>
  <c r="AZ177" i="3"/>
  <c r="AZ18" i="3"/>
  <c r="AZ38" i="3"/>
  <c r="BL55" i="3"/>
  <c r="BL5" i="3"/>
  <c r="BA58" i="3"/>
  <c r="AZ58" i="3"/>
  <c r="BL60" i="3"/>
  <c r="AZ60" i="3"/>
  <c r="AZ5" i="3"/>
  <c r="E3" i="6"/>
  <c r="D14" i="12" s="1"/>
  <c r="AZ76" i="3"/>
  <c r="AZ87" i="3"/>
  <c r="G54" i="3"/>
  <c r="BA55" i="3"/>
  <c r="AZ55" i="3"/>
  <c r="BA63" i="3"/>
  <c r="AZ63" i="3"/>
  <c r="BA71" i="3"/>
  <c r="AZ71" i="3"/>
  <c r="BL73" i="3"/>
  <c r="AZ73" i="3"/>
  <c r="AZ78" i="3"/>
  <c r="AZ90" i="3"/>
  <c r="AZ91" i="3"/>
  <c r="AZ95" i="3"/>
  <c r="D55" i="71"/>
  <c r="C56" i="71"/>
  <c r="Q59" i="71"/>
  <c r="Q58" i="71"/>
  <c r="BA56" i="3"/>
  <c r="AZ56" i="3"/>
  <c r="G59" i="3"/>
  <c r="BA64" i="3"/>
  <c r="AZ64" i="3"/>
  <c r="G67" i="3"/>
  <c r="BL75" i="3"/>
  <c r="AZ75" i="3"/>
  <c r="G77" i="3"/>
  <c r="BL81" i="3"/>
  <c r="AZ96" i="3"/>
  <c r="AZ98" i="3"/>
  <c r="BA100" i="3"/>
  <c r="AZ100" i="3"/>
  <c r="BA102" i="3"/>
  <c r="AZ102" i="3"/>
  <c r="G106" i="3"/>
  <c r="G109" i="3"/>
  <c r="G111" i="3"/>
  <c r="BL112" i="3"/>
  <c r="AZ112" i="3"/>
  <c r="AZ81" i="3"/>
  <c r="AB21" i="33"/>
  <c r="W18" i="36"/>
  <c r="C21" i="71"/>
  <c r="Y7" i="71"/>
  <c r="Z7" i="71"/>
  <c r="E23" i="71"/>
  <c r="E24" i="71"/>
  <c r="E25" i="71"/>
  <c r="U25" i="71"/>
  <c r="AA22" i="71"/>
  <c r="AD12" i="43"/>
  <c r="AD10" i="43"/>
  <c r="N56" i="9"/>
  <c r="M56" i="9"/>
  <c r="AA17" i="71"/>
  <c r="E17" i="71"/>
  <c r="AA15" i="71"/>
  <c r="Y14" i="71"/>
  <c r="Z14" i="71"/>
  <c r="X11" i="71"/>
  <c r="X5" i="71"/>
  <c r="X10" i="71"/>
  <c r="C29" i="39"/>
  <c r="Y19" i="71"/>
  <c r="Z19" i="71"/>
  <c r="X25" i="71"/>
  <c r="AB22" i="71"/>
  <c r="AB24" i="71"/>
  <c r="Y27" i="71"/>
  <c r="Z27" i="71"/>
  <c r="AB28" i="71"/>
  <c r="Y29" i="71"/>
  <c r="Z29" i="71"/>
  <c r="F32" i="71"/>
  <c r="F33" i="71"/>
  <c r="V33" i="71"/>
  <c r="S61" i="71"/>
  <c r="B60" i="71"/>
  <c r="N61" i="71"/>
  <c r="Y17" i="71"/>
  <c r="Z17" i="71"/>
  <c r="X17" i="71"/>
  <c r="AB14" i="71"/>
  <c r="X15" i="71"/>
  <c r="Y11" i="71"/>
  <c r="Z11" i="71"/>
  <c r="Y6" i="71"/>
  <c r="Z6" i="71"/>
  <c r="U18" i="36"/>
  <c r="C25" i="40"/>
  <c r="D60" i="71"/>
  <c r="AB18" i="71"/>
  <c r="X18" i="71"/>
  <c r="Y21" i="71"/>
  <c r="Z21" i="71"/>
  <c r="AA27" i="71"/>
  <c r="AA24" i="71"/>
  <c r="Y22" i="71"/>
  <c r="Z22" i="71"/>
  <c r="B24" i="71"/>
  <c r="B25" i="71"/>
  <c r="S25" i="71"/>
  <c r="F64" i="71"/>
  <c r="F63" i="71"/>
  <c r="K56" i="9"/>
  <c r="AA16" i="71"/>
  <c r="AA11" i="71"/>
  <c r="AB5" i="71"/>
  <c r="Y10" i="71"/>
  <c r="Z10" i="71"/>
  <c r="AB11" i="71"/>
  <c r="AA10" i="71"/>
  <c r="D23" i="67"/>
  <c r="Y18" i="71"/>
  <c r="Z18" i="71"/>
  <c r="AA23" i="71"/>
  <c r="X24" i="71"/>
  <c r="AB25" i="71"/>
  <c r="F27" i="71"/>
  <c r="F28" i="71"/>
  <c r="F29" i="71"/>
  <c r="V29" i="71"/>
  <c r="Y28" i="71"/>
  <c r="Z28" i="71"/>
  <c r="AB10" i="43"/>
  <c r="AF12" i="43"/>
  <c r="AF10" i="43"/>
  <c r="AB17" i="71"/>
  <c r="Y16" i="71"/>
  <c r="Z16" i="71"/>
  <c r="X14" i="71"/>
  <c r="AA14" i="71"/>
  <c r="AA8" i="71"/>
  <c r="AA6" i="71"/>
  <c r="Y15" i="71"/>
  <c r="Z15" i="71"/>
  <c r="AB16" i="71"/>
  <c r="AB8" i="71"/>
  <c r="AB10" i="71"/>
  <c r="AB6" i="71"/>
  <c r="AA7" i="71"/>
  <c r="X8" i="71"/>
  <c r="AB7" i="71"/>
  <c r="Y5" i="71"/>
  <c r="Z5" i="71"/>
  <c r="X6" i="71"/>
  <c r="AA5" i="71"/>
  <c r="X7" i="71"/>
  <c r="J11" i="21"/>
  <c r="W11" i="2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36" i="31"/>
  <c r="M44" i="31"/>
  <c r="M52" i="31"/>
  <c r="M60" i="31"/>
  <c r="M68" i="31"/>
  <c r="M76" i="31"/>
  <c r="M84" i="31"/>
  <c r="M92" i="31"/>
  <c r="M100" i="31"/>
  <c r="M108" i="31"/>
  <c r="M116" i="31"/>
  <c r="M124" i="31"/>
  <c r="M132" i="31"/>
  <c r="M140" i="31"/>
  <c r="M148" i="31"/>
  <c r="M156" i="31"/>
  <c r="M164" i="31"/>
  <c r="M172" i="31"/>
  <c r="M180" i="31"/>
  <c r="M188" i="31"/>
  <c r="M196" i="31"/>
  <c r="M201" i="31"/>
  <c r="M205" i="31"/>
  <c r="M209" i="31"/>
  <c r="M213" i="31"/>
  <c r="M217" i="31"/>
  <c r="M221" i="31"/>
  <c r="M225" i="31"/>
  <c r="M229" i="31"/>
  <c r="M233" i="31"/>
  <c r="M237" i="31"/>
  <c r="M241" i="31"/>
  <c r="M245" i="31"/>
  <c r="M249" i="31"/>
  <c r="M253" i="31"/>
  <c r="M257" i="31"/>
  <c r="M261" i="31"/>
  <c r="M265" i="31"/>
  <c r="M269" i="31"/>
  <c r="M273" i="31"/>
  <c r="M277" i="31"/>
  <c r="M281" i="31"/>
  <c r="M285" i="31"/>
  <c r="M289" i="31"/>
  <c r="M293" i="31"/>
  <c r="M297" i="31"/>
  <c r="M301" i="31"/>
  <c r="M305" i="31"/>
  <c r="M309" i="31"/>
  <c r="M313" i="31"/>
  <c r="M317"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47" i="31"/>
  <c r="M439" i="31"/>
  <c r="M431" i="31"/>
  <c r="M423" i="31"/>
  <c r="M415" i="31"/>
  <c r="M407" i="31"/>
  <c r="M399" i="31"/>
  <c r="M391" i="31"/>
  <c r="M383" i="31"/>
  <c r="M375" i="31"/>
  <c r="M367" i="31"/>
  <c r="M359" i="31"/>
  <c r="M351" i="31"/>
  <c r="M343" i="31"/>
  <c r="M335" i="31"/>
  <c r="M327" i="31"/>
  <c r="M319" i="31"/>
  <c r="M311" i="31"/>
  <c r="M303" i="31"/>
  <c r="M295" i="31"/>
  <c r="M287" i="31"/>
  <c r="M279" i="31"/>
  <c r="M271" i="31"/>
  <c r="M263" i="31"/>
  <c r="M255" i="31"/>
  <c r="M247" i="31"/>
  <c r="M239" i="31"/>
  <c r="M231" i="31"/>
  <c r="M223" i="31"/>
  <c r="M215" i="31"/>
  <c r="M207" i="31"/>
  <c r="M199" i="31"/>
  <c r="M184" i="31"/>
  <c r="M168" i="31"/>
  <c r="M152" i="31"/>
  <c r="M136" i="31"/>
  <c r="M120" i="31"/>
  <c r="M104" i="31"/>
  <c r="M88" i="31"/>
  <c r="M72" i="31"/>
  <c r="M56" i="31"/>
  <c r="M40" i="31"/>
  <c r="W28" i="35"/>
  <c r="U28" i="35"/>
  <c r="S28" i="35"/>
  <c r="F20" i="35"/>
  <c r="AA20" i="35"/>
  <c r="J20" i="35"/>
  <c r="W20" i="35"/>
  <c r="AC20" i="35"/>
  <c r="S18" i="35"/>
  <c r="W16" i="35"/>
  <c r="S14" i="35"/>
  <c r="U14" i="35"/>
  <c r="AC8" i="35"/>
  <c r="U8" i="35"/>
  <c r="U9" i="35"/>
  <c r="F26" i="35"/>
  <c r="J26" i="35"/>
  <c r="H26" i="35"/>
  <c r="AC23" i="21"/>
  <c r="AB19" i="21"/>
  <c r="U19" i="21"/>
  <c r="F79" i="21"/>
  <c r="G79" i="21"/>
  <c r="F17" i="21"/>
  <c r="AB11" i="21"/>
  <c r="U43" i="21"/>
  <c r="U40" i="21"/>
  <c r="AC40" i="21"/>
  <c r="S37" i="21"/>
  <c r="AB44" i="21"/>
  <c r="J32" i="21"/>
  <c r="F101" i="21"/>
  <c r="G101" i="21"/>
  <c r="H101" i="21"/>
  <c r="I101" i="21"/>
  <c r="J101" i="21"/>
  <c r="K101" i="21"/>
  <c r="L101" i="21"/>
  <c r="M101" i="21"/>
  <c r="S33" i="21"/>
  <c r="F42" i="21"/>
  <c r="J42" i="21"/>
  <c r="H42" i="21"/>
  <c r="G123" i="21"/>
  <c r="H123" i="21"/>
  <c r="I123" i="21"/>
  <c r="J123" i="21"/>
  <c r="K123" i="21"/>
  <c r="L123" i="21"/>
  <c r="M123" i="21"/>
  <c r="AA36" i="21"/>
  <c r="AA23" i="21"/>
  <c r="AC21" i="21"/>
  <c r="AB15" i="21"/>
  <c r="W9" i="21"/>
  <c r="AC17" i="21"/>
  <c r="W36" i="21"/>
  <c r="AC37" i="21"/>
  <c r="W39" i="21"/>
  <c r="S46" i="21"/>
  <c r="AB46" i="21"/>
  <c r="AC46" i="21"/>
  <c r="S44" i="21"/>
  <c r="W44" i="21"/>
  <c r="AB39" i="21"/>
  <c r="AB38" i="21"/>
  <c r="U35" i="21"/>
  <c r="S34" i="21"/>
  <c r="W33" i="21"/>
  <c r="AA32" i="21"/>
  <c r="W27" i="21"/>
  <c r="AC27" i="21"/>
  <c r="AC29" i="21"/>
  <c r="W29" i="21"/>
  <c r="AA25" i="21"/>
  <c r="AA29" i="21"/>
  <c r="AB23" i="21"/>
  <c r="S21" i="21"/>
  <c r="AA11" i="21"/>
  <c r="AC11" i="21"/>
  <c r="AB9" i="21"/>
  <c r="U29" i="39"/>
  <c r="S29" i="39"/>
  <c r="W27" i="39"/>
  <c r="AB27" i="39"/>
  <c r="J25" i="39"/>
  <c r="F99" i="39"/>
  <c r="G99" i="39"/>
  <c r="S25" i="39"/>
  <c r="AB23" i="39"/>
  <c r="J23" i="39"/>
  <c r="S23" i="39"/>
  <c r="F95" i="39"/>
  <c r="G95" i="39"/>
  <c r="J21" i="39"/>
  <c r="AC21" i="39"/>
  <c r="F91" i="39"/>
  <c r="G91" i="39"/>
  <c r="F17" i="39"/>
  <c r="H17" i="39"/>
  <c r="AB17" i="39"/>
  <c r="J17" i="39"/>
  <c r="S15" i="39"/>
  <c r="F89" i="39"/>
  <c r="G89" i="39"/>
  <c r="J15" i="39"/>
  <c r="W15" i="39"/>
  <c r="U31" i="39"/>
  <c r="AB32" i="39"/>
  <c r="W40" i="39"/>
  <c r="F120" i="39"/>
  <c r="G120" i="39"/>
  <c r="H120" i="39"/>
  <c r="I120" i="39"/>
  <c r="J120" i="39"/>
  <c r="K120" i="39"/>
  <c r="L120" i="39"/>
  <c r="M120" i="39"/>
  <c r="H39" i="39"/>
  <c r="U39" i="39"/>
  <c r="AA39" i="39"/>
  <c r="U40" i="39"/>
  <c r="S40" i="39"/>
  <c r="U42" i="39"/>
  <c r="W42" i="39"/>
  <c r="S42" i="39"/>
  <c r="E10" i="6"/>
  <c r="E14" i="6"/>
  <c r="E64" i="39" s="1"/>
  <c r="G31" i="6"/>
  <c r="E11" i="6"/>
  <c r="E61" i="39"/>
  <c r="AC38" i="39"/>
  <c r="S38" i="39"/>
  <c r="U9" i="39"/>
  <c r="S9" i="39"/>
  <c r="BA5" i="3"/>
  <c r="C5" i="11"/>
  <c r="I4" i="6"/>
  <c r="G3" i="43"/>
  <c r="K101" i="43" s="1"/>
  <c r="G1" i="69"/>
  <c r="E15" i="6"/>
  <c r="E65" i="39"/>
  <c r="D68" i="39"/>
  <c r="C70" i="39"/>
  <c r="J51" i="15"/>
  <c r="E60" i="40"/>
  <c r="K8" i="1"/>
  <c r="M8" i="1"/>
  <c r="O8" i="1" s="1"/>
  <c r="P8" i="1" s="1"/>
  <c r="E7" i="12"/>
  <c r="D7" i="12"/>
  <c r="G14" i="3"/>
  <c r="G5" i="3" s="1"/>
  <c r="B3" i="3" s="1"/>
  <c r="E320" i="3" s="1"/>
  <c r="C40" i="68"/>
  <c r="C21" i="68"/>
  <c r="C40" i="69"/>
  <c r="D22" i="67"/>
  <c r="T11" i="1"/>
  <c r="AR10" i="1"/>
  <c r="T13" i="1"/>
  <c r="AQ12" i="1"/>
  <c r="G13" i="1"/>
  <c r="G9" i="1"/>
  <c r="I10" i="66"/>
  <c r="C36" i="69"/>
  <c r="AR11" i="1"/>
  <c r="AQ13" i="1"/>
  <c r="T10" i="1"/>
  <c r="T12" i="1"/>
  <c r="P61" i="15"/>
  <c r="E8" i="6"/>
  <c r="F27" i="6"/>
  <c r="E56" i="40"/>
  <c r="E30" i="6"/>
  <c r="S11" i="39"/>
  <c r="B41" i="1"/>
  <c r="D68" i="9"/>
  <c r="D93" i="9"/>
  <c r="F52" i="9"/>
  <c r="C24" i="12"/>
  <c r="C77" i="9"/>
  <c r="C74" i="9"/>
  <c r="M18" i="67"/>
  <c r="C21" i="69"/>
  <c r="L27" i="6"/>
  <c r="G1" i="67"/>
  <c r="G1" i="15"/>
  <c r="G1" i="68"/>
  <c r="D9" i="11"/>
  <c r="C9" i="11"/>
  <c r="D9" i="69"/>
  <c r="C9" i="69" s="1"/>
  <c r="E12" i="6"/>
  <c r="O12" i="1"/>
  <c r="P12" i="1"/>
  <c r="O14" i="1"/>
  <c r="P14" i="1"/>
  <c r="T9" i="1"/>
  <c r="AQ9" i="1"/>
  <c r="F22" i="43"/>
  <c r="I101" i="43"/>
  <c r="Z7" i="43"/>
  <c r="G101" i="43"/>
  <c r="T14" i="43"/>
  <c r="V14" i="43"/>
  <c r="K59" i="34"/>
  <c r="L59" i="34"/>
  <c r="M59" i="34"/>
  <c r="N59" i="34"/>
  <c r="O59" i="34"/>
  <c r="J46" i="36"/>
  <c r="K46" i="36"/>
  <c r="L46" i="36"/>
  <c r="M46" i="36"/>
  <c r="N46" i="36"/>
  <c r="O46" i="36"/>
  <c r="H7" i="36"/>
  <c r="E52"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T11" i="43"/>
  <c r="V11" i="43"/>
  <c r="T12" i="43"/>
  <c r="V12" i="43"/>
  <c r="Y9" i="71"/>
  <c r="Z9" i="71"/>
  <c r="Y8" i="71"/>
  <c r="AA9" i="71"/>
  <c r="AB3" i="71"/>
  <c r="C35" i="43"/>
  <c r="E35" i="43"/>
  <c r="C36" i="43"/>
  <c r="E36" i="43"/>
  <c r="T9" i="43"/>
  <c r="V9" i="43"/>
  <c r="C39" i="43"/>
  <c r="C37" i="43"/>
  <c r="E37" i="43"/>
  <c r="B9" i="71"/>
  <c r="X9" i="71"/>
  <c r="AB9" i="71"/>
  <c r="T15" i="43"/>
  <c r="V15" i="43"/>
  <c r="Z8" i="71"/>
  <c r="Y3" i="71"/>
  <c r="Z3" i="71"/>
  <c r="F9" i="71"/>
  <c r="F8" i="71"/>
  <c r="F7" i="71"/>
  <c r="F6" i="71"/>
  <c r="F5" i="71"/>
  <c r="AF3" i="71"/>
  <c r="P22" i="43"/>
  <c r="C34" i="43"/>
  <c r="T10" i="43"/>
  <c r="V10" i="43"/>
  <c r="C33" i="43"/>
  <c r="T16" i="43"/>
  <c r="V16" i="43"/>
  <c r="T13" i="43"/>
  <c r="V13" i="43"/>
  <c r="T8" i="43"/>
  <c r="V8" i="43"/>
  <c r="C38" i="43"/>
  <c r="K1" i="73"/>
  <c r="L101" i="43"/>
  <c r="AC11" i="43"/>
  <c r="AC13" i="43" s="1"/>
  <c r="AF11" i="43"/>
  <c r="AF13" i="43" s="1"/>
  <c r="E22" i="43"/>
  <c r="H7" i="34"/>
  <c r="F7" i="34"/>
  <c r="J101" i="43"/>
  <c r="AG11" i="43"/>
  <c r="AG13" i="43" s="1"/>
  <c r="AJ11" i="43"/>
  <c r="AJ13" i="43" s="1"/>
  <c r="F101" i="43"/>
  <c r="F31" i="12"/>
  <c r="F32" i="15"/>
  <c r="F60" i="15"/>
  <c r="U17" i="39"/>
  <c r="C20" i="71"/>
  <c r="D21" i="71"/>
  <c r="U21" i="71"/>
  <c r="T21" i="71"/>
  <c r="AC38" i="40"/>
  <c r="W38" i="40"/>
  <c r="S29" i="35"/>
  <c r="AA29" i="35"/>
  <c r="C57" i="71"/>
  <c r="D56" i="71"/>
  <c r="B8" i="71"/>
  <c r="B7" i="71"/>
  <c r="B6" i="71"/>
  <c r="B5" i="71"/>
  <c r="S9" i="71"/>
  <c r="J7" i="34"/>
  <c r="G22" i="43"/>
  <c r="Y11" i="43"/>
  <c r="Y13" i="43" s="1"/>
  <c r="AB11" i="43"/>
  <c r="AB13" i="43" s="1"/>
  <c r="D101" i="43"/>
  <c r="F53" i="9"/>
  <c r="F28" i="15"/>
  <c r="C28" i="15"/>
  <c r="F28" i="67"/>
  <c r="C28" i="67"/>
  <c r="M18" i="15"/>
  <c r="E59" i="40"/>
  <c r="D3" i="21"/>
  <c r="B36" i="79"/>
  <c r="AA38" i="40"/>
  <c r="S38" i="40"/>
  <c r="AB24" i="36"/>
  <c r="U24" i="36"/>
  <c r="AC29" i="35"/>
  <c r="W29" i="35"/>
  <c r="C11" i="71"/>
  <c r="D12" i="71"/>
  <c r="F30" i="68"/>
  <c r="F54" i="9"/>
  <c r="F32" i="67"/>
  <c r="F60" i="67"/>
  <c r="N60" i="71"/>
  <c r="B59" i="71"/>
  <c r="E16" i="71"/>
  <c r="E15" i="71"/>
  <c r="E14" i="71"/>
  <c r="E13" i="71"/>
  <c r="V17" i="71"/>
  <c r="W14" i="35"/>
  <c r="AC14" i="35"/>
  <c r="U39" i="40"/>
  <c r="AB39" i="40"/>
  <c r="U12" i="36"/>
  <c r="AB12" i="36"/>
  <c r="S20" i="35"/>
  <c r="W26" i="35"/>
  <c r="AC26" i="35"/>
  <c r="U26" i="35"/>
  <c r="AB26" i="35"/>
  <c r="S26" i="35"/>
  <c r="AA26" i="35"/>
  <c r="AA17" i="21"/>
  <c r="S17" i="21"/>
  <c r="H32" i="21"/>
  <c r="AB32" i="21"/>
  <c r="W32" i="21"/>
  <c r="AC32" i="21"/>
  <c r="AC42" i="21"/>
  <c r="W42" i="21"/>
  <c r="U42" i="21"/>
  <c r="AB42" i="21"/>
  <c r="AA42" i="21"/>
  <c r="S42" i="21"/>
  <c r="C7" i="12"/>
  <c r="W25" i="39"/>
  <c r="AC25" i="39"/>
  <c r="AC23" i="39"/>
  <c r="W23" i="39"/>
  <c r="W21" i="39"/>
  <c r="AC17" i="39"/>
  <c r="W17" i="39"/>
  <c r="AA17" i="39"/>
  <c r="S17" i="39"/>
  <c r="AC15" i="39"/>
  <c r="AB39" i="39"/>
  <c r="J22" i="43"/>
  <c r="H101" i="43"/>
  <c r="H102" i="43" s="1"/>
  <c r="N104" i="46"/>
  <c r="C101" i="43"/>
  <c r="C106" i="43"/>
  <c r="B113" i="43"/>
  <c r="AA11" i="43"/>
  <c r="AA13" i="43" s="1"/>
  <c r="AE11" i="43"/>
  <c r="AE13" i="43" s="1"/>
  <c r="AI11" i="43"/>
  <c r="AI13" i="43" s="1"/>
  <c r="Z11" i="43"/>
  <c r="Z13" i="43" s="1"/>
  <c r="AD11" i="43"/>
  <c r="AD13" i="43" s="1"/>
  <c r="AH11" i="43"/>
  <c r="AH13" i="43" s="1"/>
  <c r="E101" i="43"/>
  <c r="E102" i="43" s="1"/>
  <c r="M101" i="43"/>
  <c r="H22" i="43"/>
  <c r="N101" i="43"/>
  <c r="N102" i="43" s="1"/>
  <c r="D37" i="11"/>
  <c r="E51" i="40"/>
  <c r="E16" i="6"/>
  <c r="M18" i="9"/>
  <c r="B118" i="9"/>
  <c r="B14" i="74" s="1"/>
  <c r="B1" i="74"/>
  <c r="C7" i="74" s="1"/>
  <c r="D3" i="33"/>
  <c r="L18" i="9"/>
  <c r="E6" i="6"/>
  <c r="D10" i="68" s="1"/>
  <c r="D19" i="68" s="1"/>
  <c r="D37" i="68" s="1"/>
  <c r="D10" i="11"/>
  <c r="C10" i="11" s="1"/>
  <c r="D3" i="34"/>
  <c r="E68" i="39"/>
  <c r="D70" i="39"/>
  <c r="E503" i="3"/>
  <c r="E559" i="3"/>
  <c r="D3" i="37"/>
  <c r="E230" i="3"/>
  <c r="E343" i="3"/>
  <c r="C28" i="66"/>
  <c r="I21" i="66"/>
  <c r="C17" i="4"/>
  <c r="B4" i="52"/>
  <c r="B43" i="72" s="1"/>
  <c r="D19" i="11"/>
  <c r="C19" i="11" s="1"/>
  <c r="C20" i="11"/>
  <c r="E528" i="3"/>
  <c r="E551" i="3"/>
  <c r="E329" i="3"/>
  <c r="E56" i="39"/>
  <c r="F48" i="9"/>
  <c r="O52" i="9"/>
  <c r="F30" i="11"/>
  <c r="F30" i="69"/>
  <c r="F48" i="68"/>
  <c r="C48" i="68"/>
  <c r="C30" i="68"/>
  <c r="AT6" i="3"/>
  <c r="E314" i="3"/>
  <c r="E17" i="3"/>
  <c r="E237" i="3"/>
  <c r="E387" i="3"/>
  <c r="E514" i="3"/>
  <c r="E461" i="3"/>
  <c r="E426" i="3"/>
  <c r="E501" i="3"/>
  <c r="E53" i="3"/>
  <c r="E579" i="3"/>
  <c r="E247" i="3"/>
  <c r="E397" i="3"/>
  <c r="I6" i="3"/>
  <c r="E549"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AY6" i="3"/>
  <c r="AY131" i="3"/>
  <c r="AJ6" i="3"/>
  <c r="N6" i="3"/>
  <c r="E322" i="3"/>
  <c r="E282" i="3"/>
  <c r="E268" i="3"/>
  <c r="E553" i="3"/>
  <c r="E526" i="3"/>
  <c r="E366" i="3"/>
  <c r="E217" i="3"/>
  <c r="E125" i="3"/>
  <c r="O6" i="3"/>
  <c r="E574" i="3"/>
  <c r="E359" i="3"/>
  <c r="E285" i="3"/>
  <c r="E97" i="3"/>
  <c r="E385" i="3"/>
  <c r="E518" i="3"/>
  <c r="AI6" i="3"/>
  <c r="E578"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88" i="3"/>
  <c r="E410" i="3"/>
  <c r="E143" i="3"/>
  <c r="E495" i="3"/>
  <c r="E586" i="3"/>
  <c r="E453" i="3"/>
  <c r="E368" i="3"/>
  <c r="E244" i="3"/>
  <c r="E196"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555" i="3"/>
  <c r="E353" i="3"/>
  <c r="E402" i="3"/>
  <c r="E296" i="3"/>
  <c r="E136" i="3"/>
  <c r="E254" i="3"/>
  <c r="E221" i="3"/>
  <c r="E252" i="3"/>
  <c r="E204" i="3"/>
  <c r="E164" i="3"/>
  <c r="E330" i="3"/>
  <c r="K6" i="3"/>
  <c r="Q6" i="3"/>
  <c r="E560" i="3"/>
  <c r="E437" i="3"/>
  <c r="E472" i="3"/>
  <c r="E481" i="3"/>
  <c r="E406" i="3"/>
  <c r="E424" i="3"/>
  <c r="E465"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7" i="3"/>
  <c r="AN6" i="3"/>
  <c r="E306" i="3"/>
  <c r="E262" i="3"/>
  <c r="E134" i="3"/>
  <c r="E91" i="3"/>
  <c r="E180" i="3"/>
  <c r="E207" i="3"/>
  <c r="E271" i="3"/>
  <c r="E145" i="3"/>
  <c r="E107" i="3"/>
  <c r="E313" i="3"/>
  <c r="E519" i="3"/>
  <c r="E532" i="3"/>
  <c r="E573" i="3"/>
  <c r="E529" i="3"/>
  <c r="E458" i="3"/>
  <c r="E474" i="3"/>
  <c r="E527" i="3"/>
  <c r="E438" i="3"/>
  <c r="E457"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40"/>
  <c r="E62" i="39"/>
  <c r="F31" i="6"/>
  <c r="E27" i="6"/>
  <c r="AY318" i="3"/>
  <c r="AY569" i="3"/>
  <c r="AY263" i="3"/>
  <c r="AY274" i="3"/>
  <c r="AY546" i="3"/>
  <c r="BO6" i="3"/>
  <c r="AY239" i="3"/>
  <c r="AY226" i="3"/>
  <c r="AY518" i="3"/>
  <c r="AY455" i="3"/>
  <c r="AY270" i="3"/>
  <c r="AY552" i="3"/>
  <c r="AY282" i="3"/>
  <c r="AY484" i="3"/>
  <c r="AY502" i="3"/>
  <c r="AY187" i="3"/>
  <c r="AY314" i="3"/>
  <c r="AY70" i="3"/>
  <c r="AY367" i="3"/>
  <c r="AY498" i="3"/>
  <c r="AY52" i="3"/>
  <c r="AY370" i="3"/>
  <c r="AY559" i="3"/>
  <c r="AY21" i="3"/>
  <c r="AY267" i="3"/>
  <c r="AY337" i="3"/>
  <c r="AY476" i="3"/>
  <c r="AY415" i="3"/>
  <c r="AY515" i="3"/>
  <c r="AY493" i="3"/>
  <c r="AY172" i="3"/>
  <c r="AY248" i="3"/>
  <c r="AY485" i="3"/>
  <c r="AY547" i="3"/>
  <c r="AY54" i="3"/>
  <c r="AY293" i="3"/>
  <c r="AY351" i="3"/>
  <c r="AY400" i="3"/>
  <c r="L109" i="43"/>
  <c r="L106" i="43"/>
  <c r="L107" i="43"/>
  <c r="L103" i="43"/>
  <c r="L102" i="43"/>
  <c r="L105" i="43"/>
  <c r="L104" i="43"/>
  <c r="J104" i="43"/>
  <c r="J105" i="43"/>
  <c r="J103" i="43"/>
  <c r="J106" i="43"/>
  <c r="J107" i="43"/>
  <c r="J102" i="43"/>
  <c r="J109" i="43"/>
  <c r="G105" i="43"/>
  <c r="G102" i="43"/>
  <c r="G103" i="43"/>
  <c r="G109" i="43"/>
  <c r="G107" i="43"/>
  <c r="G104" i="43"/>
  <c r="G106" i="43"/>
  <c r="E106" i="43"/>
  <c r="M109" i="43"/>
  <c r="M102" i="43"/>
  <c r="M106" i="43"/>
  <c r="M103" i="43"/>
  <c r="M104" i="43"/>
  <c r="M105" i="43"/>
  <c r="M107" i="43"/>
  <c r="N103" i="43"/>
  <c r="N106" i="43"/>
  <c r="N107" i="43"/>
  <c r="N105" i="43"/>
  <c r="N104" i="43"/>
  <c r="N109" i="43"/>
  <c r="K107" i="43"/>
  <c r="K104" i="43"/>
  <c r="K106" i="43"/>
  <c r="K103" i="43"/>
  <c r="K102" i="43"/>
  <c r="K105" i="43"/>
  <c r="K109" i="43"/>
  <c r="H103" i="43"/>
  <c r="H109" i="43"/>
  <c r="H107" i="43"/>
  <c r="C105" i="43"/>
  <c r="B115" i="43"/>
  <c r="D117" i="43"/>
  <c r="E117" i="43" s="1"/>
  <c r="F117" i="43" s="1"/>
  <c r="G117" i="43" s="1"/>
  <c r="H117" i="43" s="1"/>
  <c r="I118" i="43"/>
  <c r="J118" i="43"/>
  <c r="K118" i="43" s="1"/>
  <c r="L118" i="43" s="1"/>
  <c r="M118" i="43" s="1"/>
  <c r="D118" i="43"/>
  <c r="E118" i="43" s="1"/>
  <c r="F118" i="43" s="1"/>
  <c r="D115" i="43"/>
  <c r="E115" i="43"/>
  <c r="F115" i="43" s="1"/>
  <c r="I115" i="43"/>
  <c r="J115" i="43" s="1"/>
  <c r="K115" i="43" s="1"/>
  <c r="L115" i="43" s="1"/>
  <c r="M115" i="43" s="1"/>
  <c r="D116" i="43"/>
  <c r="E116" i="43"/>
  <c r="F116" i="43" s="1"/>
  <c r="G116" i="43" s="1"/>
  <c r="H116" i="43" s="1"/>
  <c r="G118" i="43"/>
  <c r="H118" i="43" s="1"/>
  <c r="B116" i="43"/>
  <c r="C116" i="43" s="1"/>
  <c r="B118" i="43"/>
  <c r="C118" i="43" s="1"/>
  <c r="I117" i="43"/>
  <c r="J117" i="43" s="1"/>
  <c r="K117" i="43" s="1"/>
  <c r="L117" i="43" s="1"/>
  <c r="M117" i="43" s="1"/>
  <c r="B117" i="43"/>
  <c r="C117" i="43"/>
  <c r="I116" i="43"/>
  <c r="J116" i="43"/>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G35" i="43"/>
  <c r="I35" i="43"/>
  <c r="G36" i="43"/>
  <c r="I36" i="43"/>
  <c r="F7" i="33"/>
  <c r="S7" i="36"/>
  <c r="AA7" i="36"/>
  <c r="R36" i="36"/>
  <c r="W7" i="34"/>
  <c r="AC7" i="34"/>
  <c r="V49" i="34"/>
  <c r="I49" i="34"/>
  <c r="H7" i="33"/>
  <c r="J7" i="33"/>
  <c r="D65" i="40"/>
  <c r="E63" i="40"/>
  <c r="F48" i="35"/>
  <c r="E58" i="21"/>
  <c r="AC7" i="36"/>
  <c r="V36" i="36"/>
  <c r="I36" i="36"/>
  <c r="W7" i="36"/>
  <c r="F52" i="37"/>
  <c r="AB7" i="36"/>
  <c r="T36" i="36"/>
  <c r="G36" i="36"/>
  <c r="U7" i="36"/>
  <c r="AB7" i="34"/>
  <c r="T49" i="34"/>
  <c r="G49" i="34"/>
  <c r="U7" i="34"/>
  <c r="AA7" i="34"/>
  <c r="R49" i="34"/>
  <c r="S7" i="34"/>
  <c r="G37" i="43"/>
  <c r="I37" i="43"/>
  <c r="M17" i="67"/>
  <c r="M17" i="15"/>
  <c r="F59" i="15"/>
  <c r="P24" i="43"/>
  <c r="B66" i="40"/>
  <c r="P21" i="43"/>
  <c r="E39" i="43"/>
  <c r="G39" i="43"/>
  <c r="I39" i="43"/>
  <c r="P25" i="43"/>
  <c r="P23" i="43"/>
  <c r="B71" i="39"/>
  <c r="E38" i="43"/>
  <c r="G38" i="43"/>
  <c r="I38" i="43"/>
  <c r="G34" i="43"/>
  <c r="I34" i="43"/>
  <c r="E34" i="43"/>
  <c r="G33" i="43"/>
  <c r="I33" i="43"/>
  <c r="E33" i="43"/>
  <c r="AY566" i="3"/>
  <c r="AY477" i="3"/>
  <c r="AY240" i="3"/>
  <c r="AY164" i="3"/>
  <c r="AY107" i="3"/>
  <c r="AY408" i="3"/>
  <c r="AY359" i="3"/>
  <c r="AY301" i="3"/>
  <c r="AY62" i="3"/>
  <c r="AY545" i="3"/>
  <c r="AY538" i="3"/>
  <c r="AY434" i="3"/>
  <c r="AY320" i="3"/>
  <c r="AY396" i="3"/>
  <c r="AY153" i="3"/>
  <c r="AY112" i="3"/>
  <c r="AY406" i="3"/>
  <c r="AY368" i="3"/>
  <c r="AY229" i="3"/>
  <c r="AY416" i="3"/>
  <c r="AY119" i="3"/>
  <c r="AY517" i="3"/>
  <c r="AY264" i="3"/>
  <c r="BA6" i="3"/>
  <c r="AY423" i="3"/>
  <c r="AY345" i="3"/>
  <c r="AY37" i="3"/>
  <c r="AY215" i="3"/>
  <c r="AY539" i="3"/>
  <c r="AY519" i="3"/>
  <c r="AY454" i="3"/>
  <c r="AY93" i="3"/>
  <c r="AY182" i="3"/>
  <c r="AY199" i="3"/>
  <c r="AY457" i="3"/>
  <c r="BJ6" i="3"/>
  <c r="AY206" i="3"/>
  <c r="AY395" i="3"/>
  <c r="AY83" i="3"/>
  <c r="F59" i="67"/>
  <c r="M6" i="1"/>
  <c r="C104" i="43"/>
  <c r="H16" i="1"/>
  <c r="C10" i="71"/>
  <c r="D11" i="71"/>
  <c r="G16" i="1"/>
  <c r="J10" i="40" s="1"/>
  <c r="T57" i="71"/>
  <c r="D57" i="71"/>
  <c r="E105" i="43"/>
  <c r="K16" i="1"/>
  <c r="B29" i="1" s="1"/>
  <c r="E12" i="71"/>
  <c r="E11" i="71"/>
  <c r="E10" i="71"/>
  <c r="E9" i="71"/>
  <c r="V13" i="71"/>
  <c r="C103" i="43"/>
  <c r="C109" i="43"/>
  <c r="E107" i="43"/>
  <c r="C10" i="68"/>
  <c r="C34" i="69"/>
  <c r="C35" i="69" s="1"/>
  <c r="Q16" i="1"/>
  <c r="N58" i="71"/>
  <c r="N59" i="71"/>
  <c r="C19" i="71"/>
  <c r="D19" i="71"/>
  <c r="D20" i="71"/>
  <c r="U32" i="21"/>
  <c r="C107" i="43"/>
  <c r="C102" i="43"/>
  <c r="S6" i="43" s="1"/>
  <c r="T6" i="43" s="1"/>
  <c r="V6" i="43" s="1"/>
  <c r="H105" i="43"/>
  <c r="H106" i="43"/>
  <c r="H104" i="43"/>
  <c r="E109" i="43"/>
  <c r="E104" i="43"/>
  <c r="E103" i="43"/>
  <c r="D10" i="69"/>
  <c r="F68" i="39"/>
  <c r="E70" i="39"/>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56" i="3"/>
  <c r="AY572" i="3"/>
  <c r="AY483" i="3"/>
  <c r="AY121" i="3"/>
  <c r="AY291" i="3"/>
  <c r="AY557" i="3"/>
  <c r="AY236" i="3"/>
  <c r="BC6" i="3"/>
  <c r="AY306" i="3"/>
  <c r="AY256" i="3"/>
  <c r="AY179" i="3"/>
  <c r="AY587" i="3"/>
  <c r="AY424" i="3"/>
  <c r="AY376" i="3"/>
  <c r="AY127" i="3"/>
  <c r="AY78" i="3"/>
  <c r="BR6" i="3"/>
  <c r="AY499" i="3"/>
  <c r="AY442" i="3"/>
  <c r="AY328" i="3"/>
  <c r="AY223" i="3"/>
  <c r="AY169" i="3"/>
  <c r="AY523" i="3"/>
  <c r="AY438" i="3"/>
  <c r="AY88" i="3"/>
  <c r="AY193" i="3"/>
  <c r="AY343" i="3"/>
  <c r="AY207" i="3"/>
  <c r="AY584" i="3"/>
  <c r="AY525" i="3"/>
  <c r="AY340" i="3"/>
  <c r="AY150" i="3"/>
  <c r="AY389" i="3"/>
  <c r="AY126" i="3"/>
  <c r="AY53" i="3"/>
  <c r="AY404" i="3"/>
  <c r="AY111" i="3"/>
  <c r="AY581" i="3"/>
  <c r="AY317" i="3"/>
  <c r="AY197" i="3"/>
  <c r="AY392" i="3"/>
  <c r="AY149" i="3"/>
  <c r="AY77" i="3"/>
  <c r="AY452" i="3"/>
  <c r="AY106"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87" i="3"/>
  <c r="AY144" i="3"/>
  <c r="AY152" i="3"/>
  <c r="AY253" i="3"/>
  <c r="AY303" i="3"/>
  <c r="AY444" i="3"/>
  <c r="AY526" i="3"/>
  <c r="AY269" i="3"/>
  <c r="AY390" i="3"/>
  <c r="AY311" i="3"/>
  <c r="AY447" i="3"/>
  <c r="AY23" i="3"/>
  <c r="AY59" i="3"/>
  <c r="AY58" i="3"/>
  <c r="AY371"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5" i="3"/>
  <c r="AY382" i="3"/>
  <c r="AY425" i="3"/>
  <c r="AY244" i="3"/>
  <c r="AY481"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BG6" i="3"/>
  <c r="AY501" i="3"/>
  <c r="AY494" i="3"/>
  <c r="AY582" i="3"/>
  <c r="AY101" i="3"/>
  <c r="AY65" i="3"/>
  <c r="AY42" i="3"/>
  <c r="AY366" i="3"/>
  <c r="AY497" i="3"/>
  <c r="AY212" i="3"/>
  <c r="AY478" i="3"/>
  <c r="AY573" i="3"/>
  <c r="AY100" i="3"/>
  <c r="AY20" i="3"/>
  <c r="AY173" i="3"/>
  <c r="AY286" i="3"/>
  <c r="AY227" i="3"/>
  <c r="AY507" i="3"/>
  <c r="AY29" i="3"/>
  <c r="AY275" i="3"/>
  <c r="AY341" i="3"/>
  <c r="AY480" i="3"/>
  <c r="AY419" i="3"/>
  <c r="AY536" i="3"/>
  <c r="AY543" i="3"/>
  <c r="AY496" i="3"/>
  <c r="AY81"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81" i="3"/>
  <c r="AY489" i="3"/>
  <c r="AY43" i="3"/>
  <c r="AY379" i="3"/>
  <c r="AY436" i="3"/>
  <c r="AY540" i="3"/>
  <c r="AY69" i="3"/>
  <c r="AY198" i="3"/>
  <c r="AY141" i="3"/>
  <c r="AY255" i="3"/>
  <c r="AY384" i="3"/>
  <c r="BB6" i="3"/>
  <c r="AY181"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577" i="3"/>
  <c r="AY508" i="3"/>
  <c r="AY520" i="3"/>
  <c r="AY503" i="3"/>
  <c r="AY449" i="3"/>
  <c r="AY309" i="3"/>
  <c r="AY258" i="3"/>
  <c r="AY72" i="3"/>
  <c r="AY238" i="3"/>
  <c r="AY162" i="3"/>
  <c r="AY105" i="3"/>
  <c r="AY326" i="3"/>
  <c r="AY412" i="3"/>
  <c r="AY124" i="3"/>
  <c r="AY504" i="3"/>
  <c r="AY550" i="3"/>
  <c r="AY459" i="3"/>
  <c r="AY323" i="3"/>
  <c r="AY213" i="3"/>
  <c r="AY273" i="3"/>
  <c r="AY159" i="3"/>
  <c r="AY27" i="3"/>
  <c r="AY86" i="3"/>
  <c r="AY512" i="3"/>
  <c r="AY405" i="3"/>
  <c r="AY466" i="3"/>
  <c r="AY331" i="3"/>
  <c r="AY221" i="3"/>
  <c r="AY280" i="3"/>
  <c r="AY167" i="3"/>
  <c r="AY35" i="3"/>
  <c r="AY94" i="3"/>
  <c r="AY531" i="3"/>
  <c r="AY509" i="3"/>
  <c r="D3" i="6"/>
  <c r="D6" i="6"/>
  <c r="AY579" i="3"/>
  <c r="AY410" i="3"/>
  <c r="AY453" i="3"/>
  <c r="AY487" i="3"/>
  <c r="AY313" i="3"/>
  <c r="AY369" i="3"/>
  <c r="AY266" i="3"/>
  <c r="AY129" i="3"/>
  <c r="AY189" i="3"/>
  <c r="AY80" i="3"/>
  <c r="AY532" i="3"/>
  <c r="AY580" i="3"/>
  <c r="AY324" i="3"/>
  <c r="AY161" i="3"/>
  <c r="AY373" i="3"/>
  <c r="AY134" i="3"/>
  <c r="AY84" i="3"/>
  <c r="AY417" i="3"/>
  <c r="AY116" i="3"/>
  <c r="AY168" i="3"/>
  <c r="AY96" i="3"/>
  <c r="AY514" i="3"/>
  <c r="AY16" i="3"/>
  <c r="BN6" i="3"/>
  <c r="AY435" i="3"/>
  <c r="AY467" i="3"/>
  <c r="AY356" i="3"/>
  <c r="AY279" i="3"/>
  <c r="AY40" i="3"/>
  <c r="BS6" i="3"/>
  <c r="AY222" i="3"/>
  <c r="AY302" i="3"/>
  <c r="AY146" i="3"/>
  <c r="AY36" i="3"/>
  <c r="AY89" i="3"/>
  <c r="AY562" i="3"/>
  <c r="AY355" i="3"/>
  <c r="AY486" i="3"/>
  <c r="AY34" i="3"/>
  <c r="AY561" i="3"/>
  <c r="AY414" i="3"/>
  <c r="AY491" i="3"/>
  <c r="AY377" i="3"/>
  <c r="AY114" i="3"/>
  <c r="AY41" i="3"/>
  <c r="AY357" i="3"/>
  <c r="AY246" i="3"/>
  <c r="AY299" i="3"/>
  <c r="AY170" i="3"/>
  <c r="AY60" i="3"/>
  <c r="AY553" i="3"/>
  <c r="AY513" i="3"/>
  <c r="AY342" i="3"/>
  <c r="AY245" i="3"/>
  <c r="AY428" i="3"/>
  <c r="AY268" i="3"/>
  <c r="AY155" i="3"/>
  <c r="AC6" i="3"/>
  <c r="D1" i="66"/>
  <c r="E10" i="66"/>
  <c r="C29" i="66"/>
  <c r="C27" i="66"/>
  <c r="C48" i="11"/>
  <c r="C30" i="11"/>
  <c r="F48" i="69"/>
  <c r="C30" i="69"/>
  <c r="C48" i="69"/>
  <c r="AY98" i="3"/>
  <c r="AY82" i="3"/>
  <c r="AY18" i="3"/>
  <c r="AY191" i="3"/>
  <c r="AY171" i="3"/>
  <c r="AY132" i="3"/>
  <c r="AY90" i="3"/>
  <c r="AY31" i="3"/>
  <c r="AY163" i="3"/>
  <c r="AY292" i="3"/>
  <c r="AY75" i="3"/>
  <c r="AY147" i="3"/>
  <c r="AY237" i="3"/>
  <c r="AY220" i="3"/>
  <c r="AY387" i="3"/>
  <c r="AY350" i="3"/>
  <c r="AY334" i="3"/>
  <c r="AY103" i="3"/>
  <c r="AY67" i="3"/>
  <c r="AY50" i="3"/>
  <c r="AY196" i="3"/>
  <c r="AY160" i="3"/>
  <c r="AY139" i="3"/>
  <c r="AY289" i="3"/>
  <c r="AY74" i="3"/>
  <c r="AY183" i="3"/>
  <c r="AY123" i="3"/>
  <c r="AY261" i="3"/>
  <c r="AY204" i="3"/>
  <c r="AY284" i="3"/>
  <c r="AY252" i="3"/>
  <c r="AY209" i="3"/>
  <c r="AY363" i="3"/>
  <c r="AY319" i="3"/>
  <c r="D26" i="6"/>
  <c r="D8" i="6"/>
  <c r="D14" i="6"/>
  <c r="D5" i="6"/>
  <c r="D9" i="6"/>
  <c r="D10" i="6"/>
  <c r="L19" i="9"/>
  <c r="D29" i="6"/>
  <c r="D19" i="6"/>
  <c r="C18" i="4"/>
  <c r="D23" i="6"/>
  <c r="D12" i="6"/>
  <c r="D11" i="6"/>
  <c r="D28" i="6"/>
  <c r="D13" i="6"/>
  <c r="E61" i="40"/>
  <c r="D24" i="6"/>
  <c r="D22" i="6"/>
  <c r="D25" i="6"/>
  <c r="D20" i="6"/>
  <c r="D21" i="6"/>
  <c r="D15" i="6"/>
  <c r="M19" i="9"/>
  <c r="C118" i="9" s="1"/>
  <c r="C14" i="74" s="1"/>
  <c r="B2" i="74" s="1"/>
  <c r="D7" i="74" s="1"/>
  <c r="K20" i="6"/>
  <c r="K19" i="6"/>
  <c r="S6" i="1" s="1"/>
  <c r="K24" i="6"/>
  <c r="M24" i="6" s="1"/>
  <c r="I24" i="6" s="1"/>
  <c r="K26" i="6"/>
  <c r="M26" i="6" s="1"/>
  <c r="I26" i="6" s="1"/>
  <c r="K23" i="6"/>
  <c r="M23" i="6" s="1"/>
  <c r="K22" i="6"/>
  <c r="M22" i="6"/>
  <c r="I22" i="6" s="1"/>
  <c r="E31" i="6"/>
  <c r="K25" i="6"/>
  <c r="M25" i="6"/>
  <c r="I25" i="6" s="1"/>
  <c r="K21" i="6"/>
  <c r="C115" i="43"/>
  <c r="S4" i="43"/>
  <c r="T4" i="43"/>
  <c r="V4" i="43" s="1"/>
  <c r="R50" i="34"/>
  <c r="E49" i="34"/>
  <c r="I54" i="34"/>
  <c r="J54" i="34"/>
  <c r="G53" i="34"/>
  <c r="H53" i="34"/>
  <c r="G54" i="34"/>
  <c r="H54" i="34"/>
  <c r="G40" i="36"/>
  <c r="H40" i="36"/>
  <c r="G41" i="36"/>
  <c r="H41" i="36"/>
  <c r="G52" i="37"/>
  <c r="I40" i="36"/>
  <c r="J40" i="36"/>
  <c r="G48" i="35"/>
  <c r="U7" i="33"/>
  <c r="AB7" i="33"/>
  <c r="T48" i="33"/>
  <c r="G48" i="33"/>
  <c r="S7" i="33"/>
  <c r="AA7" i="33"/>
  <c r="R48" i="33"/>
  <c r="F58" i="21"/>
  <c r="F63" i="40"/>
  <c r="E65" i="40"/>
  <c r="W7" i="33"/>
  <c r="AC7" i="33"/>
  <c r="V48" i="33"/>
  <c r="I48" i="33"/>
  <c r="I53" i="34"/>
  <c r="J53" i="34"/>
  <c r="R37" i="36"/>
  <c r="E36" i="36"/>
  <c r="H10" i="40"/>
  <c r="C10" i="69"/>
  <c r="S3" i="43"/>
  <c r="T3" i="43" s="1"/>
  <c r="V3" i="43" s="1"/>
  <c r="C38" i="69"/>
  <c r="S2" i="43"/>
  <c r="T2" i="43"/>
  <c r="V2" i="43" s="1"/>
  <c r="C26" i="43" s="1"/>
  <c r="B2" i="43" s="1"/>
  <c r="B3" i="43" s="1"/>
  <c r="F10" i="40"/>
  <c r="F10" i="39"/>
  <c r="J10" i="39"/>
  <c r="S7" i="43"/>
  <c r="T7" i="43"/>
  <c r="V7" i="43" s="1"/>
  <c r="O6" i="1"/>
  <c r="D30" i="6"/>
  <c r="F27" i="69"/>
  <c r="F27" i="11"/>
  <c r="E8" i="71"/>
  <c r="E7" i="71"/>
  <c r="E6" i="71"/>
  <c r="E5" i="71"/>
  <c r="V9" i="71"/>
  <c r="C9" i="71"/>
  <c r="D10" i="71"/>
  <c r="S5" i="43"/>
  <c r="T5" i="43" s="1"/>
  <c r="V5" i="43" s="1"/>
  <c r="C23" i="43"/>
  <c r="C21" i="43"/>
  <c r="C29" i="43" s="1"/>
  <c r="F70" i="39"/>
  <c r="G68" i="39"/>
  <c r="C32" i="66"/>
  <c r="C30" i="66"/>
  <c r="C31" i="66"/>
  <c r="M21" i="6"/>
  <c r="I21" i="6"/>
  <c r="H21" i="6" s="1"/>
  <c r="R21" i="6" s="1"/>
  <c r="R8" i="1"/>
  <c r="S8" i="1"/>
  <c r="E6" i="70"/>
  <c r="E2" i="70"/>
  <c r="M20" i="6"/>
  <c r="I20" i="6"/>
  <c r="S20" i="6" s="1"/>
  <c r="S7" i="1"/>
  <c r="K27" i="6"/>
  <c r="M19" i="6"/>
  <c r="D27" i="6"/>
  <c r="D31" i="6" s="1"/>
  <c r="S21" i="6"/>
  <c r="A7" i="51"/>
  <c r="B7" i="72"/>
  <c r="A10" i="51"/>
  <c r="B9" i="72"/>
  <c r="C4" i="52"/>
  <c r="B45" i="72"/>
  <c r="D16" i="6"/>
  <c r="C19" i="68"/>
  <c r="C37" i="36"/>
  <c r="C36" i="36"/>
  <c r="G63" i="40"/>
  <c r="F65" i="40"/>
  <c r="G58" i="21"/>
  <c r="H58" i="21"/>
  <c r="I58" i="21"/>
  <c r="J58" i="21"/>
  <c r="K58" i="21"/>
  <c r="L58" i="21"/>
  <c r="M58" i="21"/>
  <c r="N58" i="21"/>
  <c r="O58" i="21"/>
  <c r="G52" i="33"/>
  <c r="H52" i="33"/>
  <c r="G53" i="33"/>
  <c r="H53" i="33"/>
  <c r="E54" i="34"/>
  <c r="F54" i="34"/>
  <c r="E53" i="34"/>
  <c r="F53" i="34"/>
  <c r="E40" i="36"/>
  <c r="F40" i="36"/>
  <c r="E41" i="36"/>
  <c r="F41" i="36"/>
  <c r="I52" i="33"/>
  <c r="J52" i="33"/>
  <c r="H7" i="21"/>
  <c r="R49" i="33"/>
  <c r="E48" i="33"/>
  <c r="H48" i="35"/>
  <c r="I41" i="36"/>
  <c r="J41" i="36"/>
  <c r="H52" i="37"/>
  <c r="C49" i="34"/>
  <c r="C50" i="34"/>
  <c r="U10" i="40"/>
  <c r="AB10" i="40"/>
  <c r="W10" i="39"/>
  <c r="AC10" i="39"/>
  <c r="C8" i="71"/>
  <c r="T9" i="71"/>
  <c r="D9" i="71"/>
  <c r="U9" i="71"/>
  <c r="C47" i="11"/>
  <c r="D45" i="11"/>
  <c r="P6" i="1"/>
  <c r="F7" i="21"/>
  <c r="S7" i="21"/>
  <c r="C29" i="69"/>
  <c r="D27" i="69" s="1"/>
  <c r="C47" i="69"/>
  <c r="D45" i="69" s="1"/>
  <c r="F45" i="69"/>
  <c r="AA10" i="39"/>
  <c r="S10" i="39"/>
  <c r="AA10" i="40"/>
  <c r="S10" i="40"/>
  <c r="H20" i="6"/>
  <c r="R20" i="6" s="1"/>
  <c r="G70" i="39"/>
  <c r="H68" i="39"/>
  <c r="J7" i="21"/>
  <c r="AC7" i="21"/>
  <c r="E26" i="66"/>
  <c r="AQ8" i="1"/>
  <c r="T8" i="1"/>
  <c r="AR8" i="1"/>
  <c r="AQ7" i="1"/>
  <c r="T7" i="1"/>
  <c r="AR7" i="1"/>
  <c r="I19" i="6"/>
  <c r="I52" i="37"/>
  <c r="I48" i="35"/>
  <c r="E53" i="33"/>
  <c r="F53" i="33"/>
  <c r="E52" i="33"/>
  <c r="F52" i="33"/>
  <c r="U7" i="21"/>
  <c r="AB7" i="21"/>
  <c r="C48" i="33"/>
  <c r="C49" i="33"/>
  <c r="I53" i="33"/>
  <c r="J53" i="33"/>
  <c r="G65" i="40"/>
  <c r="H63" i="40"/>
  <c r="AE6" i="1"/>
  <c r="AA7" i="21"/>
  <c r="C7" i="71"/>
  <c r="D8" i="71"/>
  <c r="W7" i="21"/>
  <c r="H70" i="39"/>
  <c r="I68" i="39"/>
  <c r="H19" i="6"/>
  <c r="S19" i="6"/>
  <c r="I63" i="40"/>
  <c r="H65" i="40"/>
  <c r="J52" i="37"/>
  <c r="J48" i="35"/>
  <c r="K48" i="35"/>
  <c r="L48" i="35"/>
  <c r="M48" i="35"/>
  <c r="N48" i="35"/>
  <c r="O48" i="35"/>
  <c r="H7" i="35"/>
  <c r="F7" i="35"/>
  <c r="D7" i="71"/>
  <c r="C6" i="71"/>
  <c r="I70" i="39"/>
  <c r="J68" i="39"/>
  <c r="J7" i="35"/>
  <c r="W7" i="35"/>
  <c r="R19" i="6"/>
  <c r="R6" i="1" s="1"/>
  <c r="U7" i="35"/>
  <c r="AB7" i="35"/>
  <c r="T38" i="35"/>
  <c r="G38" i="35"/>
  <c r="S7" i="35"/>
  <c r="AA7" i="35"/>
  <c r="R38" i="35"/>
  <c r="J63" i="40"/>
  <c r="I65" i="40"/>
  <c r="K52" i="37"/>
  <c r="D6" i="71"/>
  <c r="C5" i="71"/>
  <c r="AC7" i="35"/>
  <c r="V38" i="35"/>
  <c r="I38" i="35"/>
  <c r="I42" i="35"/>
  <c r="J42" i="35"/>
  <c r="J70" i="39"/>
  <c r="K68" i="39"/>
  <c r="E38" i="35"/>
  <c r="G42" i="35"/>
  <c r="H42" i="35"/>
  <c r="L52" i="37"/>
  <c r="J65" i="40"/>
  <c r="K63" i="40"/>
  <c r="R39" i="35"/>
  <c r="C38" i="35"/>
  <c r="D5" i="71"/>
  <c r="M20" i="43"/>
  <c r="I43" i="35"/>
  <c r="J43" i="35"/>
  <c r="G43" i="35"/>
  <c r="H43" i="35"/>
  <c r="L68" i="39"/>
  <c r="K70" i="39"/>
  <c r="E43" i="35"/>
  <c r="F43" i="35"/>
  <c r="E42" i="35"/>
  <c r="F42" i="35"/>
  <c r="K65" i="40"/>
  <c r="L63" i="40"/>
  <c r="M52" i="37"/>
  <c r="C39" i="35"/>
  <c r="B2" i="35"/>
  <c r="B3" i="35" s="1"/>
  <c r="D6" i="12" s="1"/>
  <c r="D8" i="12"/>
  <c r="C35" i="79" s="1"/>
  <c r="L70" i="39"/>
  <c r="M68" i="39"/>
  <c r="N52" i="37"/>
  <c r="O52" i="37"/>
  <c r="L65" i="40"/>
  <c r="M63" i="40"/>
  <c r="M70" i="39"/>
  <c r="N68" i="39"/>
  <c r="H7" i="37"/>
  <c r="AB7" i="37"/>
  <c r="T42" i="37"/>
  <c r="G42" i="37"/>
  <c r="M65" i="40"/>
  <c r="N63" i="40"/>
  <c r="F7" i="37"/>
  <c r="J7" i="37"/>
  <c r="U7" i="37"/>
  <c r="N70" i="39"/>
  <c r="F7" i="39"/>
  <c r="O68" i="39"/>
  <c r="O70" i="39"/>
  <c r="H7" i="39"/>
  <c r="AC7" i="37"/>
  <c r="V42" i="37"/>
  <c r="I42" i="37"/>
  <c r="G47" i="37"/>
  <c r="H47" i="37"/>
  <c r="W7" i="37"/>
  <c r="N65" i="40"/>
  <c r="O63" i="40"/>
  <c r="O65" i="40"/>
  <c r="AA7" i="37"/>
  <c r="R42" i="37"/>
  <c r="S7" i="37"/>
  <c r="G46" i="37"/>
  <c r="H46" i="37"/>
  <c r="J7" i="39"/>
  <c r="AC7" i="39"/>
  <c r="V47" i="39"/>
  <c r="I47" i="39" s="1"/>
  <c r="U7" i="39"/>
  <c r="AB7" i="39"/>
  <c r="AA7" i="39"/>
  <c r="R47" i="39"/>
  <c r="S7" i="39"/>
  <c r="J7" i="40"/>
  <c r="F7" i="40"/>
  <c r="H7" i="40"/>
  <c r="R43" i="37"/>
  <c r="E42" i="37"/>
  <c r="I46" i="37"/>
  <c r="J46" i="37"/>
  <c r="W7" i="39"/>
  <c r="E47" i="39"/>
  <c r="E47" i="37"/>
  <c r="F47" i="37"/>
  <c r="E46" i="37"/>
  <c r="F46" i="37"/>
  <c r="I47" i="37"/>
  <c r="J47" i="37"/>
  <c r="C43" i="37"/>
  <c r="C42" i="37"/>
  <c r="AA7" i="40"/>
  <c r="R42" i="40"/>
  <c r="E42" i="40" s="1"/>
  <c r="S7" i="40"/>
  <c r="U7" i="40"/>
  <c r="AB7" i="40"/>
  <c r="T42" i="40"/>
  <c r="G42" i="40" s="1"/>
  <c r="AC7" i="40"/>
  <c r="V42" i="40"/>
  <c r="I42" i="40"/>
  <c r="W7" i="40"/>
  <c r="E51" i="39"/>
  <c r="F51" i="39" s="1"/>
  <c r="R43" i="40"/>
  <c r="C42" i="40" s="1"/>
  <c r="I46" i="40"/>
  <c r="J46" i="40" s="1"/>
  <c r="C43" i="40"/>
  <c r="B55" i="40" s="1"/>
  <c r="F55" i="40" s="1"/>
  <c r="B56" i="40"/>
  <c r="F56" i="40" s="1"/>
  <c r="B60" i="40"/>
  <c r="F60" i="40" s="1"/>
  <c r="B57" i="40"/>
  <c r="F57" i="40" s="1"/>
  <c r="B51" i="40"/>
  <c r="F51" i="40" s="1"/>
  <c r="F61" i="40"/>
  <c r="B2" i="40" s="1"/>
  <c r="B3" i="40" s="1"/>
  <c r="H45" i="21"/>
  <c r="U45" i="21"/>
  <c r="J45" i="21"/>
  <c r="W45" i="21"/>
  <c r="F45" i="21"/>
  <c r="S45" i="21"/>
  <c r="AC45" i="21"/>
  <c r="I48" i="21"/>
  <c r="I52" i="21"/>
  <c r="J52" i="21"/>
  <c r="AA45" i="21"/>
  <c r="AB45" i="21"/>
  <c r="G48" i="21"/>
  <c r="G52" i="21"/>
  <c r="H52" i="21"/>
  <c r="G53" i="21"/>
  <c r="H53" i="21"/>
  <c r="E48" i="21"/>
  <c r="E53" i="21"/>
  <c r="F53" i="21"/>
  <c r="E52" i="21"/>
  <c r="F52" i="21"/>
  <c r="I53" i="21"/>
  <c r="J53" i="21"/>
  <c r="C48" i="21"/>
  <c r="R24" i="31"/>
  <c r="R37" i="31"/>
  <c r="S37" i="31"/>
  <c r="B2" i="21"/>
  <c r="B3" i="21"/>
  <c r="R47" i="31"/>
  <c r="S47" i="31"/>
  <c r="R31" i="31"/>
  <c r="S31" i="31"/>
  <c r="R44" i="31"/>
  <c r="S44" i="31"/>
  <c r="R28" i="31"/>
  <c r="S28" i="31"/>
  <c r="R50" i="31"/>
  <c r="S50" i="31"/>
  <c r="R43" i="31"/>
  <c r="S43" i="31"/>
  <c r="R27" i="31"/>
  <c r="S27" i="31"/>
  <c r="R40" i="31"/>
  <c r="S40" i="31"/>
  <c r="R49" i="31"/>
  <c r="S49" i="31"/>
  <c r="R33" i="31"/>
  <c r="S33" i="31"/>
  <c r="R46" i="31"/>
  <c r="S46" i="31"/>
  <c r="R30" i="31"/>
  <c r="S30" i="31"/>
  <c r="R34" i="31"/>
  <c r="S34" i="31"/>
  <c r="S24" i="31"/>
  <c r="R39" i="31"/>
  <c r="S39" i="31"/>
  <c r="R52" i="31"/>
  <c r="S52" i="31"/>
  <c r="R36" i="31"/>
  <c r="S36" i="31"/>
  <c r="R45" i="31"/>
  <c r="S45" i="31"/>
  <c r="R29" i="31"/>
  <c r="S29" i="31"/>
  <c r="R42" i="31"/>
  <c r="S42" i="31"/>
  <c r="R26" i="31"/>
  <c r="S26" i="31"/>
  <c r="R51" i="31"/>
  <c r="S51" i="31"/>
  <c r="R35" i="31"/>
  <c r="S35" i="31"/>
  <c r="R48" i="31"/>
  <c r="S48" i="31"/>
  <c r="R32" i="31"/>
  <c r="S32" i="31"/>
  <c r="R41" i="31"/>
  <c r="S41" i="31"/>
  <c r="R25" i="31"/>
  <c r="S25" i="31"/>
  <c r="R38" i="31"/>
  <c r="S38" i="31"/>
  <c r="S22" i="31"/>
  <c r="C8" i="12"/>
  <c r="R22" i="31"/>
  <c r="C6" i="12"/>
  <c r="C4" i="12"/>
  <c r="D35" i="79" s="1"/>
  <c r="B35" i="79"/>
  <c r="D59" i="9"/>
  <c r="M55" i="9"/>
  <c r="E8" i="76"/>
  <c r="E11" i="76"/>
  <c r="AO8" i="1"/>
  <c r="E7" i="76"/>
  <c r="F6" i="73"/>
  <c r="E9" i="76"/>
  <c r="E13" i="76"/>
  <c r="E2" i="69"/>
  <c r="B13" i="76"/>
  <c r="D5" i="73"/>
  <c r="D2" i="34"/>
  <c r="D2" i="35"/>
  <c r="D4" i="73"/>
  <c r="D2" i="33"/>
  <c r="AO13" i="1"/>
  <c r="E2" i="68"/>
  <c r="M6" i="15"/>
  <c r="F42" i="15"/>
  <c r="M29" i="15"/>
  <c r="F26" i="67"/>
  <c r="M9" i="15"/>
  <c r="J15" i="67"/>
  <c r="M6" i="67"/>
  <c r="J15" i="15"/>
  <c r="F7" i="15"/>
  <c r="M8" i="15"/>
  <c r="C76" i="15"/>
  <c r="F40" i="67"/>
  <c r="M9" i="67"/>
  <c r="L48" i="67"/>
  <c r="F4" i="73"/>
  <c r="B9" i="76"/>
  <c r="F5" i="73"/>
  <c r="F43" i="67"/>
  <c r="F37" i="15"/>
  <c r="F13" i="15"/>
  <c r="F26" i="15"/>
  <c r="M26" i="15"/>
  <c r="F40" i="15"/>
  <c r="F9" i="15"/>
  <c r="M24" i="15"/>
  <c r="M23" i="15"/>
  <c r="F43" i="15"/>
  <c r="F36" i="67"/>
  <c r="C76" i="67"/>
  <c r="L47" i="67"/>
  <c r="F42" i="67"/>
  <c r="F6" i="15"/>
  <c r="M21" i="15"/>
  <c r="AO6" i="1"/>
  <c r="F41" i="67"/>
  <c r="M21" i="67"/>
  <c r="AO10" i="1"/>
  <c r="B11" i="76"/>
  <c r="F20" i="31"/>
  <c r="B10" i="76"/>
  <c r="AO9" i="1"/>
  <c r="D3" i="73"/>
  <c r="B7" i="76"/>
  <c r="AO7" i="1"/>
  <c r="AO12" i="1"/>
  <c r="D2" i="36"/>
  <c r="B12" i="76"/>
  <c r="F3" i="73"/>
  <c r="B8" i="76"/>
  <c r="E10" i="76"/>
  <c r="F7" i="73"/>
  <c r="E12" i="76"/>
  <c r="M27" i="67"/>
  <c r="F8" i="15"/>
  <c r="M8" i="67"/>
  <c r="F6" i="67"/>
  <c r="F16" i="15"/>
  <c r="M24" i="67"/>
  <c r="M28" i="67"/>
  <c r="F36" i="15"/>
  <c r="M22" i="15"/>
  <c r="F9" i="67"/>
  <c r="F37" i="67"/>
  <c r="F38" i="67"/>
  <c r="F7" i="67"/>
  <c r="D2" i="21"/>
  <c r="D2" i="37"/>
  <c r="AO11" i="1"/>
  <c r="L47" i="15"/>
  <c r="M27" i="15"/>
  <c r="M28" i="15"/>
  <c r="M22" i="67"/>
  <c r="L48" i="15"/>
  <c r="F8" i="67"/>
  <c r="F13" i="67"/>
  <c r="D6" i="73"/>
  <c r="M29" i="67"/>
  <c r="D7" i="73"/>
  <c r="F38" i="15"/>
  <c r="F16" i="67"/>
  <c r="M23" i="67"/>
  <c r="M26" i="67"/>
  <c r="C14" i="15"/>
  <c r="F41" i="15"/>
  <c r="F35" i="67"/>
  <c r="B6" i="76"/>
  <c r="F35" i="15"/>
  <c r="C31" i="12" l="1"/>
  <c r="K4" i="4"/>
  <c r="B46" i="48" s="1"/>
  <c r="B4" i="72" s="1"/>
  <c r="D19" i="69"/>
  <c r="B4" i="62"/>
  <c r="B71" i="72" s="1"/>
  <c r="C8" i="69"/>
  <c r="C5" i="69" s="1"/>
  <c r="C30" i="43"/>
  <c r="E30" i="43" s="1"/>
  <c r="C27" i="43" s="1"/>
  <c r="E29" i="43"/>
  <c r="H22" i="6"/>
  <c r="R22" i="6" s="1"/>
  <c r="S22" i="6"/>
  <c r="I23" i="6"/>
  <c r="M27" i="6"/>
  <c r="H24" i="6"/>
  <c r="R24" i="6" s="1"/>
  <c r="S24" i="6"/>
  <c r="G47" i="40"/>
  <c r="H47" i="40" s="1"/>
  <c r="G46" i="40"/>
  <c r="H46" i="40" s="1"/>
  <c r="I47" i="40"/>
  <c r="J47" i="40" s="1"/>
  <c r="E47" i="40"/>
  <c r="F47" i="40" s="1"/>
  <c r="E46" i="40"/>
  <c r="F46" i="40" s="1"/>
  <c r="I52" i="39"/>
  <c r="J52" i="39" s="1"/>
  <c r="I51" i="39"/>
  <c r="J51" i="39" s="1"/>
  <c r="R7" i="1"/>
  <c r="R16" i="1" s="1"/>
  <c r="I6" i="6"/>
  <c r="I5" i="6"/>
  <c r="H25" i="6"/>
  <c r="R25" i="6" s="1"/>
  <c r="S25" i="6"/>
  <c r="H26" i="6"/>
  <c r="R26" i="6" s="1"/>
  <c r="S26" i="6"/>
  <c r="T6" i="1"/>
  <c r="T16" i="1" s="1"/>
  <c r="S16" i="1"/>
  <c r="AQ6" i="1"/>
  <c r="AR6" i="1"/>
  <c r="H18" i="12"/>
  <c r="C8" i="68"/>
  <c r="AC10" i="40"/>
  <c r="W10" i="40"/>
  <c r="G115" i="43"/>
  <c r="H115" i="43" s="1"/>
  <c r="D113" i="43"/>
  <c r="B52" i="40"/>
  <c r="F52" i="40" s="1"/>
  <c r="B59" i="40"/>
  <c r="F59" i="40" s="1"/>
  <c r="B53" i="40"/>
  <c r="F53" i="40" s="1"/>
  <c r="B54" i="40"/>
  <c r="F54" i="40" s="1"/>
  <c r="B58" i="40"/>
  <c r="F58" i="40" s="1"/>
  <c r="H10" i="39"/>
  <c r="E539" i="3"/>
  <c r="E165" i="3"/>
  <c r="M6" i="3"/>
  <c r="H6" i="3" s="1"/>
  <c r="E6" i="3" s="1"/>
  <c r="E215" i="3"/>
  <c r="E565" i="3"/>
  <c r="E434" i="3"/>
  <c r="E569" i="3"/>
  <c r="E530" i="3"/>
  <c r="E205" i="3"/>
  <c r="E294" i="3"/>
  <c r="E511" i="3"/>
  <c r="E128" i="3"/>
  <c r="E151" i="3"/>
  <c r="O11" i="1"/>
  <c r="P11" i="1" s="1"/>
  <c r="O9" i="1"/>
  <c r="P9" i="1" s="1"/>
  <c r="P10" i="1"/>
  <c r="O10" i="1"/>
  <c r="F28" i="12"/>
  <c r="F27" i="68"/>
  <c r="E175" i="3"/>
  <c r="E516" i="3"/>
  <c r="AK6" i="3"/>
  <c r="E352" i="3"/>
  <c r="E261" i="3"/>
  <c r="E508" i="3"/>
  <c r="E183" i="3"/>
  <c r="V6" i="3"/>
  <c r="E545" i="3"/>
  <c r="E396" i="3"/>
  <c r="E361" i="3"/>
  <c r="E130" i="3"/>
  <c r="E407" i="3"/>
  <c r="E358" i="3"/>
  <c r="E510" i="3"/>
  <c r="E305" i="3"/>
  <c r="E13" i="3"/>
  <c r="E239" i="3"/>
  <c r="E229" i="3"/>
  <c r="E16" i="3"/>
  <c r="E302" i="3"/>
  <c r="E213" i="3"/>
  <c r="E304" i="3"/>
  <c r="E189" i="3"/>
  <c r="E335" i="3"/>
  <c r="AB6" i="3"/>
  <c r="E570" i="3"/>
  <c r="E311" i="3"/>
  <c r="E227" i="3"/>
  <c r="E567" i="3"/>
  <c r="E328" i="3"/>
  <c r="E153" i="3"/>
  <c r="E319" i="3"/>
  <c r="E509" i="3"/>
  <c r="E431" i="3"/>
  <c r="E201" i="3"/>
  <c r="E568" i="3"/>
  <c r="E536" i="3"/>
  <c r="D17" i="12"/>
  <c r="C17" i="12" s="1"/>
  <c r="K22" i="1"/>
  <c r="M22" i="1" s="1"/>
  <c r="N22" i="1" s="1"/>
  <c r="M7" i="1"/>
  <c r="D20" i="12"/>
  <c r="C20" i="12" s="1"/>
  <c r="D19" i="12"/>
  <c r="C19" i="12" s="1"/>
  <c r="C18" i="12" s="1"/>
  <c r="E63" i="39"/>
  <c r="E66" i="39" s="1"/>
  <c r="J20" i="67"/>
  <c r="C34" i="15"/>
  <c r="F63" i="15"/>
  <c r="C62" i="15" s="1"/>
  <c r="F69" i="67"/>
  <c r="B2" i="76"/>
  <c r="B6" i="70"/>
  <c r="F63" i="67"/>
  <c r="C62" i="67" s="1"/>
  <c r="C34" i="67"/>
  <c r="J20" i="15"/>
  <c r="F69" i="15"/>
  <c r="C6" i="15"/>
  <c r="C18" i="15"/>
  <c r="C15" i="15"/>
  <c r="C19" i="15"/>
  <c r="F70" i="67"/>
  <c r="L59" i="67"/>
  <c r="L58" i="67"/>
  <c r="N59" i="67"/>
  <c r="Q71" i="67"/>
  <c r="F64" i="67"/>
  <c r="F66" i="15"/>
  <c r="F71" i="15"/>
  <c r="F68" i="15"/>
  <c r="F51" i="67"/>
  <c r="I54" i="15"/>
  <c r="J57" i="15"/>
  <c r="J55" i="15" s="1"/>
  <c r="J58" i="15" s="1"/>
  <c r="Q50" i="15" s="1"/>
  <c r="L56" i="15"/>
  <c r="J60" i="15"/>
  <c r="Q48" i="15" s="1"/>
  <c r="L57" i="15"/>
  <c r="J59" i="15"/>
  <c r="L60" i="15"/>
  <c r="L46" i="15"/>
  <c r="C27" i="15"/>
  <c r="F65" i="15"/>
  <c r="F71" i="67"/>
  <c r="L58" i="15"/>
  <c r="N59" i="15"/>
  <c r="B11" i="70"/>
  <c r="B2" i="37"/>
  <c r="B3" i="37" s="1"/>
  <c r="I1" i="73"/>
  <c r="B39" i="1" s="1"/>
  <c r="I54" i="67"/>
  <c r="J57" i="67"/>
  <c r="J55" i="67" s="1"/>
  <c r="J58" i="67" s="1"/>
  <c r="Q50" i="67" s="1"/>
  <c r="L56" i="67"/>
  <c r="F50" i="67"/>
  <c r="M7" i="67"/>
  <c r="F66" i="67"/>
  <c r="F68" i="67"/>
  <c r="F65" i="67"/>
  <c r="Q71" i="15"/>
  <c r="F50" i="15"/>
  <c r="M7" i="15"/>
  <c r="J6" i="15" s="1"/>
  <c r="F64" i="15"/>
  <c r="J6" i="67"/>
  <c r="C6" i="67"/>
  <c r="C27" i="67"/>
  <c r="F51" i="15"/>
  <c r="C49" i="15" s="1"/>
  <c r="B13" i="70"/>
  <c r="B2" i="33"/>
  <c r="B3" i="33" s="1"/>
  <c r="E20" i="43"/>
  <c r="B2" i="34"/>
  <c r="B3" i="34" s="1"/>
  <c r="B2" i="36"/>
  <c r="B3" i="36" s="1"/>
  <c r="B12" i="70"/>
  <c r="B7" i="70"/>
  <c r="B9" i="70"/>
  <c r="B20" i="31"/>
  <c r="B21" i="31" s="1"/>
  <c r="B8" i="70"/>
  <c r="B10" i="70"/>
  <c r="B7" i="49"/>
  <c r="D7" i="49" s="1"/>
  <c r="B5" i="49"/>
  <c r="D5" i="49" s="1"/>
  <c r="G1" i="73"/>
  <c r="C17" i="15"/>
  <c r="C17" i="67"/>
  <c r="C16" i="15"/>
  <c r="E6" i="76"/>
  <c r="C16" i="67"/>
  <c r="C14" i="67"/>
  <c r="B40" i="1" l="1"/>
  <c r="C19" i="69"/>
  <c r="D37" i="69"/>
  <c r="C37" i="69" s="1"/>
  <c r="C33" i="69" s="1"/>
  <c r="E2" i="76"/>
  <c r="B3" i="76" s="1"/>
  <c r="O7" i="1"/>
  <c r="O16" i="1" s="1"/>
  <c r="P7" i="1"/>
  <c r="P16" i="1" s="1"/>
  <c r="C11" i="12" s="1"/>
  <c r="M16" i="1"/>
  <c r="AB10" i="39"/>
  <c r="T47" i="39" s="1"/>
  <c r="U10" i="39"/>
  <c r="C47" i="68"/>
  <c r="D45" i="68" s="1"/>
  <c r="F45" i="68"/>
  <c r="S23" i="6"/>
  <c r="S27" i="6" s="1"/>
  <c r="H23" i="6"/>
  <c r="R23" i="6" s="1"/>
  <c r="R27" i="6" s="1"/>
  <c r="I27" i="6"/>
  <c r="C15" i="67"/>
  <c r="C18" i="67"/>
  <c r="J18" i="15"/>
  <c r="C39" i="69"/>
  <c r="C32" i="67"/>
  <c r="F22" i="68"/>
  <c r="F25" i="12"/>
  <c r="F22" i="69"/>
  <c r="F24" i="67"/>
  <c r="C24" i="67" s="1"/>
  <c r="F22" i="11"/>
  <c r="F24" i="15"/>
  <c r="C24" i="15" s="1"/>
  <c r="M11" i="67"/>
  <c r="J10" i="67" s="1"/>
  <c r="J5" i="67" s="1"/>
  <c r="F11" i="15"/>
  <c r="F11" i="67"/>
  <c r="M11" i="15"/>
  <c r="J10" i="15" s="1"/>
  <c r="J5" i="15" s="1"/>
  <c r="Q60" i="67"/>
  <c r="Q73" i="67"/>
  <c r="C32" i="15"/>
  <c r="M28" i="43"/>
  <c r="O28" i="43"/>
  <c r="N28" i="43"/>
  <c r="P28" i="43"/>
  <c r="J18" i="67"/>
  <c r="Q60" i="15"/>
  <c r="Q73" i="15"/>
  <c r="Q57" i="15"/>
  <c r="Q66" i="15"/>
  <c r="C49" i="67"/>
  <c r="Q61" i="67"/>
  <c r="Q74" i="67"/>
  <c r="C20" i="15"/>
  <c r="C26" i="15" s="1"/>
  <c r="B2" i="70"/>
  <c r="B3" i="70" s="1"/>
  <c r="C23" i="15" l="1"/>
  <c r="C29" i="15" s="1"/>
  <c r="C20" i="69"/>
  <c r="C28" i="69" s="1"/>
  <c r="C27" i="69" s="1"/>
  <c r="C43" i="69"/>
  <c r="G47" i="39"/>
  <c r="R48" i="39"/>
  <c r="N16" i="1"/>
  <c r="B21" i="1" s="1"/>
  <c r="L16" i="1"/>
  <c r="C19" i="67"/>
  <c r="C20" i="67" s="1"/>
  <c r="C26" i="67" s="1"/>
  <c r="H27" i="6"/>
  <c r="C12" i="12"/>
  <c r="C15" i="12"/>
  <c r="J26" i="15"/>
  <c r="J29" i="15" s="1"/>
  <c r="J24" i="15"/>
  <c r="C53" i="67"/>
  <c r="C10" i="67"/>
  <c r="C5" i="67" s="1"/>
  <c r="C44" i="11"/>
  <c r="D41" i="11" s="1"/>
  <c r="C24" i="11"/>
  <c r="F41" i="69"/>
  <c r="C44" i="69"/>
  <c r="D41" i="69" s="1"/>
  <c r="C25" i="69"/>
  <c r="C26" i="69"/>
  <c r="D22" i="69" s="1"/>
  <c r="C24" i="69"/>
  <c r="C23" i="69"/>
  <c r="C24" i="68"/>
  <c r="C44" i="68"/>
  <c r="D41" i="68" s="1"/>
  <c r="F41" i="68"/>
  <c r="C46" i="69"/>
  <c r="C45" i="69" s="1"/>
  <c r="C42" i="69"/>
  <c r="C48" i="67"/>
  <c r="J24" i="67"/>
  <c r="J26" i="67"/>
  <c r="J29" i="67" s="1"/>
  <c r="C53" i="15"/>
  <c r="C48" i="15" s="1"/>
  <c r="C10" i="15"/>
  <c r="C5" i="15" s="1"/>
  <c r="C36" i="15" l="1"/>
  <c r="C13" i="15"/>
  <c r="C37" i="15" s="1"/>
  <c r="J19" i="15"/>
  <c r="J17" i="15" s="1"/>
  <c r="C33" i="15"/>
  <c r="C31" i="15" s="1"/>
  <c r="C57" i="15"/>
  <c r="C61" i="15" s="1"/>
  <c r="J14" i="15"/>
  <c r="J13" i="15" s="1"/>
  <c r="J23" i="15" s="1"/>
  <c r="Q49" i="15"/>
  <c r="C41" i="69"/>
  <c r="C49" i="69" s="1"/>
  <c r="C23" i="67"/>
  <c r="C29" i="67" s="1"/>
  <c r="C47" i="39"/>
  <c r="C48" i="39"/>
  <c r="C28" i="11"/>
  <c r="C27" i="11" s="1"/>
  <c r="C29" i="11"/>
  <c r="D27" i="11" s="1"/>
  <c r="B23" i="1"/>
  <c r="B24" i="1"/>
  <c r="C29" i="68"/>
  <c r="D27" i="68" s="1"/>
  <c r="E52" i="39"/>
  <c r="F52" i="39" s="1"/>
  <c r="G52" i="39"/>
  <c r="H52" i="39" s="1"/>
  <c r="G51" i="39"/>
  <c r="H51" i="39" s="1"/>
  <c r="C60" i="15"/>
  <c r="C66" i="15"/>
  <c r="C66" i="67"/>
  <c r="C60" i="67"/>
  <c r="C38" i="15"/>
  <c r="C22" i="69"/>
  <c r="C31" i="69" s="1"/>
  <c r="Q70" i="15"/>
  <c r="C56" i="15"/>
  <c r="C65" i="15" s="1"/>
  <c r="C38" i="67"/>
  <c r="J22" i="15"/>
  <c r="C64" i="15"/>
  <c r="C75" i="15" l="1"/>
  <c r="C30" i="15"/>
  <c r="C39" i="15" s="1"/>
  <c r="Q69" i="15" s="1"/>
  <c r="Q68" i="15" s="1"/>
  <c r="Q49" i="67"/>
  <c r="C57" i="67"/>
  <c r="C61" i="67" s="1"/>
  <c r="C59" i="67" s="1"/>
  <c r="C13" i="67"/>
  <c r="C75" i="67" s="1"/>
  <c r="J59" i="67"/>
  <c r="C33" i="67"/>
  <c r="C31" i="67" s="1"/>
  <c r="J14" i="67"/>
  <c r="J22" i="67" s="1"/>
  <c r="C36" i="67"/>
  <c r="J19" i="67"/>
  <c r="J17" i="67" s="1"/>
  <c r="J16" i="15"/>
  <c r="J25" i="15" s="1"/>
  <c r="F34" i="68"/>
  <c r="F11" i="12"/>
  <c r="F34" i="11"/>
  <c r="F50" i="69"/>
  <c r="F50" i="11"/>
  <c r="F50" i="68"/>
  <c r="M59" i="67"/>
  <c r="J53" i="15"/>
  <c r="J53" i="67"/>
  <c r="M59" i="15"/>
  <c r="L59" i="15" s="1"/>
  <c r="C29" i="12"/>
  <c r="D28" i="12" s="1"/>
  <c r="C26" i="12"/>
  <c r="D25" i="12" s="1"/>
  <c r="C51" i="69"/>
  <c r="C52" i="69" s="1"/>
  <c r="C25" i="11"/>
  <c r="C26" i="68"/>
  <c r="D22" i="68" s="1"/>
  <c r="C26" i="11"/>
  <c r="D22" i="11" s="1"/>
  <c r="C23" i="11"/>
  <c r="B58" i="39"/>
  <c r="F58" i="39" s="1"/>
  <c r="B56" i="39"/>
  <c r="F56" i="39" s="1"/>
  <c r="B64" i="39"/>
  <c r="F64" i="39" s="1"/>
  <c r="B60" i="39"/>
  <c r="F60" i="39" s="1"/>
  <c r="B61" i="39"/>
  <c r="F61" i="39" s="1"/>
  <c r="B65" i="39"/>
  <c r="F65" i="39" s="1"/>
  <c r="B57" i="39"/>
  <c r="F57" i="39" s="1"/>
  <c r="B59" i="39"/>
  <c r="F59" i="39" s="1"/>
  <c r="B62" i="39"/>
  <c r="F62" i="39" s="1"/>
  <c r="B63" i="39"/>
  <c r="F63" i="39" s="1"/>
  <c r="C59" i="15"/>
  <c r="C58" i="15" s="1"/>
  <c r="C67" i="15" s="1"/>
  <c r="C68" i="15" s="1"/>
  <c r="C80" i="15"/>
  <c r="C79" i="15" s="1"/>
  <c r="C56" i="67"/>
  <c r="C65" i="67" s="1"/>
  <c r="C37" i="67"/>
  <c r="C30" i="67" s="1"/>
  <c r="C39" i="67" s="1"/>
  <c r="L51" i="15"/>
  <c r="C64" i="67" l="1"/>
  <c r="J13" i="67"/>
  <c r="J23" i="67" s="1"/>
  <c r="C40" i="15"/>
  <c r="B2" i="15" s="1"/>
  <c r="B3" i="15" s="1"/>
  <c r="J16" i="67"/>
  <c r="J25" i="67" s="1"/>
  <c r="Q70" i="67"/>
  <c r="C22" i="11"/>
  <c r="C31" i="11" s="1"/>
  <c r="B2" i="69"/>
  <c r="B3" i="69" s="1"/>
  <c r="C57" i="69"/>
  <c r="C56" i="69" s="1"/>
  <c r="C58" i="67"/>
  <c r="C67" i="67" s="1"/>
  <c r="C68" i="67" s="1"/>
  <c r="Q52" i="67"/>
  <c r="F1" i="67"/>
  <c r="C36" i="11"/>
  <c r="C37" i="11"/>
  <c r="C34" i="11"/>
  <c r="C36" i="68"/>
  <c r="C34" i="68"/>
  <c r="C37" i="68"/>
  <c r="J60" i="67"/>
  <c r="F66" i="39"/>
  <c r="B2" i="39" s="1"/>
  <c r="Q74" i="15"/>
  <c r="Q61" i="15"/>
  <c r="F1" i="15"/>
  <c r="Q52" i="15"/>
  <c r="C23" i="12"/>
  <c r="C14" i="12"/>
  <c r="C16" i="12" s="1"/>
  <c r="C21" i="12" s="1"/>
  <c r="Q67" i="15"/>
  <c r="C71" i="67"/>
  <c r="Q69" i="67"/>
  <c r="C40" i="67"/>
  <c r="C80" i="67"/>
  <c r="C79" i="67" s="1"/>
  <c r="Q47" i="15"/>
  <c r="Q53" i="15" s="1"/>
  <c r="Q56" i="15"/>
  <c r="Q62" i="15" s="1"/>
  <c r="C43" i="15"/>
  <c r="C46" i="15"/>
  <c r="C71" i="15"/>
  <c r="L51" i="67"/>
  <c r="C83" i="15" l="1"/>
  <c r="C82" i="15" s="1"/>
  <c r="Q65" i="15"/>
  <c r="Q75" i="15" s="1"/>
  <c r="Q68" i="67"/>
  <c r="C38" i="11"/>
  <c r="C35" i="11"/>
  <c r="C33" i="11" s="1"/>
  <c r="C22" i="12"/>
  <c r="C27" i="12" s="1"/>
  <c r="C25" i="12" s="1"/>
  <c r="L46" i="67"/>
  <c r="D2" i="67" s="1"/>
  <c r="Q48" i="67"/>
  <c r="C35" i="68"/>
  <c r="C38" i="68"/>
  <c r="C6" i="68"/>
  <c r="B3" i="39"/>
  <c r="Q67" i="67"/>
  <c r="L57" i="67"/>
  <c r="L60" i="67" s="1"/>
  <c r="Q56" i="67"/>
  <c r="Q65" i="67"/>
  <c r="Q47" i="67"/>
  <c r="C43" i="67"/>
  <c r="C83" i="67"/>
  <c r="C82" i="67" s="1"/>
  <c r="C45" i="67"/>
  <c r="C46" i="67" s="1"/>
  <c r="Q53" i="67" l="1"/>
  <c r="C33" i="68"/>
  <c r="C91" i="9" s="1"/>
  <c r="C39" i="11"/>
  <c r="C43" i="11" s="1"/>
  <c r="C42" i="11"/>
  <c r="C39" i="68"/>
  <c r="C43" i="68" s="1"/>
  <c r="C46" i="68"/>
  <c r="C45" i="68" s="1"/>
  <c r="C7" i="68"/>
  <c r="C5" i="68" s="1"/>
  <c r="C30" i="12"/>
  <c r="C28" i="12" s="1"/>
  <c r="C32" i="12" s="1"/>
  <c r="B2" i="12" s="1"/>
  <c r="Q66" i="67"/>
  <c r="Q75" i="67" s="1"/>
  <c r="Q57" i="67"/>
  <c r="Q62" i="67" s="1"/>
  <c r="B2" i="67"/>
  <c r="B3" i="67"/>
  <c r="D19" i="9"/>
  <c r="C42" i="68" l="1"/>
  <c r="C41" i="68" s="1"/>
  <c r="C49" i="68" s="1"/>
  <c r="C51" i="68" s="1"/>
  <c r="D21" i="9"/>
  <c r="D102" i="9"/>
  <c r="C20" i="68"/>
  <c r="C25" i="68" s="1"/>
  <c r="C23" i="68"/>
  <c r="B3" i="12"/>
  <c r="C94" i="9"/>
  <c r="C92" i="9"/>
  <c r="C41" i="11"/>
  <c r="C49" i="11" s="1"/>
  <c r="C51" i="11" s="1"/>
  <c r="C46" i="11"/>
  <c r="C45" i="11" s="1"/>
  <c r="D20" i="9"/>
  <c r="D103" i="9" l="1"/>
  <c r="C52" i="11"/>
  <c r="B2" i="11" s="1"/>
  <c r="B3" i="11" s="1"/>
  <c r="C22" i="68"/>
  <c r="C28" i="68"/>
  <c r="C27" i="68" s="1"/>
  <c r="C31" i="68" l="1"/>
  <c r="C52" i="68" s="1"/>
  <c r="C57" i="68" s="1"/>
  <c r="C56" i="68" s="1"/>
  <c r="C56" i="11"/>
  <c r="C57" i="11" s="1"/>
  <c r="B2" i="68" l="1"/>
  <c r="B3" i="68" s="1"/>
  <c r="C19" i="9"/>
  <c r="D35" i="9"/>
  <c r="D34" i="9"/>
  <c r="C20" i="9"/>
  <c r="C21" i="9" l="1"/>
  <c r="G19" i="9"/>
  <c r="C32" i="9" s="1"/>
  <c r="D22" i="9"/>
  <c r="C102" i="9"/>
  <c r="C103" i="9"/>
  <c r="G20" i="9"/>
  <c r="G21" i="9"/>
  <c r="D27" i="9"/>
  <c r="E35" i="79" l="1"/>
  <c r="B37" i="79"/>
  <c r="C37" i="79"/>
  <c r="H118" i="9"/>
  <c r="C35" i="9"/>
  <c r="F118" i="9" s="1"/>
  <c r="C34" i="9" l="1"/>
  <c r="D118" i="9" s="1"/>
  <c r="C38" i="79"/>
  <c r="F30" i="79"/>
  <c r="F32" i="79" s="1"/>
  <c r="G118" i="9"/>
  <c r="G4" i="52" s="1"/>
  <c r="B52" i="72" s="1"/>
  <c r="F119" i="9"/>
  <c r="F5" i="52" s="1"/>
  <c r="B53" i="72" s="1"/>
  <c r="F4" i="52"/>
  <c r="B51" i="72" s="1"/>
  <c r="H4" i="52"/>
  <c r="H119" i="9"/>
  <c r="H5" i="52" s="1"/>
  <c r="C104" i="9"/>
  <c r="H101" i="9"/>
  <c r="I118" i="9"/>
  <c r="D14" i="74"/>
  <c r="B38" i="79"/>
  <c r="I4" i="52" l="1"/>
  <c r="E118" i="9"/>
  <c r="E4" i="52" s="1"/>
  <c r="B48" i="72" s="1"/>
  <c r="H102" i="9"/>
  <c r="D7" i="53" s="1"/>
  <c r="B21" i="72" s="1"/>
  <c r="C105" i="9"/>
  <c r="E14" i="74"/>
  <c r="B5" i="74"/>
  <c r="F14" i="74"/>
  <c r="H107" i="9"/>
  <c r="D45" i="9"/>
  <c r="M48" i="9"/>
  <c r="D5" i="53"/>
  <c r="F4" i="79"/>
  <c r="F8" i="79"/>
  <c r="F12" i="79"/>
  <c r="F16" i="79"/>
  <c r="F20" i="79"/>
  <c r="F24" i="79"/>
  <c r="F3" i="79"/>
  <c r="F7" i="79"/>
  <c r="F11" i="79"/>
  <c r="F15" i="79"/>
  <c r="F19" i="79"/>
  <c r="F23" i="79"/>
  <c r="F27" i="79"/>
  <c r="F2" i="79"/>
  <c r="F6" i="79"/>
  <c r="F10" i="79"/>
  <c r="F14" i="79"/>
  <c r="F18" i="79"/>
  <c r="F22" i="79"/>
  <c r="F26" i="79"/>
  <c r="F5" i="79"/>
  <c r="F9" i="79"/>
  <c r="F13" i="79"/>
  <c r="F17" i="79"/>
  <c r="F21" i="79"/>
  <c r="F25" i="79"/>
  <c r="D119" i="9"/>
  <c r="D5" i="52" s="1"/>
  <c r="B49" i="72" s="1"/>
  <c r="D4" i="52"/>
  <c r="B47" i="72" s="1"/>
  <c r="F28" i="79" l="1"/>
  <c r="H108" i="9"/>
  <c r="D15" i="53" s="1"/>
  <c r="B31" i="72" s="1"/>
  <c r="D122" i="9"/>
  <c r="M49" i="9"/>
  <c r="D13" i="53"/>
  <c r="C5" i="74"/>
  <c r="D5" i="74"/>
  <c r="F29" i="79"/>
  <c r="F31" i="79" s="1"/>
  <c r="B20" i="72"/>
  <c r="D6" i="53"/>
  <c r="B22" i="72" s="1"/>
  <c r="C85" i="9"/>
  <c r="C93" i="9"/>
  <c r="C86" i="9" s="1"/>
  <c r="D52" i="9"/>
  <c r="C64" i="9"/>
  <c r="C63" i="9" s="1"/>
  <c r="C67" i="9" s="1"/>
  <c r="C68" i="9" s="1"/>
  <c r="D54" i="9" s="1"/>
  <c r="D53" i="9"/>
  <c r="D48" i="9" s="1"/>
  <c r="M52" i="9" s="1"/>
  <c r="C78" i="9"/>
  <c r="C73" i="9" s="1"/>
  <c r="C72" i="9"/>
  <c r="D55" i="9"/>
  <c r="M53" i="9" s="1"/>
  <c r="B30" i="72" l="1"/>
  <c r="D14" i="53"/>
  <c r="B32" i="72" s="1"/>
  <c r="D8" i="52"/>
  <c r="D123" i="9"/>
  <c r="D9" i="52" s="1"/>
  <c r="G14" i="74"/>
  <c r="B6" i="74" s="1"/>
  <c r="C79" i="9"/>
  <c r="C95" i="9"/>
  <c r="L65" i="9"/>
  <c r="M65" i="9" s="1"/>
  <c r="L66" i="9"/>
  <c r="M66" i="9" s="1"/>
  <c r="L67" i="9"/>
  <c r="M67" i="9" s="1"/>
  <c r="L64" i="9"/>
  <c r="M64" i="9" s="1"/>
  <c r="L68" i="9"/>
  <c r="M68" i="9" s="1"/>
  <c r="L63" i="9"/>
  <c r="M63" i="9" s="1"/>
  <c r="C80" i="9" l="1"/>
  <c r="E80" i="9" s="1"/>
  <c r="E81" i="9" s="1"/>
  <c r="M69" i="9"/>
  <c r="N69" i="9" s="1"/>
  <c r="C96" i="9"/>
  <c r="E96" i="9" s="1"/>
  <c r="E97" i="9" s="1"/>
  <c r="D6" i="74"/>
  <c r="C6" i="74"/>
  <c r="C97" i="9" l="1"/>
  <c r="D58" i="9" s="1"/>
  <c r="D56" i="9" s="1"/>
  <c r="M54" i="9" s="1"/>
  <c r="N57" i="9" s="1"/>
  <c r="N58" i="9" s="1"/>
  <c r="C81" i="9"/>
  <c r="N59" i="9" l="1"/>
  <c r="N61" i="9" s="1"/>
  <c r="H112" i="9" s="1"/>
  <c r="D21" i="53" s="1"/>
  <c r="B39" i="72" s="1"/>
  <c r="P57" i="9"/>
  <c r="F35" i="79"/>
  <c r="N60" i="9"/>
  <c r="H111" i="9" l="1"/>
  <c r="D126" i="9" s="1"/>
  <c r="B39" i="79"/>
  <c r="C39" i="79"/>
  <c r="D19" i="53" l="1"/>
  <c r="C40" i="79"/>
  <c r="G30" i="79"/>
  <c r="G32" i="79" s="1"/>
  <c r="B38" i="72"/>
  <c r="D20" i="53"/>
  <c r="B40" i="72" s="1"/>
  <c r="B40" i="79"/>
  <c r="D12" i="52"/>
  <c r="I14" i="74"/>
  <c r="B8" i="74" s="1"/>
  <c r="D127" i="9"/>
  <c r="D13" i="52" s="1"/>
  <c r="C8" i="74" l="1"/>
  <c r="D8" i="74"/>
  <c r="G3" i="79"/>
  <c r="G7" i="79"/>
  <c r="G11" i="79"/>
  <c r="G15" i="79"/>
  <c r="G19" i="79"/>
  <c r="G23" i="79"/>
  <c r="G27" i="79"/>
  <c r="G4" i="79"/>
  <c r="G8" i="79"/>
  <c r="G12" i="79"/>
  <c r="G16" i="79"/>
  <c r="G20" i="79"/>
  <c r="G24" i="79"/>
  <c r="G5" i="79"/>
  <c r="G9" i="79"/>
  <c r="G13" i="79"/>
  <c r="G17" i="79"/>
  <c r="G21" i="79"/>
  <c r="G25" i="79"/>
  <c r="G6" i="79"/>
  <c r="G10" i="79"/>
  <c r="G14" i="79"/>
  <c r="G22" i="79"/>
  <c r="G26" i="79"/>
  <c r="G2" i="79"/>
  <c r="G28" i="79" s="1"/>
  <c r="G18" i="79"/>
  <c r="G29" i="79" l="1"/>
  <c r="G31"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<sst xmlns="http://schemas.openxmlformats.org/spreadsheetml/2006/main" count="9856" uniqueCount="3658">
  <si>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</si>
  <si>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</si>
  <si>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</si>
  <si>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</si>
  <si>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</si>
  <si>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</si>
  <si>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</si>
  <si>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</si>
  <si>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</si>
  <si>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</si>
  <si>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</si>
  <si>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</si>
  <si>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</si>
  <si>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</si>
  <si>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</si>
  <si>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</si>
  <si>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</si>
  <si>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</si>
  <si>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</si>
  <si>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</si>
  <si>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</si>
  <si>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</si>
  <si>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</si>
  <si>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</si>
  <si>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</si>
  <si>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</si>
  <si>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</si>
  <si>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</si>
  <si>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</si>
  <si>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</si>
  <si>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</si>
  <si>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</si>
  <si>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</si>
  <si>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</si>
  <si>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</si>
  <si>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</si>
  <si>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</si>
  <si>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</si>
  <si>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</si>
  <si>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</si>
  <si>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</si>
  <si>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</si>
  <si>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</si>
  <si>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</si>
  <si>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</si>
  <si>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</si>
  <si>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</si>
  <si>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</si>
  <si>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</si>
  <si>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</si>
  <si>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</si>
  <si>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</si>
  <si>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</si>
  <si>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</si>
  <si>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</si>
  <si>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</si>
  <si>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</si>
  <si>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</si>
  <si>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</si>
  <si>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</si>
  <si>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</si>
  <si>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</si>
  <si>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</si>
  <si>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</si>
  <si>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</si>
  <si>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</si>
  <si>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</si>
  <si>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</si>
  <si>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</si>
  <si>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</si>
  <si>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</si>
  <si>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</si>
  <si>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</si>
  <si>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</si>
  <si>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</si>
  <si>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</si>
  <si>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</si>
  <si>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</si>
  <si>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</si>
  <si>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</si>
  <si>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</si>
  <si>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</si>
  <si>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</si>
  <si>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</si>
  <si>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</si>
  <si>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</si>
  <si>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</si>
  <si>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</si>
  <si>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</si>
  <si>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</si>
  <si>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</si>
  <si>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</si>
  <si>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</si>
  <si>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</si>
  <si>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</si>
  <si>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</si>
  <si>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</si>
  <si>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</si>
  <si>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</si>
  <si>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</si>
  <si>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</si>
  <si>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</si>
  <si>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</si>
  <si>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</si>
  <si>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</si>
  <si>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</si>
  <si>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</si>
  <si>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</si>
  <si>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</si>
  <si>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</si>
  <si>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</si>
  <si>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</si>
  <si>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</si>
  <si>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</si>
  <si>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</si>
  <si>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</si>
  <si>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</si>
  <si>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</si>
  <si>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</si>
  <si>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</si>
  <si>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</si>
  <si>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</si>
  <si>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</si>
  <si>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</si>
  <si>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</si>
  <si>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</si>
  <si>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</si>
  <si>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</si>
  <si>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</si>
  <si>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</si>
  <si>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</si>
  <si>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</si>
  <si>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</si>
  <si>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</si>
  <si>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</si>
  <si>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</si>
  <si>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</si>
  <si>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</si>
  <si>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</si>
  <si>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</si>
  <si>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</si>
  <si>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</si>
  <si>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</si>
  <si>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</si>
  <si>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</si>
  <si>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</si>
  <si>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</si>
  <si>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</si>
  <si>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</si>
  <si>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</si>
  <si>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</si>
  <si>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</si>
  <si>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</si>
  <si>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</si>
  <si>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</si>
  <si>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</si>
  <si>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</si>
  <si>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</si>
  <si>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</si>
  <si>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</si>
  <si>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</si>
  <si>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</si>
  <si>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</si>
  <si>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</si>
  <si>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</si>
  <si>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</si>
  <si>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</si>
  <si>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</si>
  <si>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</si>
  <si>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</si>
  <si>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</si>
  <si>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</si>
  <si>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</si>
  <si>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</si>
  <si>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</si>
  <si>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</si>
  <si>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</si>
  <si>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</si>
  <si>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</si>
  <si>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</si>
  <si>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</si>
  <si>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</si>
  <si>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</si>
  <si>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</si>
  <si>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</si>
  <si>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</si>
  <si>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</si>
  <si>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</si>
  <si>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</si>
  <si>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</si>
  <si>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</si>
  <si>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</si>
  <si>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</si>
  <si>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</si>
  <si>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</si>
  <si>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</si>
  <si>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</si>
  <si>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</si>
  <si>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</si>
  <si>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</si>
  <si>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</si>
  <si>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</si>
  <si>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</si>
  <si>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</si>
  <si>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</si>
  <si>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</si>
  <si>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</si>
  <si>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</si>
  <si>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</si>
  <si>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</si>
  <si>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</si>
  <si>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</si>
  <si>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</si>
  <si>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</si>
  <si>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</si>
  <si>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</si>
  <si>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</si>
  <si>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</si>
  <si>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</si>
  <si>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</si>
  <si>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</si>
  <si>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</si>
  <si>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</si>
  <si>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</si>
  <si>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</si>
  <si>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</si>
  <si>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</si>
  <si>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</si>
  <si>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</si>
  <si>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</si>
  <si>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</si>
  <si>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</si>
  <si>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</si>
  <si>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</si>
  <si>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</si>
  <si>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</si>
  <si>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</si>
  <si>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</si>
  <si>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</si>
  <si>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</si>
  <si>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</si>
  <si>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</si>
  <si>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</si>
  <si>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</si>
  <si>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</si>
  <si>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</si>
  <si>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</si>
  <si>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</si>
  <si>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</si>
  <si>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</si>
  <si>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</si>
  <si>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</si>
  <si>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</si>
  <si>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</si>
  <si>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</si>
  <si>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</si>
  <si>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</si>
  <si>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</si>
  <si>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</si>
  <si>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</si>
  <si>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</si>
  <si>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</si>
  <si>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</si>
  <si>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</si>
  <si>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</si>
  <si>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</si>
  <si>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</si>
  <si>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</si>
  <si>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</si>
  <si>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</si>
  <si>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</si>
  <si>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</si>
  <si>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</si>
  <si>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</si>
  <si>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</si>
  <si>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</si>
  <si>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</si>
  <si>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</si>
  <si>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</si>
  <si>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</si>
  <si>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</si>
  <si>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</si>
  <si>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</si>
  <si>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</si>
  <si>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</si>
  <si>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</si>
  <si>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</si>
  <si>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</si>
  <si>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</si>
  <si>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</si>
  <si>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</si>
  <si>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</si>
  <si>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</si>
  <si>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</si>
  <si>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</si>
  <si>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</si>
  <si>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</si>
  <si>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</si>
  <si>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</si>
  <si>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</si>
  <si>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</si>
  <si>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</si>
  <si>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</si>
  <si>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</si>
  <si>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</si>
  <si>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</si>
  <si>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</si>
  <si>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</si>
  <si>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</si>
  <si>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</si>
  <si>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</si>
  <si>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</si>
  <si>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</si>
  <si>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</si>
  <si>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</si>
  <si>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</si>
  <si>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</si>
  <si>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</si>
  <si>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</si>
  <si>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</si>
  <si>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</si>
  <si>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</si>
  <si>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</si>
  <si>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</si>
  <si>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</si>
  <si>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</si>
  <si>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</si>
  <si>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</si>
  <si>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</si>
  <si>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</si>
  <si>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</si>
  <si>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</si>
  <si>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</si>
  <si>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</si>
  <si>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</si>
  <si>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</si>
  <si>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</si>
  <si>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</si>
  <si>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</si>
  <si>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</si>
  <si>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</si>
  <si>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</si>
  <si>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</si>
  <si>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</si>
  <si>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</si>
  <si>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</si>
  <si>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</si>
  <si>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</si>
  <si>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</si>
  <si>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</si>
  <si>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</si>
  <si>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</si>
  <si>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</si>
  <si>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</si>
  <si>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</si>
  <si>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</si>
  <si>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</si>
  <si>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</si>
  <si>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</si>
  <si>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</si>
  <si>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</si>
  <si>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</si>
  <si>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</si>
  <si>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</si>
  <si>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</si>
  <si>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</si>
  <si>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</si>
  <si>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</si>
  <si>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</si>
  <si>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</si>
  <si>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</si>
  <si>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</si>
  <si>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</si>
  <si>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</si>
  <si>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</si>
  <si>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</si>
  <si>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</si>
  <si>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</si>
  <si>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</si>
  <si>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</si>
  <si>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</si>
  <si>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</si>
  <si>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</si>
  <si>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</si>
  <si>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</si>
  <si>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</si>
  <si>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</si>
  <si>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</si>
  <si>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</si>
  <si>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</si>
  <si>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</si>
  <si>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</si>
  <si>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</si>
  <si>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</si>
  <si>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</si>
  <si>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</si>
  <si>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</si>
  <si>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</si>
  <si>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</si>
  <si>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</si>
  <si>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</si>
  <si>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</si>
  <si>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</si>
  <si>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</si>
  <si>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</si>
  <si>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</si>
  <si>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</si>
  <si>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</si>
  <si>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</si>
  <si>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</si>
  <si>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</si>
  <si>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</si>
  <si>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</si>
  <si>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</si>
  <si>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</si>
  <si>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</si>
  <si>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</si>
  <si>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</si>
  <si>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</si>
  <si>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</si>
  <si>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</si>
  <si>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</si>
  <si>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</si>
  <si>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</si>
  <si>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</si>
  <si>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</si>
  <si>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</si>
  <si>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</si>
  <si>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</si>
  <si>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</si>
  <si>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</si>
  <si>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</si>
  <si>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</si>
  <si>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</si>
  <si>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</si>
  <si>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</si>
  <si>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</si>
  <si>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</si>
  <si>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</si>
  <si>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</si>
  <si>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</si>
  <si>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</si>
  <si>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</si>
  <si>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</si>
  <si>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</si>
  <si>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</si>
  <si>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</si>
  <si>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</si>
  <si>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</si>
  <si>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</si>
  <si>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</si>
  <si>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</si>
  <si>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</si>
  <si>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</si>
  <si>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</si>
  <si>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</si>
  <si>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</si>
  <si>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</si>
  <si>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</si>
  <si>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</si>
  <si>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</si>
  <si>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</si>
  <si>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</si>
  <si>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</si>
  <si>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</si>
  <si>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</si>
  <si>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</si>
  <si>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</si>
  <si>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</si>
  <si>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</si>
  <si>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</si>
  <si>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</si>
  <si>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</si>
  <si>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</si>
  <si>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</si>
  <si>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</si>
  <si>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</si>
  <si>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</si>
  <si>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</si>
  <si>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</si>
  <si>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</si>
  <si>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</si>
  <si>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</si>
  <si>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</si>
  <si>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</si>
  <si>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</si>
  <si>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</si>
  <si>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</si>
  <si>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</si>
  <si>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</si>
  <si>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</si>
  <si>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</si>
  <si>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</si>
  <si>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</si>
  <si>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</si>
  <si>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</si>
  <si>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</si>
  <si>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</si>
  <si>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</si>
  <si>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</si>
  <si>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</si>
  <si>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</si>
  <si>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</si>
  <si>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</si>
  <si>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</si>
  <si>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</si>
  <si>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</si>
  <si>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</si>
  <si>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</si>
  <si>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</si>
  <si>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</si>
  <si>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</si>
  <si>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</si>
  <si>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</si>
  <si>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</si>
  <si>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</si>
  <si>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</si>
  <si>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</si>
  <si>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</si>
  <si>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</si>
  <si>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</si>
  <si>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</si>
  <si>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</si>
  <si>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</si>
  <si>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</si>
  <si>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</si>
  <si>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</si>
  <si>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</si>
  <si>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</si>
  <si>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</si>
  <si>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</si>
  <si>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</si>
  <si>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</si>
  <si>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</si>
  <si>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</si>
  <si>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</si>
  <si>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</si>
  <si>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</si>
  <si>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</si>
  <si>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</si>
  <si>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</si>
  <si>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</si>
  <si>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</si>
  <si>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</si>
  <si>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</si>
  <si>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</si>
  <si>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</si>
  <si>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</si>
  <si>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</si>
  <si>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</si>
  <si>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</si>
  <si>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</si>
  <si>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</si>
  <si>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</si>
  <si>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</si>
  <si>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</si>
  <si>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</si>
  <si>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</si>
  <si>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</si>
  <si>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</si>
  <si>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</si>
  <si>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</si>
  <si>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</si>
  <si>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</si>
  <si>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</si>
  <si>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</si>
  <si>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</si>
  <si>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</si>
  <si>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</si>
  <si>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</si>
  <si>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</si>
  <si>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</si>
  <si>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</si>
  <si>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</si>
  <si>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</si>
  <si>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</si>
  <si>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</si>
  <si>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</si>
  <si>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</si>
  <si>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</si>
  <si>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</si>
  <si>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</si>
  <si>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</si>
  <si>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</si>
  <si>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</si>
  <si>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</si>
  <si>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</si>
  <si>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</si>
  <si>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</si>
  <si>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</si>
  <si>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</si>
  <si>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</si>
  <si>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</si>
  <si>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</si>
  <si>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</si>
  <si>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</si>
  <si>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</si>
  <si>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</si>
  <si>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</si>
  <si>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</si>
  <si>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</si>
  <si>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</si>
  <si>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</si>
  <si>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</si>
  <si>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</si>
  <si>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</si>
  <si>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</si>
  <si>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</si>
  <si>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</si>
  <si>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</si>
  <si>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</si>
  <si>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</si>
  <si>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</si>
  <si>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</si>
  <si>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</si>
  <si>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</si>
  <si>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</si>
  <si>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</si>
  <si>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</si>
  <si>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</si>
  <si>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</si>
  <si>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</si>
  <si>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</si>
  <si>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</si>
  <si>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</si>
  <si>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</si>
  <si>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</si>
  <si>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</si>
  <si>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</si>
  <si>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</si>
  <si>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</si>
  <si>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</si>
  <si>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</si>
  <si>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</si>
  <si>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</si>
  <si>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</si>
  <si>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</si>
  <si>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</si>
  <si>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</si>
  <si>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</si>
  <si>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</si>
  <si>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</si>
  <si>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</si>
  <si>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</si>
  <si>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</si>
  <si>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</si>
  <si>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</si>
  <si>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</si>
  <si>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</si>
  <si>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</si>
  <si>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</si>
  <si>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</si>
  <si>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</si>
  <si>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</si>
  <si>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</si>
  <si>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</si>
  <si>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</si>
  <si>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</si>
  <si>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</si>
  <si>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</si>
  <si>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</si>
  <si>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</si>
  <si>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</si>
  <si>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</si>
  <si>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</si>
  <si>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</si>
  <si>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</si>
  <si>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</si>
  <si>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</si>
  <si>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</si>
  <si>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</si>
  <si>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</si>
  <si>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</si>
  <si>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</si>
  <si>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</si>
  <si>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</si>
  <si>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</si>
  <si>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</si>
  <si>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</si>
  <si>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</si>
  <si>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</si>
  <si>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</si>
  <si>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</si>
  <si>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</si>
  <si>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</si>
  <si>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</si>
  <si>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</si>
  <si>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</si>
  <si>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</si>
  <si>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</si>
  <si>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</si>
  <si>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</si>
  <si>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</si>
  <si>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</si>
  <si>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</si>
  <si>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</si>
  <si>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</si>
  <si>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</si>
  <si>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</si>
  <si>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</si>
  <si>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</si>
  <si>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</si>
  <si>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</si>
  <si>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</si>
  <si>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</si>
  <si>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</si>
  <si>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</si>
  <si>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</si>
  <si>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</si>
  <si>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</si>
  <si>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</si>
  <si>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</si>
  <si>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</si>
  <si>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</si>
  <si>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</si>
  <si>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</si>
  <si>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</si>
  <si>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</si>
  <si>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</si>
  <si>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</si>
  <si>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</si>
  <si>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</si>
  <si>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</si>
  <si>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</si>
  <si>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</si>
  <si>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</si>
  <si>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</si>
  <si>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</si>
  <si>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</si>
  <si>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</si>
  <si>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</si>
  <si>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</si>
  <si>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</si>
  <si>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</si>
  <si>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</si>
  <si>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</si>
  <si>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</si>
  <si>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</si>
  <si>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</si>
  <si>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</si>
  <si>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</si>
  <si>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</si>
  <si>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</si>
  <si>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</si>
  <si>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</si>
  <si>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</si>
  <si>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</si>
  <si>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</si>
  <si>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</si>
  <si>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</si>
  <si>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</si>
  <si>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</si>
  <si>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</si>
  <si>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</si>
  <si>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</si>
  <si>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</si>
  <si>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</si>
  <si>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</si>
  <si>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</si>
  <si>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</si>
  <si>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</si>
  <si>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</si>
  <si>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</si>
  <si>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</si>
  <si>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</si>
  <si>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</si>
  <si>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</si>
  <si>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</si>
  <si>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</si>
  <si>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</si>
  <si>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</si>
  <si>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</si>
  <si>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</si>
  <si>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</si>
  <si>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</si>
  <si>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</si>
  <si>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</si>
  <si>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</si>
  <si>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</si>
  <si>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</si>
  <si>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</si>
  <si>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</si>
  <si>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</si>
  <si>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</si>
  <si>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</si>
  <si>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</si>
  <si>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</si>
  <si>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</si>
  <si>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</si>
  <si>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</si>
  <si>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</si>
  <si>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</si>
  <si>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</si>
  <si>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</si>
  <si>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</si>
  <si>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</si>
  <si>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</si>
  <si>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</si>
  <si>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</si>
  <si>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</si>
  <si>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</si>
  <si>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</si>
  <si>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</si>
  <si>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</si>
  <si>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</si>
  <si>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</si>
  <si>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</si>
  <si>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</si>
  <si>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</si>
  <si>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</si>
  <si>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</si>
  <si>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</si>
  <si>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</si>
  <si>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</si>
  <si>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</si>
  <si>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</si>
  <si>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</si>
  <si>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</si>
  <si>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</si>
  <si>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</si>
  <si>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</si>
  <si>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</si>
  <si>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</si>
  <si>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</si>
  <si>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</si>
  <si>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</si>
  <si>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</si>
  <si>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</si>
  <si>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</si>
  <si>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</si>
  <si>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</si>
  <si>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</si>
  <si>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</si>
  <si>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</si>
  <si>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</si>
  <si>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</si>
  <si>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</si>
  <si>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</si>
  <si>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</si>
  <si>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</si>
  <si>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</si>
  <si>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</si>
  <si>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</si>
  <si>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</si>
  <si>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</si>
  <si>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</si>
  <si>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</si>
  <si>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</si>
  <si>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</si>
  <si>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</si>
  <si>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</si>
  <si>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</si>
  <si>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</si>
  <si>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</si>
  <si>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</si>
  <si>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</si>
  <si>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</si>
  <si>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</si>
  <si>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</si>
  <si>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</si>
  <si>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</si>
  <si>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</si>
  <si>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</si>
  <si>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</si>
  <si>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</si>
  <si>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</si>
  <si>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</si>
  <si>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</si>
  <si>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</si>
  <si>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</si>
  <si>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</si>
  <si>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</si>
  <si>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</si>
  <si>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</si>
  <si>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</si>
  <si>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</si>
  <si>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</si>
  <si>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</si>
  <si>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</si>
  <si>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</si>
  <si>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</si>
  <si>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</si>
  <si>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</si>
  <si>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</si>
  <si>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</si>
  <si>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</si>
  <si>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</si>
  <si>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</si>
  <si>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</si>
  <si>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</si>
  <si>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</si>
  <si>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</si>
  <si>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</si>
  <si>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</si>
  <si>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</si>
  <si>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</si>
  <si>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</si>
  <si>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</si>
  <si>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</si>
  <si>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</si>
  <si>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</si>
  <si>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</si>
  <si>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</si>
  <si>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</si>
  <si>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</si>
  <si>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</si>
  <si>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</si>
  <si>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</si>
  <si>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</si>
  <si>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</si>
  <si>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</si>
  <si>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</si>
  <si>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</si>
  <si>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</si>
  <si>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</si>
  <si>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</si>
  <si>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</si>
  <si>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</si>
  <si>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</si>
  <si>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</si>
  <si>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</si>
  <si>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</si>
  <si>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</si>
  <si>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</si>
  <si>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</si>
  <si>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</si>
  <si>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</si>
  <si>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</si>
  <si>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</si>
  <si>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</si>
  <si>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</si>
  <si>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</si>
  <si>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</si>
  <si>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</si>
  <si>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</si>
  <si>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</si>
  <si>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</si>
  <si>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</si>
  <si>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</si>
  <si>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</si>
  <si>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</si>
  <si>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</si>
  <si>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</si>
  <si>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</si>
  <si>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</si>
  <si>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</si>
  <si>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</si>
  <si>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</si>
  <si>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</si>
  <si>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</si>
  <si>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</si>
  <si>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</si>
  <si>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</si>
  <si>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</si>
  <si>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</si>
  <si>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</si>
  <si>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</si>
  <si>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</si>
  <si>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</si>
  <si>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</si>
  <si>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</si>
  <si>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</si>
  <si>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</si>
  <si>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</si>
  <si>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</si>
  <si>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</si>
  <si>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</si>
  <si>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</si>
  <si>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</si>
  <si>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</si>
  <si>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</si>
  <si>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</si>
  <si>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</si>
  <si>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</si>
  <si>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</si>
  <si>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</si>
  <si>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</si>
  <si>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</si>
  <si>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</si>
  <si>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</si>
  <si>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</si>
  <si>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</si>
  <si>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</si>
  <si>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</si>
  <si>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</si>
  <si>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</si>
  <si>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</si>
  <si>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</si>
  <si>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</si>
  <si>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</si>
  <si>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</si>
  <si>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</si>
  <si>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</si>
  <si>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</si>
  <si>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</si>
  <si>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</si>
  <si>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</si>
  <si>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</si>
  <si>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</si>
  <si>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</si>
  <si>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</si>
  <si>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</si>
  <si>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</si>
  <si>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</si>
  <si>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</si>
  <si>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</si>
  <si>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</si>
  <si>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</si>
  <si>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</si>
  <si>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</si>
  <si>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</si>
  <si>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</si>
  <si>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</si>
  <si>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</si>
  <si>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</si>
  <si>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</si>
  <si>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</si>
  <si>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</si>
  <si>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</si>
  <si>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</si>
  <si>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</si>
  <si>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</si>
  <si>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</si>
  <si>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</si>
  <si>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</si>
  <si>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</si>
  <si>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</si>
  <si>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</si>
  <si>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</si>
  <si>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</si>
  <si>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</si>
  <si>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</si>
  <si>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</si>
  <si>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</si>
  <si>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</si>
  <si>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</si>
  <si>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</si>
  <si>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</si>
  <si>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</si>
  <si>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</si>
  <si>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</si>
  <si>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</si>
  <si>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</si>
  <si>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</si>
  <si>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</si>
  <si>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</si>
  <si>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</si>
  <si>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</si>
  <si>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</si>
  <si>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</si>
  <si>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</si>
  <si>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</si>
  <si>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</si>
  <si>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</si>
  <si>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</si>
  <si>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</si>
  <si>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</si>
  <si>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</si>
  <si>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</si>
  <si>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</si>
  <si>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</si>
  <si>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</si>
  <si>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</si>
  <si>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</si>
  <si>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</si>
  <si>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</si>
  <si>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</si>
  <si>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</si>
  <si>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</si>
  <si>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</si>
  <si>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</si>
  <si>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</si>
  <si>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</si>
  <si>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</si>
  <si>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</si>
  <si>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</si>
  <si>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</si>
  <si>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</si>
  <si>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</si>
  <si>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</si>
  <si>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</si>
  <si>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</si>
  <si>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</si>
  <si>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</si>
  <si>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</si>
  <si>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</si>
  <si>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</si>
  <si>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</si>
  <si>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</si>
  <si>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</si>
  <si>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</si>
  <si>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</si>
  <si>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</si>
  <si>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</si>
  <si>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</si>
  <si>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</si>
  <si>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</si>
  <si>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</si>
  <si>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</si>
  <si>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</si>
  <si>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</si>
  <si>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</si>
  <si>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</si>
  <si>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</si>
  <si>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</si>
  <si>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</si>
  <si>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</si>
  <si>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</si>
  <si>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</si>
  <si>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</si>
  <si>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</si>
  <si>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</si>
  <si>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</si>
  <si>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</si>
  <si>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</si>
  <si>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</si>
  <si>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</si>
  <si>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</si>
  <si>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</si>
  <si>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</si>
  <si>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</si>
  <si>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</si>
  <si>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</si>
  <si>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</si>
  <si>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</si>
  <si>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</si>
  <si>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</si>
  <si>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</si>
  <si>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</si>
  <si>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</si>
  <si>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</si>
  <si>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</si>
  <si>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</si>
  <si>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</si>
  <si>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</si>
  <si>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</si>
  <si>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</si>
  <si>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</si>
  <si>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</si>
  <si>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</si>
  <si>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</si>
  <si>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</si>
  <si>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</si>
  <si>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</si>
  <si>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</si>
  <si>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</si>
  <si>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</si>
  <si>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</si>
  <si>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</si>
  <si>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</si>
  <si>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</si>
  <si>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</si>
  <si>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</si>
  <si>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</si>
  <si>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</si>
  <si>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</si>
  <si>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</si>
  <si>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</si>
  <si>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</si>
  <si>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</si>
  <si>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</si>
  <si>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</si>
  <si>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</si>
  <si>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</si>
  <si>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</si>
  <si>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</si>
  <si>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</si>
  <si>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</si>
  <si>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</si>
  <si>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</si>
  <si>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</si>
  <si>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</si>
  <si>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</si>
  <si>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</si>
  <si>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</si>
  <si>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</si>
  <si>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</si>
  <si>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</si>
  <si>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</si>
  <si>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</si>
  <si>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</si>
  <si>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</si>
  <si>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</si>
  <si>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</si>
  <si>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</si>
  <si>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</si>
  <si>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</si>
  <si>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</si>
  <si>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</si>
  <si>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</si>
  <si>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</si>
  <si>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</si>
  <si>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</si>
  <si>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</si>
  <si>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</si>
  <si>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</si>
  <si>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</si>
  <si>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</si>
  <si>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</si>
  <si>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</si>
  <si>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</si>
  <si>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</si>
  <si>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</si>
  <si>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</si>
  <si>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</si>
  <si>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</si>
  <si>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</si>
  <si>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</si>
  <si>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</si>
  <si>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</si>
  <si>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</si>
  <si>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</si>
  <si>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</si>
  <si>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</si>
  <si>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</si>
  <si>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</si>
  <si>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</si>
  <si>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</si>
  <si>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</si>
  <si>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</si>
  <si>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</si>
  <si>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</si>
  <si>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</si>
  <si>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</si>
  <si>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</si>
  <si>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</si>
  <si>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</si>
  <si>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</si>
  <si>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</si>
  <si>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</si>
  <si>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</si>
  <si>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</si>
  <si>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</si>
  <si>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</si>
  <si>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</si>
  <si>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</si>
  <si>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</si>
  <si>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</si>
  <si>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</si>
  <si>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</si>
  <si>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</si>
  <si>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</si>
  <si>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</si>
  <si>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</si>
  <si>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</si>
  <si>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</si>
  <si>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</si>
  <si>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</si>
  <si>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</si>
  <si>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</si>
  <si>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</si>
  <si>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</si>
  <si>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</si>
  <si>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</si>
  <si>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</si>
  <si>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</si>
  <si>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</si>
  <si>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</si>
  <si>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</si>
  <si>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</si>
  <si>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</si>
  <si>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</si>
  <si>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</si>
  <si>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</si>
  <si>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</si>
  <si>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</si>
  <si>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</si>
  <si>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</si>
  <si>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</si>
  <si>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</si>
  <si>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</si>
  <si>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</si>
  <si>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</si>
  <si>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</si>
  <si>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</si>
  <si>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</si>
  <si>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</si>
  <si>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</si>
  <si>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</si>
  <si>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</si>
  <si>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</si>
  <si>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</si>
  <si>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</si>
  <si>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</si>
  <si>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</si>
  <si>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</si>
  <si>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</si>
  <si>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</si>
  <si>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</si>
  <si>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</si>
  <si>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</si>
  <si>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</si>
  <si>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</si>
  <si>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</si>
  <si>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</si>
  <si>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</si>
  <si>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</si>
  <si>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</si>
  <si>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</si>
  <si>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</si>
  <si>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</si>
  <si>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</si>
  <si>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</si>
  <si>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</si>
  <si>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</si>
  <si>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</si>
  <si>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</si>
  <si>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</si>
  <si>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</si>
  <si>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</si>
  <si>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</si>
  <si>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</si>
  <si>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</si>
  <si>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</si>
  <si>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</si>
  <si>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</si>
  <si>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</si>
  <si>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</si>
  <si>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</si>
  <si>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</si>
  <si>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</si>
  <si>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</si>
  <si>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</si>
  <si>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</si>
  <si>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</si>
  <si>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</si>
  <si>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</si>
  <si>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</si>
  <si>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</si>
  <si>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</si>
  <si>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</si>
  <si>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</si>
  <si>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</si>
  <si>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</si>
  <si>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</si>
  <si>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</si>
  <si>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</si>
  <si>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</si>
  <si>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</si>
  <si>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</si>
  <si>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</si>
  <si>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</si>
  <si>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</si>
  <si>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</si>
  <si>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</si>
  <si>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</si>
  <si>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</si>
  <si>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</si>
  <si>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</si>
  <si>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</si>
  <si>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</si>
  <si>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</si>
  <si>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</si>
  <si>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</si>
  <si>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</si>
  <si>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</si>
  <si>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</si>
  <si>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</si>
  <si>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</si>
  <si>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</si>
  <si>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</si>
  <si>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</si>
  <si>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</si>
  <si>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</si>
  <si>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</si>
  <si>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</si>
  <si>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</si>
  <si>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</si>
  <si>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</si>
  <si>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</si>
  <si>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</si>
  <si>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</si>
  <si>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</si>
  <si>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</si>
  <si>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</si>
  <si>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</si>
  <si>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</si>
  <si>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</si>
  <si>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</si>
  <si>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</si>
  <si>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</si>
  <si>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</si>
  <si>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</si>
  <si>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</si>
  <si>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</si>
  <si>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</si>
  <si>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</si>
  <si>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</si>
  <si>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</si>
  <si>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</si>
  <si>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</si>
  <si>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</si>
  <si>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</si>
  <si>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</si>
  <si>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</si>
  <si>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</si>
  <si>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</si>
  <si>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</si>
  <si>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</si>
  <si>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</si>
  <si>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</si>
  <si>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</si>
  <si>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</si>
  <si>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</si>
  <si>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</si>
  <si>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</si>
  <si>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</si>
  <si>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</si>
  <si>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</si>
  <si>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</si>
  <si>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</si>
  <si>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</si>
  <si>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</si>
  <si>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</si>
  <si>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</si>
  <si>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</si>
  <si>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</si>
  <si>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</si>
  <si>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</si>
  <si>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</si>
  <si>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</si>
  <si>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</si>
  <si>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</si>
  <si>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</si>
  <si>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</si>
  <si>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</si>
  <si>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</si>
  <si>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</si>
  <si>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</si>
  <si>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</si>
  <si>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</si>
  <si>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</si>
  <si>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</si>
  <si>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</si>
  <si>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</si>
  <si>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</si>
  <si>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</si>
  <si>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</si>
  <si>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</si>
  <si>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</si>
  <si>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</si>
  <si>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</si>
  <si>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</si>
  <si>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</si>
  <si>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</si>
  <si>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</si>
  <si>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</si>
  <si>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</si>
  <si>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</si>
  <si>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</si>
  <si>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</si>
  <si>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</si>
  <si>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</si>
  <si>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</si>
  <si>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</si>
  <si>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</si>
  <si>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</si>
  <si>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</si>
  <si>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</si>
  <si>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</si>
  <si>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</si>
  <si>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</si>
  <si>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</si>
  <si>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</si>
  <si>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</si>
  <si>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</si>
  <si>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</si>
  <si>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</si>
  <si>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</si>
  <si>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</si>
  <si>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</si>
  <si>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</si>
  <si>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</si>
  <si>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</si>
  <si>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</si>
  <si>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</si>
  <si>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</si>
  <si>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</si>
  <si>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</si>
  <si>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</si>
  <si>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</si>
  <si>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</si>
  <si>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</si>
  <si>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</si>
  <si>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</si>
  <si>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</si>
  <si>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</si>
  <si>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</si>
  <si>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</si>
  <si>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</si>
  <si>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</si>
  <si>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</si>
  <si>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</si>
  <si>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</si>
  <si>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</si>
  <si>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</si>
  <si>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</si>
  <si>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</si>
  <si>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</si>
  <si>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</si>
  <si>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</si>
  <si>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</si>
  <si>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</si>
  <si>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</si>
  <si>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</si>
  <si>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</si>
  <si>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</si>
  <si>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</si>
  <si>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</si>
  <si>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</si>
  <si>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</si>
  <si>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</si>
  <si>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</si>
  <si>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</si>
  <si>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</si>
  <si>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</si>
  <si>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</si>
  <si>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</si>
  <si>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</si>
  <si>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</si>
  <si>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</si>
  <si>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</si>
  <si>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</si>
  <si>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</si>
  <si>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</si>
  <si>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</si>
  <si>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</si>
  <si>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</si>
  <si>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</si>
  <si>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</si>
  <si>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</si>
  <si>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</si>
  <si>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</si>
  <si>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</si>
  <si>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</si>
  <si>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</si>
  <si>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</si>
  <si>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</si>
  <si>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</si>
  <si>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</si>
  <si>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</si>
  <si>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</si>
  <si>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</si>
  <si>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</si>
  <si>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</si>
  <si>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</si>
  <si>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</si>
  <si>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</si>
  <si>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</si>
  <si>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</si>
  <si>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</si>
  <si>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</si>
  <si>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</si>
  <si>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</si>
  <si>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</si>
  <si>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</si>
  <si>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</si>
  <si>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</si>
  <si>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</si>
  <si>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</si>
  <si>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</si>
  <si>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</si>
  <si>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</si>
  <si>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</si>
  <si>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</si>
  <si>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</si>
  <si>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</si>
  <si>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</si>
  <si>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</si>
  <si>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</si>
  <si>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</si>
  <si>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</si>
  <si>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</si>
  <si>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</si>
  <si>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</si>
  <si>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</si>
  <si>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</si>
  <si>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</si>
  <si>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</si>
  <si>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</si>
  <si>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</si>
  <si>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</si>
  <si>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</si>
  <si>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</si>
  <si>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</si>
  <si>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</si>
  <si>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</si>
  <si>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</si>
  <si>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</si>
  <si>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</si>
  <si>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</si>
  <si>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</si>
  <si>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</si>
  <si>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</si>
  <si>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</si>
  <si>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</si>
  <si>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</si>
  <si>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</si>
  <si>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</si>
  <si>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</si>
  <si>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</si>
  <si>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</si>
  <si>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</si>
  <si>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</si>
  <si>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</si>
  <si>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</si>
  <si>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</si>
  <si>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</si>
  <si>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</si>
  <si>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</si>
  <si>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</si>
  <si>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</si>
  <si>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</si>
  <si>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</si>
  <si>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</si>
  <si>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</si>
  <si>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</si>
  <si>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</si>
  <si>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</si>
  <si>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</si>
  <si>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</si>
  <si>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</si>
  <si>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</si>
  <si>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</si>
  <si>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</si>
  <si>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</si>
  <si>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</si>
  <si>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</si>
  <si>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</si>
  <si>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</si>
  <si>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</si>
  <si>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</si>
  <si>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</si>
  <si>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</si>
  <si>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</si>
  <si>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</si>
  <si>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</si>
  <si>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</si>
  <si>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</si>
  <si>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</si>
  <si>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</si>
  <si>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</si>
  <si>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</si>
  <si>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</si>
  <si>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</si>
  <si>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</si>
  <si>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</si>
  <si>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</si>
  <si>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</si>
  <si>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</si>
  <si>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</si>
  <si>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</si>
  <si>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</si>
  <si>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</si>
  <si>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</si>
  <si>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</si>
  <si>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</si>
  <si>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</si>
  <si>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</si>
  <si>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</si>
  <si>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</si>
  <si>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</si>
  <si>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</si>
  <si>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</si>
  <si>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</si>
  <si>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</si>
  <si>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</si>
  <si>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</si>
  <si>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</si>
  <si>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</si>
  <si>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</si>
  <si>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</si>
  <si>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</si>
  <si>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</si>
  <si>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</si>
  <si>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</si>
  <si>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</si>
  <si>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</si>
  <si>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</si>
  <si>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</si>
  <si>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</si>
  <si>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</si>
  <si>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</si>
  <si>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</si>
  <si>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</si>
  <si>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</si>
  <si>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</si>
  <si>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</si>
  <si>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</si>
  <si>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</si>
  <si>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</si>
  <si>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</si>
  <si>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</si>
  <si>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</si>
  <si>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</si>
  <si>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</si>
  <si>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</si>
  <si>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</si>
  <si>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</si>
  <si>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</si>
  <si>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</si>
  <si>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</si>
  <si>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</si>
  <si>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</si>
  <si>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</si>
  <si>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</si>
  <si>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</si>
  <si>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</si>
  <si>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</si>
  <si>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</si>
  <si>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</si>
  <si>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</si>
  <si>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</si>
  <si>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</si>
  <si>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</si>
  <si>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</si>
  <si>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</si>
  <si>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</si>
  <si>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</si>
  <si>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</si>
  <si>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</si>
  <si>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</si>
  <si>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</si>
  <si>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</si>
  <si>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</si>
  <si>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</si>
  <si>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</si>
  <si>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</si>
  <si>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</si>
  <si>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</si>
  <si>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</si>
  <si>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</si>
  <si>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</si>
  <si>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</si>
  <si>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</si>
  <si>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</si>
  <si>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</si>
  <si>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</si>
  <si>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</si>
  <si>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</si>
  <si>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</si>
  <si>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</si>
  <si>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</si>
  <si>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</si>
  <si>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</si>
  <si>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</si>
  <si>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</si>
  <si>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</si>
  <si>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</si>
  <si>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</si>
  <si>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</si>
  <si>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</si>
  <si>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</si>
  <si>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</si>
  <si>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</si>
  <si>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</si>
  <si>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</si>
  <si>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</si>
  <si>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</si>
  <si>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</si>
  <si>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</si>
  <si>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</si>
  <si>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</si>
  <si>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</si>
  <si>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</si>
  <si>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</si>
  <si>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</si>
  <si>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</si>
  <si>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</si>
  <si>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</si>
  <si>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</si>
  <si>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</si>
  <si>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</si>
  <si>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</si>
  <si>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</si>
  <si>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</si>
  <si>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</si>
  <si>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</si>
  <si>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</si>
  <si>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</si>
  <si>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</si>
  <si>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</si>
  <si>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</si>
  <si>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</si>
  <si>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</si>
  <si>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</si>
  <si>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</si>
  <si>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</si>
  <si>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</si>
  <si>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</si>
  <si>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</si>
  <si>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</si>
  <si>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</si>
  <si>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</si>
  <si>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</si>
  <si>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</si>
  <si>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</si>
  <si>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</si>
  <si>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</si>
  <si>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</si>
  <si>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</si>
  <si>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</si>
  <si>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</si>
  <si>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</si>
  <si>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</si>
  <si>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</si>
  <si>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</si>
  <si>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</si>
  <si>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</si>
  <si>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</si>
  <si>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</si>
  <si>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</si>
  <si>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</si>
  <si>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</si>
  <si>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</si>
  <si>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</si>
  <si>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</si>
  <si>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</si>
  <si>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</si>
  <si>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</si>
  <si>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</si>
  <si>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</si>
  <si>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</si>
  <si>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</si>
  <si>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</si>
  <si>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</si>
  <si>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</si>
  <si>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</si>
  <si>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</si>
  <si>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</si>
  <si>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</si>
  <si>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</si>
  <si>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</si>
  <si>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</si>
  <si>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</si>
  <si>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</si>
  <si>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</si>
  <si>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</si>
  <si>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</si>
  <si>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</si>
  <si>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</si>
  <si>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</si>
  <si>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</si>
  <si>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</si>
  <si>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</si>
  <si>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</si>
  <si>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</si>
  <si>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</si>
  <si>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</si>
  <si>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</si>
  <si>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</si>
  <si>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</si>
  <si>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</si>
  <si>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</si>
  <si>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</si>
  <si>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</si>
  <si>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</si>
  <si>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</si>
  <si>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</si>
  <si>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</si>
  <si>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</si>
  <si>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</si>
  <si>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</si>
  <si>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</si>
  <si>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</si>
  <si>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</si>
  <si>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</si>
  <si>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</si>
  <si>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</si>
  <si>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</si>
  <si>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</si>
  <si>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</si>
  <si>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</si>
  <si>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</si>
  <si>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</si>
  <si>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</si>
  <si>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</si>
  <si>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</si>
  <si>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</si>
  <si>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</si>
  <si>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</si>
  <si>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</si>
  <si>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</si>
  <si>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</si>
  <si>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</si>
  <si>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</si>
  <si>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</si>
  <si>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</si>
  <si>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</si>
  <si>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</si>
  <si>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</si>
  <si>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</si>
  <si>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</si>
  <si>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</si>
  <si>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</si>
  <si>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</si>
  <si>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</si>
  <si>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</si>
  <si>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</si>
  <si>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</si>
  <si>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</si>
  <si>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</si>
  <si>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</si>
  <si>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</si>
  <si>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</si>
  <si>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</si>
  <si>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</si>
  <si>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</si>
  <si>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</si>
  <si>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</si>
  <si>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</si>
  <si>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</si>
  <si>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</si>
  <si>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</si>
  <si>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</si>
  <si>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</si>
  <si>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</si>
  <si>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</si>
  <si>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</si>
  <si>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</si>
  <si>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</si>
  <si>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</si>
  <si>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</si>
  <si>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</si>
  <si>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</si>
  <si>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</si>
  <si>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</si>
  <si>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</si>
  <si>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</si>
  <si>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</si>
  <si>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</si>
  <si>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</si>
  <si>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</si>
  <si>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</si>
  <si>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</si>
  <si>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</si>
  <si>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</si>
  <si>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</si>
  <si>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</si>
  <si>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</si>
  <si>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</si>
  <si>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</si>
  <si>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</si>
  <si>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</si>
  <si>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</si>
  <si>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</si>
  <si>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</si>
  <si>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</si>
  <si>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</si>
  <si>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</si>
  <si>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</si>
  <si>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</si>
  <si>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</si>
  <si>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</si>
  <si>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</si>
  <si>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</si>
  <si>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</si>
  <si>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</si>
  <si>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</si>
  <si>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</si>
  <si>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</si>
  <si>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</si>
  <si>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</si>
  <si>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</si>
  <si>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</si>
  <si>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</si>
  <si>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</si>
  <si>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</si>
  <si>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</si>
  <si>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</si>
  <si>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</si>
  <si>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</si>
  <si>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</si>
  <si>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</si>
  <si>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</si>
  <si>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</si>
  <si>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</si>
  <si>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</si>
  <si>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</si>
  <si>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</si>
  <si>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</si>
  <si>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</si>
  <si>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</si>
  <si>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</si>
  <si>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</si>
  <si>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</si>
  <si>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</si>
  <si>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</si>
  <si>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</si>
  <si>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</si>
  <si>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</si>
  <si>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</si>
  <si>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</si>
  <si>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</si>
  <si>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</si>
  <si>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</si>
  <si>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</si>
  <si>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</si>
  <si>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</si>
  <si>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</si>
  <si>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</si>
  <si>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</si>
  <si>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</si>
  <si>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</si>
  <si>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</si>
  <si>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</si>
  <si>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</si>
  <si>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</si>
  <si>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</si>
  <si>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</si>
  <si>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</si>
  <si>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</si>
  <si>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</si>
  <si>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</si>
  <si>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</si>
  <si>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</si>
  <si>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</si>
  <si>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</si>
  <si>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</si>
  <si>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</si>
  <si>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</si>
  <si>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</si>
  <si>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</si>
  <si>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</si>
  <si>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</si>
  <si>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</si>
  <si>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</si>
  <si>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</si>
  <si>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</si>
  <si>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</si>
  <si>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</si>
  <si>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</si>
  <si>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</si>
  <si>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</si>
  <si>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</si>
  <si>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</si>
  <si>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</si>
  <si>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</si>
  <si>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</si>
  <si>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</si>
  <si>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</si>
  <si>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</si>
  <si>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</si>
  <si>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</si>
  <si>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</si>
  <si>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</si>
  <si>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</si>
  <si>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</si>
  <si>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</si>
  <si>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</si>
  <si>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</si>
  <si>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</si>
  <si>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</si>
  <si>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</si>
  <si>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</si>
  <si>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</si>
  <si>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</si>
  <si>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</si>
  <si>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</si>
  <si>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</si>
  <si>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</si>
  <si>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</si>
  <si>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</si>
  <si>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</si>
  <si>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</si>
  <si>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</si>
  <si>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</si>
  <si>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</si>
  <si>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</si>
  <si>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</si>
  <si>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</si>
  <si>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</si>
  <si>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</si>
  <si>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</si>
  <si>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</si>
  <si>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</si>
  <si>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</si>
  <si>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</si>
  <si>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</si>
  <si>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</si>
  <si>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</si>
  <si>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</si>
  <si>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</si>
  <si>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</si>
  <si>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</si>
  <si>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</si>
  <si>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</si>
  <si>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</si>
  <si>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</si>
  <si>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</si>
  <si>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</si>
  <si>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</si>
  <si>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</si>
  <si>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</si>
  <si>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</si>
  <si>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</si>
  <si>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</si>
  <si>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</si>
  <si>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</si>
  <si>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</si>
  <si>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</si>
  <si>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</si>
  <si>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</si>
  <si>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</si>
  <si>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</si>
  <si>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</si>
  <si>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</si>
  <si>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</si>
  <si>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</si>
  <si>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</si>
  <si>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</si>
  <si>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</si>
  <si>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</si>
  <si>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</si>
  <si>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</si>
  <si>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</si>
  <si>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</si>
  <si>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</si>
  <si>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</si>
  <si>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</si>
  <si>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</si>
  <si>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</si>
  <si>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</si>
  <si>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</si>
  <si>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</si>
  <si>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</si>
  <si>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</si>
  <si>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</si>
  <si>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</si>
  <si>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</si>
  <si>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</si>
  <si>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</si>
  <si>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</si>
  <si>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</si>
  <si>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</si>
  <si>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</si>
  <si>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</si>
  <si>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</si>
  <si>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</si>
  <si>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</si>
  <si>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</si>
  <si>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</si>
  <si>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</si>
  <si>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</si>
  <si>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</si>
  <si>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</si>
  <si>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</si>
  <si>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</si>
  <si>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</si>
  <si>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</si>
  <si>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</si>
  <si>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</si>
  <si>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</si>
  <si>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</si>
  <si>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</si>
  <si>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</si>
  <si>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</si>
  <si>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</si>
  <si>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</si>
  <si>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</si>
  <si>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</si>
  <si>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</si>
  <si>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</si>
  <si>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</si>
  <si>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</si>
  <si>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</si>
  <si>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</si>
  <si>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</si>
  <si>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</si>
  <si>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</si>
  <si>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</si>
  <si>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</si>
  <si>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</si>
  <si>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</si>
  <si>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</si>
  <si>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</si>
  <si>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</si>
  <si>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</si>
  <si>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</si>
  <si>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</si>
  <si>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</si>
  <si>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</si>
  <si>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</si>
  <si>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</si>
  <si>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</si>
  <si>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</si>
  <si>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</si>
  <si>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</si>
  <si>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</si>
  <si>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</si>
  <si>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</si>
  <si>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</si>
  <si>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</si>
  <si>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</si>
  <si>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</si>
  <si>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</si>
  <si>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</si>
  <si>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</si>
  <si>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</si>
  <si>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</si>
  <si>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</si>
  <si>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</si>
  <si>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</si>
  <si>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</si>
  <si>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</si>
  <si>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</si>
  <si>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</si>
  <si>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</si>
  <si>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</si>
  <si>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</si>
  <si>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</si>
  <si>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</si>
  <si>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</si>
  <si>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</si>
  <si>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</si>
  <si>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</si>
  <si>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</si>
  <si>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</si>
  <si>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</si>
  <si>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</si>
  <si>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</si>
  <si>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</si>
  <si>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</si>
  <si>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</si>
  <si>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</si>
  <si>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</si>
  <si>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</si>
  <si>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</si>
  <si>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</si>
  <si>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</si>
  <si>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</si>
  <si>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</si>
  <si>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</si>
  <si>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</si>
  <si>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</si>
  <si>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</si>
  <si>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</si>
  <si>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</si>
  <si>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</si>
  <si>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</si>
  <si>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</si>
  <si>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</si>
  <si>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</si>
  <si>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</si>
  <si>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</si>
  <si>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</si>
  <si>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</si>
  <si>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</si>
  <si>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</si>
  <si>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</si>
  <si>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</si>
  <si>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</si>
  <si>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</si>
  <si>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</si>
  <si>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</si>
  <si>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</si>
  <si>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</si>
  <si>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</si>
  <si>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</si>
  <si>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</si>
  <si>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</si>
  <si>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</si>
  <si>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</si>
  <si>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</si>
  <si>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</si>
  <si>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</si>
  <si>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</si>
  <si>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</si>
  <si>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</si>
  <si>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</si>
  <si>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</si>
  <si>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</si>
  <si>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</si>
  <si>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</si>
  <si>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</si>
  <si>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</si>
  <si>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</si>
  <si>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</si>
  <si>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</si>
  <si>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</si>
  <si>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</si>
  <si>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</si>
  <si>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</si>
  <si>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</si>
  <si>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</si>
  <si>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</si>
  <si>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</si>
  <si>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</si>
  <si>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</si>
  <si>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</si>
  <si>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</si>
  <si>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</si>
  <si>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</si>
  <si>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</si>
  <si>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</si>
  <si>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</si>
  <si>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</si>
  <si>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</si>
  <si>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</si>
  <si>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</si>
  <si>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</si>
  <si>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</si>
  <si>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</si>
  <si>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</si>
  <si>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</si>
  <si>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</si>
  <si>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</si>
  <si>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</si>
  <si>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</si>
  <si>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</si>
  <si>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</si>
  <si>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</si>
  <si>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</si>
  <si>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</si>
  <si>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</si>
  <si>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</si>
  <si>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</si>
  <si>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</si>
  <si>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</si>
  <si>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</si>
  <si>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</si>
  <si>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</si>
  <si>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</si>
  <si>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</si>
  <si>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</si>
  <si>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</si>
  <si>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</si>
  <si>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</si>
  <si>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</si>
  <si>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</si>
  <si>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</si>
  <si>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</si>
  <si>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</si>
  <si>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</si>
  <si>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</si>
  <si>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</si>
  <si>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</si>
  <si>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</si>
  <si>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</si>
  <si>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</si>
  <si>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</si>
  <si>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</si>
  <si>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</si>
  <si>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</si>
  <si>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</si>
  <si>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</si>
  <si>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</si>
  <si>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</si>
  <si>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</si>
  <si>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</si>
  <si>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</si>
  <si>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</si>
  <si>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</si>
  <si>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</si>
  <si>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</si>
  <si>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</si>
  <si>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</si>
  <si>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</si>
  <si>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</si>
  <si>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</si>
  <si>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</si>
  <si>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</si>
  <si>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</si>
  <si>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</si>
  <si>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</si>
  <si>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</si>
  <si>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</si>
  <si>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</si>
  <si>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</si>
  <si>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</si>
  <si>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</si>
  <si>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</si>
  <si>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</si>
  <si>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</si>
  <si>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</si>
  <si>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</si>
  <si>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</si>
  <si>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</si>
  <si>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</si>
  <si>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</si>
  <si>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</si>
  <si>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</si>
  <si>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</si>
  <si>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</si>
  <si>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</si>
  <si>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</si>
  <si>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</si>
  <si>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</si>
  <si>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</si>
  <si>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</si>
  <si>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</si>
  <si>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</si>
  <si>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</si>
  <si>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</si>
  <si>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</si>
  <si>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</si>
  <si>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</si>
  <si>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</si>
  <si>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</si>
  <si>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</si>
  <si>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</si>
  <si>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</si>
  <si>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</si>
  <si>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</si>
  <si>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</si>
  <si>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</si>
  <si>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</si>
  <si>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</si>
  <si>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</si>
  <si>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</si>
  <si>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</si>
  <si>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</si>
  <si>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</si>
  <si>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</si>
  <si>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</si>
  <si>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</si>
  <si>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</si>
  <si>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</si>
  <si>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</si>
  <si>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</si>
  <si>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</si>
  <si>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</si>
  <si>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</si>
  <si>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</si>
  <si>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</si>
  <si>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</si>
  <si>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</si>
  <si>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</si>
  <si>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</si>
  <si>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</si>
  <si>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</si>
  <si>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</si>
  <si>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</si>
  <si>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</si>
  <si>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</si>
  <si>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</si>
  <si>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</si>
  <si>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</si>
  <si>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</si>
  <si>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</si>
  <si>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</si>
  <si>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</si>
  <si>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</si>
  <si>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</si>
  <si>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</si>
  <si>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</si>
  <si>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</si>
  <si>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</si>
  <si>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</si>
  <si>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</si>
  <si>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</si>
  <si>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</si>
  <si>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</si>
  <si>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</si>
  <si>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</si>
  <si>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</si>
  <si>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</si>
  <si>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</si>
  <si>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</si>
  <si>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</si>
  <si>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</si>
  <si>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</si>
  <si>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</si>
  <si>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</si>
  <si>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</si>
  <si>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</si>
  <si>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</si>
  <si>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</si>
  <si>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</si>
  <si>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</si>
  <si>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</si>
  <si>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</si>
  <si>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</si>
  <si>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</si>
  <si>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</si>
  <si>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</si>
  <si>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</si>
  <si>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</si>
  <si>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</si>
  <si>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</si>
  <si>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</si>
  <si>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</si>
  <si>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</si>
  <si>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</si>
  <si>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</si>
  <si>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</si>
  <si>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</si>
  <si>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</si>
  <si>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</si>
  <si>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</si>
  <si>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</si>
  <si>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</si>
  <si>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</si>
  <si>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</si>
  <si>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</si>
  <si>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</si>
  <si>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</si>
  <si>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</si>
  <si>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</si>
  <si>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</si>
  <si>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</si>
  <si>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</si>
  <si>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</si>
  <si>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</si>
  <si>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</si>
  <si>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</si>
  <si>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</si>
  <si>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</si>
  <si>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</si>
  <si>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</si>
  <si>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</si>
  <si>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</si>
  <si>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</si>
  <si>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</si>
  <si>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</si>
  <si>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</si>
  <si>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</si>
  <si>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</si>
  <si>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</si>
  <si>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</si>
  <si>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</si>
  <si>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</si>
  <si>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</si>
  <si>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</si>
  <si>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</si>
  <si>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</si>
  <si>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</si>
  <si>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</si>
  <si>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</si>
  <si>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</si>
  <si>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</si>
  <si>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</si>
  <si>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</si>
  <si>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</si>
  <si>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</si>
  <si>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</si>
  <si>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</si>
  <si>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</si>
  <si>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</si>
  <si>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</si>
  <si>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</si>
  <si>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</si>
  <si>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</si>
  <si>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</si>
  <si>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</si>
  <si>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</si>
  <si>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</si>
  <si>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</si>
  <si>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</si>
  <si>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</si>
  <si>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</si>
  <si>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</si>
  <si>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</si>
  <si>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</si>
  <si>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</si>
  <si>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</si>
  <si>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</si>
  <si>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</si>
  <si>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</si>
  <si>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</si>
  <si>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</si>
  <si>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</si>
  <si>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</si>
  <si>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</si>
  <si>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</si>
  <si>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</si>
  <si>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</si>
  <si>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</si>
  <si>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</si>
  <si>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</si>
  <si>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</si>
  <si>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</si>
  <si>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</si>
  <si>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</si>
  <si>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</si>
  <si>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</si>
  <si>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</si>
  <si>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</si>
  <si>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</si>
  <si>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</si>
  <si>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</si>
  <si>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</si>
  <si>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</si>
  <si>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</si>
  <si>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</si>
  <si>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</si>
  <si>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</si>
  <si>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</si>
  <si>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</si>
  <si>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</si>
  <si>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</si>
  <si>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</si>
  <si>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</si>
  <si>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</si>
  <si>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</si>
  <si>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</si>
  <si>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</si>
  <si>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</si>
  <si>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</si>
  <si>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</si>
  <si>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</si>
  <si>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</si>
  <si>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</si>
  <si>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</si>
  <si>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</si>
  <si>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</si>
  <si>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</si>
  <si>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</si>
  <si>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</si>
  <si>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</si>
  <si>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</si>
  <si>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</si>
  <si>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</si>
  <si>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</si>
  <si>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</si>
  <si>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</si>
  <si>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</si>
  <si>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</si>
  <si>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</si>
  <si>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</si>
  <si>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</si>
  <si>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</si>
  <si>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</si>
  <si>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</si>
  <si>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</si>
  <si>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</si>
  <si>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</si>
  <si>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</si>
  <si>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</si>
  <si>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</si>
  <si>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</si>
  <si>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</si>
  <si>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</si>
  <si>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</si>
  <si>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</si>
  <si>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</si>
  <si>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</si>
  <si>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</si>
  <si>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</si>
  <si>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</si>
  <si>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</si>
  <si>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</si>
  <si>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</si>
  <si>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</si>
  <si>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</si>
  <si>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</si>
  <si>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</si>
  <si>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</si>
  <si>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</si>
  <si>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</si>
  <si>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</si>
  <si>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</si>
  <si>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</si>
  <si>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</si>
  <si>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</si>
  <si>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</si>
  <si>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</si>
  <si>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</si>
  <si>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</si>
  <si>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</si>
  <si>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</si>
  <si>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</si>
  <si>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</si>
  <si>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</si>
  <si>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</si>
  <si>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</si>
  <si>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</si>
  <si>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</si>
  <si>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</si>
  <si>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</si>
  <si>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</si>
  <si>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</si>
  <si>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</si>
  <si>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</si>
  <si>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</si>
  <si>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</si>
  <si>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</si>
  <si>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</si>
  <si>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</si>
  <si>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</si>
  <si>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</si>
  <si>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</si>
  <si>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</si>
  <si>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</si>
  <si>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</si>
  <si>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</si>
  <si>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</si>
  <si>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</si>
  <si>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</si>
  <si>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</si>
  <si>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</si>
  <si>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</si>
  <si>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</si>
  <si>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</si>
  <si>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</si>
  <si>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</si>
  <si>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</si>
  <si>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</si>
  <si>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</si>
  <si>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</si>
  <si>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</si>
  <si>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</si>
  <si>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</si>
  <si>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</si>
  <si>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</si>
  <si>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</si>
  <si>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</si>
  <si>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</si>
  <si>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</si>
  <si>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</si>
  <si>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</si>
  <si>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</si>
  <si>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</si>
  <si>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</si>
  <si>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</si>
  <si>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</si>
  <si>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</si>
  <si>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</si>
  <si>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</si>
  <si>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</si>
  <si>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</si>
  <si>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</si>
  <si>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</si>
  <si>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</si>
  <si>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</si>
  <si>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</si>
  <si>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</si>
  <si>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</si>
  <si>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</si>
  <si>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</si>
  <si>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</si>
  <si>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</si>
  <si>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</si>
  <si>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</si>
  <si>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</si>
  <si>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</si>
  <si>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</si>
  <si>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</si>
  <si>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</si>
  <si>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</si>
  <si>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</si>
  <si>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</si>
  <si>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</si>
  <si>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</si>
  <si>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</si>
  <si>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</si>
  <si>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</si>
  <si>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</si>
  <si>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</si>
  <si>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</si>
  <si>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</si>
  <si>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</si>
  <si>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</si>
  <si>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</si>
  <si>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</si>
  <si>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</si>
  <si>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</si>
  <si>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</si>
  <si>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</si>
  <si>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</si>
  <si>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</si>
  <si>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</si>
  <si>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</si>
  <si>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</si>
  <si>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</si>
  <si>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</si>
  <si>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</si>
  <si>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</si>
  <si>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</si>
  <si>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</si>
  <si>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</si>
  <si>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</si>
  <si>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</si>
  <si>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</si>
  <si>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</si>
  <si>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</si>
  <si>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</si>
  <si>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</si>
  <si>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</si>
  <si>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</si>
  <si>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</si>
  <si>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</si>
  <si>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</si>
  <si>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</si>
  <si>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</si>
  <si>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</si>
  <si>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</si>
  <si>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</si>
  <si>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</si>
  <si>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</si>
  <si>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</si>
  <si>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</si>
  <si>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</si>
  <si>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</si>
  <si>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</si>
  <si>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</si>
  <si>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</si>
  <si>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</si>
  <si>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</si>
  <si>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</si>
  <si>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</si>
  <si>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</si>
  <si>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</si>
  <si>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</si>
  <si>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</si>
  <si>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</si>
  <si>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</si>
  <si>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</si>
  <si>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</si>
  <si>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</si>
  <si>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</si>
  <si>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</si>
  <si>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</si>
  <si>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</si>
  <si>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</si>
  <si>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</si>
  <si>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</si>
  <si>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</si>
  <si>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</si>
  <si>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</si>
  <si>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</si>
  <si>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</si>
  <si>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</si>
  <si>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</si>
  <si>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</si>
  <si>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</si>
  <si>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</si>
  <si>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</si>
  <si>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</si>
  <si>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</si>
  <si>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</si>
  <si>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</si>
  <si>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</si>
  <si>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</si>
  <si>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</si>
  <si>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</si>
  <si>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</si>
  <si>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</si>
  <si>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</si>
  <si>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</si>
  <si>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</si>
  <si>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</si>
  <si>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</si>
  <si>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</si>
  <si>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</si>
  <si>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</si>
  <si>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</si>
  <si>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</si>
  <si>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</si>
  <si>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</si>
  <si>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</si>
  <si>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</si>
  <si>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</si>
  <si>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</si>
  <si>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</si>
  <si>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</si>
  <si>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</si>
  <si>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</si>
  <si>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</si>
  <si>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</si>
  <si>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</si>
  <si>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</si>
  <si>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</si>
  <si>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</si>
  <si>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</si>
  <si>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</si>
  <si>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</si>
  <si>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</si>
  <si>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</si>
  <si>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</si>
  <si>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</si>
  <si>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</si>
  <si>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</si>
  <si>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</si>
  <si>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</si>
  <si>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</si>
  <si>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</si>
  <si>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</si>
  <si>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</si>
  <si>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</si>
  <si>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</si>
  <si>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</si>
  <si>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</si>
  <si>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</si>
  <si>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</si>
  <si>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</si>
  <si>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</si>
  <si>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</si>
  <si>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</si>
  <si>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</si>
  <si>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</si>
  <si>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</si>
  <si>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</si>
  <si>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</si>
  <si>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</si>
  <si>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</si>
  <si>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</si>
  <si>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</si>
  <si>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</si>
  <si>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</si>
  <si>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</si>
  <si>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</si>
  <si>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</si>
  <si>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</si>
  <si>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</si>
  <si>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</si>
  <si>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</si>
  <si>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</si>
  <si>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</si>
  <si>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</si>
  <si>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</si>
  <si>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</si>
  <si>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</si>
  <si>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</si>
  <si>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</si>
  <si>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</si>
  <si>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</si>
  <si>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</si>
  <si>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</si>
  <si>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</si>
  <si>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</si>
  <si>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</si>
  <si>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</si>
  <si>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</si>
  <si>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</si>
  <si>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</si>
  <si>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</si>
  <si>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</si>
  <si>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</si>
  <si>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</si>
  <si>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</si>
  <si>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</si>
  <si>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</si>
  <si>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</si>
  <si>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</si>
  <si>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</si>
  <si>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</si>
  <si>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</si>
  <si>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</si>
  <si>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</si>
  <si>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</si>
  <si>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</si>
  <si>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</si>
  <si>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</si>
  <si>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</si>
  <si>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</si>
  <si>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</si>
  <si>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</si>
  <si>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</si>
  <si>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</si>
  <si>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</si>
  <si>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</si>
  <si>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</si>
  <si>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</si>
  <si>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</si>
  <si>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</si>
  <si>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</si>
  <si>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</si>
  <si>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</si>
  <si>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</si>
  <si>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</si>
  <si>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</si>
  <si>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</si>
  <si>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</si>
  <si>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</si>
  <si>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</si>
  <si>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</si>
  <si>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</si>
  <si>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</si>
  <si>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</si>
  <si>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</si>
  <si>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</si>
  <si>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</si>
  <si>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</si>
  <si>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</si>
  <si>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</si>
  <si>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</si>
  <si>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</si>
  <si>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</si>
  <si>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</si>
  <si>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</si>
  <si>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</si>
  <si>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</si>
  <si>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</si>
  <si>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</si>
  <si>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</si>
  <si>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</si>
  <si>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</si>
  <si>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</si>
  <si>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</si>
  <si>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</si>
  <si>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</si>
  <si>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</si>
  <si>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</si>
  <si>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</si>
  <si>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</si>
  <si>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</si>
  <si>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</si>
  <si>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</si>
  <si>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</si>
  <si>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</si>
  <si>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</si>
  <si>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</si>
  <si>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</si>
  <si>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</si>
  <si>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</si>
  <si>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</si>
  <si>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</si>
  <si>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</si>
  <si>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</si>
  <si>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</si>
  <si>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</si>
  <si>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</si>
  <si>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</si>
  <si>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</si>
  <si>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</si>
  <si>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</si>
  <si>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</si>
  <si>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</si>
  <si>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</si>
  <si>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</si>
  <si>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</si>
  <si>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</si>
  <si>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</si>
  <si>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</si>
  <si>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</si>
  <si>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</si>
  <si>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</si>
  <si>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</si>
  <si>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</si>
  <si>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</si>
  <si>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</si>
  <si>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</si>
  <si>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</si>
  <si>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</si>
  <si>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</si>
  <si>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</si>
  <si>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</si>
  <si>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</si>
  <si>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</si>
  <si>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</si>
  <si>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</si>
  <si>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</si>
  <si>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</si>
  <si>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</si>
  <si>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</si>
  <si>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</si>
  <si>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</si>
  <si>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</si>
  <si>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</si>
  <si>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</si>
  <si>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</si>
  <si>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</si>
  <si>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</si>
  <si>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</si>
  <si>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</si>
  <si>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</si>
  <si>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其他：</t>
  </si>
  <si>
    <t>云南省</t>
    <phoneticPr fontId="6" type="noConversion"/>
  </si>
  <si>
    <t>昆明市官渡区官渡街道办事处</t>
    <phoneticPr fontId="6" type="noConversion"/>
  </si>
  <si>
    <t>企业</t>
  </si>
  <si>
    <t>出让</t>
  </si>
  <si>
    <t>在建</t>
  </si>
  <si>
    <t>云南俊贤旅游开发有限公司</t>
    <phoneticPr fontId="6" type="noConversion"/>
  </si>
  <si>
    <t>出让合同</t>
    <phoneticPr fontId="140" type="noConversion"/>
  </si>
  <si>
    <t>土地面积</t>
    <phoneticPr fontId="140" type="noConversion"/>
  </si>
  <si>
    <t>地价款（万元）</t>
    <phoneticPr fontId="140" type="noConversion"/>
  </si>
  <si>
    <t>建筑面积</t>
    <phoneticPr fontId="140" type="noConversion"/>
  </si>
  <si>
    <t>容积率</t>
    <phoneticPr fontId="140" type="noConversion"/>
  </si>
  <si>
    <t>序号</t>
  </si>
  <si>
    <t>栋号</t>
  </si>
  <si>
    <t>层数</t>
  </si>
  <si>
    <t>房屋用途</t>
  </si>
  <si>
    <t>建筑面积</t>
  </si>
  <si>
    <t>商业服务</t>
  </si>
  <si>
    <t>独栋</t>
  </si>
  <si>
    <t>D30栋</t>
  </si>
  <si>
    <t>D31栋</t>
  </si>
  <si>
    <t>D32栋</t>
  </si>
  <si>
    <t>D33栋</t>
  </si>
  <si>
    <t>D35栋</t>
  </si>
  <si>
    <t>D36栋</t>
  </si>
  <si>
    <t>D37栋</t>
  </si>
  <si>
    <t>凯悦酒店项目规划指标表</t>
  </si>
  <si>
    <t>填表人：                                                          审核人：                                                审核时间：</t>
  </si>
  <si>
    <t>①强排</t>
  </si>
  <si>
    <t>②确定社会投资人阶段</t>
  </si>
  <si>
    <t>③控规通过规委会</t>
  </si>
  <si>
    <t>④取得工规证</t>
  </si>
  <si>
    <t>⑤产权面积测绘完成</t>
  </si>
  <si>
    <t>⑥竣工测绘完成</t>
  </si>
  <si>
    <t>与前一阶段差异</t>
  </si>
  <si>
    <t>备注说明</t>
  </si>
  <si>
    <t>项目名称</t>
  </si>
  <si>
    <t>单位</t>
  </si>
  <si>
    <t>总合计</t>
  </si>
  <si>
    <t>XX地块</t>
  </si>
  <si>
    <t>一期合计指标</t>
  </si>
  <si>
    <t>二期合计指标</t>
  </si>
  <si>
    <t>项目总建筑面积</t>
  </si>
  <si>
    <t>m²</t>
  </si>
  <si>
    <t>公共区总建筑面积</t>
  </si>
  <si>
    <t>1.1 大堂                                                                （含大堂，大堂吧，公区卫生间，商务中心，商铺，行李储藏间及公共过道及电梯厅等）</t>
  </si>
  <si>
    <t>1.2 餐饮区                                                                 （全日餐厅，特色餐厅，行政酒廊，公区卫生间，公区过道，门厅，其他餐厅或咖啡酒吧等）</t>
  </si>
  <si>
    <t>1.3 会议                                                             （会议前厅，会议室，门厅，过道，电梯厅，公区卫生间）</t>
  </si>
  <si>
    <t>1.4 宴会厅                                             （各宴会厅，宴会前厅，门厅，过道，公区电梯厅，新娘房，贵宾室，公区卫生间）</t>
  </si>
  <si>
    <t>1.5 健身及娱乐设施                                                 （SPA，健身房，室内泳池，室内泡池，游戏室，儿童俱乐部，图书室，男女更衣间，公区卫生间，公区电梯厅，公区过道等）</t>
  </si>
  <si>
    <t>后勤区总建筑面积（BOH）</t>
  </si>
  <si>
    <t>2.1 管理办公室（总经理办公室，行政办公室，销售办公室，HR办公室，财务办公室，餐饮办公室，房管办公室，司机办公室，采购办公室等）</t>
  </si>
  <si>
    <t>2.2 员工设施                                                            （员工餐厅，员工活动室，员工休息室，员工更衣间，倒班宿舍，培训室）</t>
  </si>
  <si>
    <t>2.3 后勤其他功能区                                                   （厨房，洗衣房，后勤洗手间，后勤电梯厅，后勤过道，储藏间及家具储藏室，后勤楼梯，制服间，医务室，后勤会议室，工程部，垃圾房，花房）</t>
  </si>
  <si>
    <t>2.4 客房后勤区（后勤楼梯间，后勤电梯厅，楼层布草间）</t>
  </si>
  <si>
    <t>2.5 机电用房（空调冷冻机房，配电房，发电机房，IT机房，通讯运营商机房，锅炉房，泡池水泵房，消防水池，消防安防监控室等）</t>
  </si>
  <si>
    <t>2.6 地下车库（机动车，非机动车库及人防）</t>
  </si>
  <si>
    <t>客房总面积</t>
  </si>
  <si>
    <t>别墅式客房总面积</t>
  </si>
  <si>
    <t>5#总统别墅客房</t>
  </si>
  <si>
    <t>6、7、8#别墅式客房</t>
  </si>
  <si>
    <t>地上客房总数（钥匙数）</t>
  </si>
  <si>
    <t>间</t>
  </si>
  <si>
    <t>6.1 房型1 大床房 1*5m bay（填单间面积）</t>
  </si>
  <si>
    <t xml:space="preserve">    间数 </t>
  </si>
  <si>
    <t>6.2 房型2 大床房1.5*5m bay（填单间面积）</t>
  </si>
  <si>
    <t>6.3 房型3 双床房1.5*5m bay（填单间面积）</t>
  </si>
  <si>
    <t>6.4 房型4 大床房 1*6m bay（填单间面积）</t>
  </si>
  <si>
    <t>6.5 房型5 双床房  1*6m bay（填单间面积）</t>
  </si>
  <si>
    <t>6.6 房型6 大床房 1.5m*6m bay（填单间面积）</t>
  </si>
  <si>
    <t>6.7 房型7 双床房 1.5m*6m bay（填单间面积）</t>
  </si>
  <si>
    <t>6.8 房型8 套房 2*6m bay（填单间面积）</t>
  </si>
  <si>
    <t>6.9 房型9 套房 2*6m bay（填单间面积）</t>
  </si>
  <si>
    <t>6.10 房型10 套房 3m*6m bay（填单间面积）</t>
  </si>
  <si>
    <t>6.11 房型16 总经理套房</t>
  </si>
  <si>
    <t>6.12 房型11 别墅大床房 1（填单间面积）</t>
  </si>
  <si>
    <t>6.13 房型12 别墅大床2（填单间面积）</t>
  </si>
  <si>
    <t>6.14 房型13 别墅套房（填单间面积）</t>
  </si>
  <si>
    <t>6.15 房型14 别墅总统套（填单间面积）</t>
  </si>
  <si>
    <t>6.16 房型15 俊发总统套（填单间面积）</t>
  </si>
  <si>
    <t>地下客房总数（钥匙数）</t>
  </si>
  <si>
    <t>7.1 房型1（填单间面积）</t>
  </si>
  <si>
    <t>7.2 房型2（填单间面积）</t>
  </si>
  <si>
    <t xml:space="preserve">    间数</t>
  </si>
  <si>
    <t>客房公区过道及开敞楼梯</t>
  </si>
  <si>
    <t>套房占比（套房间数/总客房数）</t>
  </si>
  <si>
    <t>%</t>
  </si>
  <si>
    <t>客房套均面积（总建筑面积不含地下车库及人防/钥匙数）</t>
  </si>
  <si>
    <t>客房面积比（客房总面积/总建筑面积不含地下车库及人防）</t>
  </si>
  <si>
    <t>公区面积比（公区总面积/总建筑面积不含地下车库及人防）</t>
  </si>
  <si>
    <t>后勤面积比（后勤总面积/总建筑面积不含地下车库及人防）</t>
  </si>
  <si>
    <t>机动车位数</t>
  </si>
  <si>
    <t>个</t>
  </si>
  <si>
    <t>14.1 地上车位数</t>
  </si>
  <si>
    <t xml:space="preserve">           14.1.1 地上VIP车位</t>
  </si>
  <si>
    <t xml:space="preserve">           14.1.2 地上大巴车位</t>
  </si>
  <si>
    <t>14.2 地下车位</t>
  </si>
  <si>
    <t>14.3 电瓶车位数</t>
  </si>
  <si>
    <t>酒店</t>
  </si>
  <si>
    <t>是</t>
  </si>
  <si>
    <t>地上</t>
  </si>
  <si>
    <t>地下</t>
  </si>
  <si>
    <t>官渡区</t>
    <phoneticPr fontId="3" type="noConversion"/>
  </si>
  <si>
    <t>楼面单价</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</si>
  <si>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</si>
  <si>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</si>
  <si>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</si>
  <si>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</si>
  <si>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</si>
  <si>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</si>
  <si>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</si>
  <si>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</si>
  <si>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</si>
  <si>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</si>
  <si>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</si>
  <si>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</si>
  <si>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</si>
  <si>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</si>
  <si>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</si>
  <si>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</si>
  <si>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</si>
  <si>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</si>
  <si>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</si>
  <si>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</si>
  <si>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</si>
  <si>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</si>
  <si>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</si>
  <si>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</si>
  <si>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</si>
  <si>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</si>
  <si>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</si>
  <si>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</si>
  <si>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</si>
  <si>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</si>
  <si>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</si>
  <si>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</si>
  <si>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</si>
  <si>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</si>
  <si>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</si>
  <si>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</si>
  <si>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</si>
  <si>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</si>
  <si>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</si>
  <si>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</si>
  <si>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</si>
  <si>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</si>
  <si>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</si>
  <si>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</si>
  <si>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</si>
  <si>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</si>
  <si>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昆明空港经济区大板桥街道办事处</t>
  </si>
  <si>
    <t>昆明市</t>
  </si>
  <si>
    <t>商业/办公用地</t>
  </si>
  <si>
    <t>官渡区</t>
  </si>
  <si>
    <t>空港</t>
  </si>
  <si>
    <t>挂牌</t>
  </si>
  <si>
    <t>DTCKG2019-022-A3</t>
  </si>
  <si>
    <t>零售商业用地</t>
  </si>
  <si>
    <t>小于或等于1.5</t>
  </si>
  <si>
    <t>小于或等于60</t>
  </si>
  <si>
    <t>未开工</t>
  </si>
  <si>
    <t>2020-11-30</t>
  </si>
  <si>
    <t>2020-12-21</t>
  </si>
  <si>
    <t>2020-12-30</t>
  </si>
  <si>
    <t>昆网挂[2020]23号</t>
  </si>
  <si>
    <t>已成交</t>
  </si>
  <si>
    <t>昆明海诚空港投资开发有限公司</t>
  </si>
  <si>
    <t>40年</t>
  </si>
  <si>
    <t>3星</t>
  </si>
  <si>
    <t>DTCKG2019-035</t>
  </si>
  <si>
    <t>DTCKG2020-017</t>
  </si>
  <si>
    <t>DTCKG2018-010</t>
  </si>
  <si>
    <t>商务金融用地</t>
  </si>
  <si>
    <t>小于或等于4</t>
  </si>
  <si>
    <t>云南滇城置业发展有限公司</t>
  </si>
  <si>
    <t>DTCKG2018-011</t>
  </si>
  <si>
    <t>DTCKG2019-022-A5</t>
  </si>
  <si>
    <t>DTCKG2019-022-A4</t>
  </si>
  <si>
    <t>昆明市官渡区金马街道办事处</t>
  </si>
  <si>
    <t>凉亭</t>
  </si>
  <si>
    <t>拍卖</t>
  </si>
  <si>
    <t>KCGD2020-2-A1</t>
  </si>
  <si>
    <t>小于或等于6.1</t>
  </si>
  <si>
    <t>小于或等于45</t>
  </si>
  <si>
    <t>2020-11-23</t>
  </si>
  <si>
    <t>2020-12-23</t>
  </si>
  <si>
    <t>昆网拍[2020]25号</t>
  </si>
  <si>
    <t>昆明保鑫房地产开发有限公司</t>
  </si>
  <si>
    <t>保利置业集团有限公司</t>
  </si>
  <si>
    <t>5星</t>
  </si>
  <si>
    <t>昆明市空港经济区大阪桥街道办事处</t>
  </si>
  <si>
    <t>DTCKG2018-009</t>
  </si>
  <si>
    <t>2020-12-10</t>
  </si>
  <si>
    <t>昆网挂[2020]21号</t>
  </si>
  <si>
    <t>云南滇中城投恒居置业开发有限公司</t>
  </si>
  <si>
    <t>DTCKG2020-005</t>
  </si>
  <si>
    <t>小于或等于4.5</t>
  </si>
  <si>
    <t>小于或等于50</t>
  </si>
  <si>
    <t>云南玮泉房地产开发有限公司</t>
  </si>
  <si>
    <t>昆明市官渡街道办事处、小板桥街道办事处、官渡区六甲街道办事处</t>
  </si>
  <si>
    <t>KCGD2020-30-A2</t>
  </si>
  <si>
    <t>小于或等于3.5</t>
  </si>
  <si>
    <t>2020-11-19</t>
  </si>
  <si>
    <t>2020-12-09</t>
  </si>
  <si>
    <t>2020-12-19</t>
  </si>
  <si>
    <t>昆自然资源告字[2020]22号</t>
  </si>
  <si>
    <t>昆明万宜房地产开发有限公司</t>
  </si>
  <si>
    <t>万科企业股份有限公司</t>
  </si>
  <si>
    <t>4星</t>
  </si>
  <si>
    <t>昆明市官渡区矣六街道办事处</t>
  </si>
  <si>
    <t>新螺狮湾</t>
  </si>
  <si>
    <t>KCGD2019-13-A3</t>
  </si>
  <si>
    <t>小于或等于1</t>
  </si>
  <si>
    <t>小于或等于40</t>
  </si>
  <si>
    <t>2020-12-18</t>
  </si>
  <si>
    <t>云南邦盛实业有限公司</t>
  </si>
  <si>
    <t>俊发集团有限公司</t>
  </si>
  <si>
    <t>昆明市官渡街道办事处、小板桥街道办事处、官渡区六甲街道办事处昆明市官渡街道办事处、小板桥街道办事处、官渡区六甲街道办事处</t>
  </si>
  <si>
    <t>KCGD2020-31-A1</t>
  </si>
  <si>
    <t>昆明市官渡区小板桥街道办事处</t>
  </si>
  <si>
    <t>KCGD2018-10</t>
  </si>
  <si>
    <t>小于或等于5</t>
  </si>
  <si>
    <t>昆网拍[2020]26号</t>
  </si>
  <si>
    <t>昆明禾泰置业有限公司</t>
  </si>
  <si>
    <t>KCGD2020-30-A1</t>
  </si>
  <si>
    <t>昆明市官渡区小板桥街道办事处和官渡街道办事处</t>
  </si>
  <si>
    <t>KCGD2020-16-A1</t>
  </si>
  <si>
    <t>KC2009-02-A1</t>
  </si>
  <si>
    <t>小于或等于0.5</t>
  </si>
  <si>
    <t>小于或等于30</t>
  </si>
  <si>
    <t>2020-12-17</t>
  </si>
  <si>
    <t>昆网拍[2020]24号</t>
  </si>
  <si>
    <t>中国石油天然气股份有限公司云南销售分公司</t>
  </si>
  <si>
    <t>KCGD2020-1-A5</t>
  </si>
  <si>
    <t>小于或等于3.85</t>
  </si>
  <si>
    <t>2020-12-16</t>
  </si>
  <si>
    <t>昆自然资源告字[2020]23号</t>
  </si>
  <si>
    <t>云南卓盈投资有限公司</t>
  </si>
  <si>
    <t>KCGD2019-9</t>
  </si>
  <si>
    <t>小于或等于6</t>
  </si>
  <si>
    <t>2020-09-10</t>
  </si>
  <si>
    <t>2020-09-29</t>
  </si>
  <si>
    <t>2020-10-12</t>
  </si>
  <si>
    <t>昆网挂[2020]15号</t>
  </si>
  <si>
    <t>云南中豪置业有限责任公司</t>
  </si>
  <si>
    <t>KCGD2019-10</t>
  </si>
  <si>
    <t>小于或等于5.07</t>
  </si>
  <si>
    <t>小于或等于68</t>
  </si>
  <si>
    <t>KCGD2019-8</t>
  </si>
  <si>
    <t>DTCKG2020-003-A3</t>
  </si>
  <si>
    <t>小于或等于35</t>
  </si>
  <si>
    <t>2020-09-04</t>
  </si>
  <si>
    <t>2020-09-30</t>
  </si>
  <si>
    <t>昆网拍[2020]19号</t>
  </si>
  <si>
    <t>云南省滇中产业发展集团有限责任公司</t>
  </si>
  <si>
    <t>DTCKG2019-022-A1</t>
  </si>
  <si>
    <t>零售商业、批发市场、餐饮、旅馆、商务金融用地</t>
  </si>
  <si>
    <t>≤6</t>
  </si>
  <si>
    <t>≤55</t>
  </si>
  <si>
    <t>开工中</t>
  </si>
  <si>
    <t>2019-09-29</t>
  </si>
  <si>
    <t>2019-10-19</t>
  </si>
  <si>
    <t>2019-10-28</t>
  </si>
  <si>
    <t>昆明市国有建设用地使用权网上挂牌出让公告(DTCKG2019-022-A1号地块)</t>
  </si>
  <si>
    <t>官渡远郊</t>
  </si>
  <si>
    <t>DTCKG2018-XS02-B3</t>
  </si>
  <si>
    <t>≤3.0</t>
  </si>
  <si>
    <t>≤40%</t>
  </si>
  <si>
    <t>2019-09-10</t>
  </si>
  <si>
    <t>2019-10-09</t>
  </si>
  <si>
    <t>昆明市国有建设用地使用权网上拍卖出让公告</t>
  </si>
  <si>
    <t>昆明招金房地产有限公司、中合联宇霸州房地产开发有限公司、云南省滇中产业发展集团有限责任公司、深圳市盛夏企业管理有限公司</t>
  </si>
  <si>
    <t>招商局蛇口工业区控股股份有限公司</t>
  </si>
  <si>
    <t>1星</t>
  </si>
  <si>
    <t>DTCKG2018-XS02-B1</t>
  </si>
  <si>
    <t>零售商业、批发市场、餐饮、旅馆用地</t>
  </si>
  <si>
    <t>≤2.8</t>
  </si>
  <si>
    <t>≤60%</t>
  </si>
  <si>
    <t>DTCKG2018-XS02-B2</t>
  </si>
  <si>
    <t>≤2.0</t>
  </si>
  <si>
    <t>昆明市经济技术开发区普照海子片区JK-PH-12-27-2-01号地块内</t>
  </si>
  <si>
    <t>KCJ2017-9</t>
  </si>
  <si>
    <t>2019-08-09</t>
  </si>
  <si>
    <t>2019-09-02</t>
  </si>
  <si>
    <t>昆网拍[2019]19号</t>
  </si>
  <si>
    <t>昆明市官渡区六甲街道办事处</t>
  </si>
  <si>
    <t>五甲塘</t>
  </si>
  <si>
    <t>KCGD2019-6-A2</t>
  </si>
  <si>
    <t>≤2</t>
  </si>
  <si>
    <t>2019-07-01</t>
  </si>
  <si>
    <t>2019-07-23</t>
  </si>
  <si>
    <t>2019-08-01</t>
  </si>
  <si>
    <t>昆明市国有建设用地使用权挂牌交易公告(53个地块)</t>
  </si>
  <si>
    <t>昆明万凡房地产开发有限公司</t>
  </si>
  <si>
    <t>KCGD2019-7-A1</t>
  </si>
  <si>
    <t>文化设施用地兼容零售商业、批发市场、餐饮、旅馆、商务金融用地</t>
  </si>
  <si>
    <t>≤4.0</t>
  </si>
  <si>
    <t>≤50%</t>
  </si>
  <si>
    <t>50、40</t>
  </si>
  <si>
    <t>KCGD2019-7-A3</t>
  </si>
  <si>
    <t>≤3.5</t>
  </si>
  <si>
    <t>昆明市官渡区官渡街道办事处</t>
  </si>
  <si>
    <t>金源</t>
  </si>
  <si>
    <t>KCGD2012-22-A2</t>
  </si>
  <si>
    <t>≤1</t>
  </si>
  <si>
    <t>≤55%</t>
  </si>
  <si>
    <t>昆明市官渡区国有资产投资经营有限公司</t>
  </si>
  <si>
    <t>KCGD2012-22-A1</t>
  </si>
  <si>
    <t>≤1.1</t>
  </si>
  <si>
    <t>KCGD2019-2-A15</t>
  </si>
  <si>
    <t>≤7.97</t>
  </si>
  <si>
    <t>2019-07-26</t>
  </si>
  <si>
    <t>昆明市国有建设用地使用权网上拍卖出让公告(KCPL2018-9-A1、A2;KCGD2019-2-A3、A5、A6、A8、A10、A12、A13、A14、A15、A18、A22号地块)</t>
  </si>
  <si>
    <t>KCGD2019-2-A3</t>
  </si>
  <si>
    <t>≤8.0</t>
  </si>
  <si>
    <t>KCGD2019-2-A22</t>
  </si>
  <si>
    <t>≤4.38</t>
  </si>
  <si>
    <t>KCGD2019-2-A13</t>
  </si>
  <si>
    <t>≤4.92</t>
  </si>
  <si>
    <t>≤45%</t>
  </si>
  <si>
    <t>羊方旺</t>
  </si>
  <si>
    <t>KCGD2018-22</t>
  </si>
  <si>
    <t>≤4.1</t>
  </si>
  <si>
    <t>≤23%</t>
  </si>
  <si>
    <t>2019-06-28</t>
  </si>
  <si>
    <t>2019-07-24</t>
  </si>
  <si>
    <t>昆明市国有建设用地使用权网上拍卖出让公告((KCGD2014-5-A1、A2;KCGD2018-22、23、24、25、26、27号地块)</t>
  </si>
  <si>
    <t>保利云南置业有限公司</t>
  </si>
  <si>
    <t>KCGD2018-23</t>
  </si>
  <si>
    <t>≤7.7</t>
  </si>
  <si>
    <t>≤33%</t>
  </si>
  <si>
    <t>昆明经济技术开发区普照海子片区JK-PH-03-35-01地块</t>
  </si>
  <si>
    <t>KCJ2017-10</t>
  </si>
  <si>
    <t>≤30%</t>
  </si>
  <si>
    <t>2019-06-24</t>
  </si>
  <si>
    <t>2019-07-17</t>
  </si>
  <si>
    <t>昆明市国有建设用地使用权网上拍卖出让公告(KCJ2017-10号地块)</t>
  </si>
  <si>
    <t>KCGD2014-7-A2</t>
  </si>
  <si>
    <t>2019-06-13</t>
  </si>
  <si>
    <t>2019-07-03</t>
  </si>
  <si>
    <t>2019-07-12</t>
  </si>
  <si>
    <t>昆明市国有建设用地使用权挂牌交易公告(KCGD2017-4-A1、-7-A1、-7-A2,KCGD2019-4、-5)</t>
  </si>
  <si>
    <t>KCGD2014-7-A1</t>
  </si>
  <si>
    <t>昆明空港经济区大阪桥街道办事处</t>
  </si>
  <si>
    <t>DTCKG2019-001</t>
  </si>
  <si>
    <t>2019-06-05</t>
  </si>
  <si>
    <t>2019-06-17</t>
  </si>
  <si>
    <t>2019-07-10</t>
  </si>
  <si>
    <t>昆明市国有建设用地使用权网上挂牌出让公告((SMZJG2017-02、DTCKG209-01号地块)</t>
  </si>
  <si>
    <t>巫家坝</t>
  </si>
  <si>
    <t>KCGD2018-15-A1</t>
  </si>
  <si>
    <t>昆明市国有建设用地使用权网上拍卖出让公告(DTCKG2018-017-A1等地块)</t>
  </si>
  <si>
    <t>KCGD2018-31-A4</t>
  </si>
  <si>
    <t>2019-05-29</t>
  </si>
  <si>
    <t>2019-06-18</t>
  </si>
  <si>
    <t>2019-06-27</t>
  </si>
  <si>
    <t>昆明市国有建设用地使用权挂牌交易公告(KCGD2018-31-A2等地块)</t>
  </si>
  <si>
    <t>官渡区关上街道办事处</t>
  </si>
  <si>
    <t>国贸</t>
  </si>
  <si>
    <t>J2008-058-E</t>
  </si>
  <si>
    <t>2019-04-24</t>
  </si>
  <si>
    <t>2019-05-15</t>
  </si>
  <si>
    <t>2019-05-24</t>
  </si>
  <si>
    <t>昆明市国有建设用地使用权挂牌交易公告(J2008-058-C、D2、E、G、H1、H2)</t>
  </si>
  <si>
    <t>昆明市官渡区城中村改造置业有限公司</t>
  </si>
  <si>
    <t>云南城投置业股份有限公司</t>
  </si>
  <si>
    <t>J2008-058-G</t>
  </si>
  <si>
    <t>≤4.5</t>
  </si>
  <si>
    <t>J2008-058-H2</t>
  </si>
  <si>
    <t>≤3.04</t>
  </si>
  <si>
    <t>昆明市官渡区关上街道办事处日新路以南双凤二组</t>
  </si>
  <si>
    <t>KCGD2019-1-A9-1</t>
  </si>
  <si>
    <t>＞1,≤4.21</t>
  </si>
  <si>
    <t>≤20.03%</t>
  </si>
  <si>
    <t>2019-03-06</t>
  </si>
  <si>
    <t>2019-03-26</t>
  </si>
  <si>
    <t>2019-04-04</t>
  </si>
  <si>
    <t>昆国土告字[2019]5号</t>
  </si>
  <si>
    <t>云南万誉房地产开发有限公司</t>
  </si>
  <si>
    <t>世茂集团控股有限公司</t>
  </si>
  <si>
    <t>70年</t>
  </si>
  <si>
    <t>昆明市官渡区关上街道办事处</t>
  </si>
  <si>
    <t>KCGD2016-10-A2</t>
  </si>
  <si>
    <t>≤3</t>
  </si>
  <si>
    <t>≤20%</t>
  </si>
  <si>
    <t>2019-03-25</t>
  </si>
  <si>
    <t>2019-04-03</t>
  </si>
  <si>
    <t>昆网挂[2019]6号</t>
  </si>
  <si>
    <t>云南经纬房屋土地开发有限公司</t>
  </si>
  <si>
    <t>32年</t>
  </si>
  <si>
    <t>KCGD2016-10-A1</t>
  </si>
  <si>
    <t>度假区大渔片区</t>
  </si>
  <si>
    <t>商务金融用地</t>
    <phoneticPr fontId="140" type="noConversion"/>
  </si>
  <si>
    <t>≤3</t>
    <phoneticPr fontId="140" type="noConversion"/>
  </si>
  <si>
    <t>≤1.5</t>
    <phoneticPr fontId="140" type="noConversion"/>
  </si>
  <si>
    <t>绿地控股集团股份有限公司</t>
    <phoneticPr fontId="140" type="noConversion"/>
  </si>
  <si>
    <t xml:space="preserve"> 昆明绿地滇池置业有限公司</t>
    <phoneticPr fontId="140" type="noConversion"/>
  </si>
  <si>
    <t>零售商业用地</t>
    <phoneticPr fontId="140" type="noConversion"/>
  </si>
  <si>
    <t>≤0.5</t>
    <phoneticPr fontId="140" type="noConversion"/>
  </si>
  <si>
    <t>中国石油天然气股份有限公司云南销售分公司</t>
    <phoneticPr fontId="140" type="noConversion"/>
  </si>
  <si>
    <t>--</t>
    <phoneticPr fontId="140" type="noConversion"/>
  </si>
  <si>
    <t>零售商业、批发市场、餐饮、旅馆、商务金融用地</t>
    <phoneticPr fontId="140" type="noConversion"/>
  </si>
  <si>
    <t>云南金色之源房地产开发有限公司</t>
    <phoneticPr fontId="140" type="noConversion"/>
  </si>
  <si>
    <t>俊发集团有限公司</t>
    <phoneticPr fontId="140" type="noConversion"/>
  </si>
  <si>
    <t>≤0.4</t>
    <phoneticPr fontId="140" type="noConversion"/>
  </si>
  <si>
    <t>零售商业、批发市场、餐饮、旅馆用地</t>
    <phoneticPr fontId="140" type="noConversion"/>
  </si>
  <si>
    <t>≤3.5</t>
    <phoneticPr fontId="140" type="noConversion"/>
  </si>
  <si>
    <t>昆明空港置业有限公司</t>
    <phoneticPr fontId="140" type="noConversion"/>
  </si>
  <si>
    <t>≤2.5</t>
    <phoneticPr fontId="140" type="noConversion"/>
  </si>
  <si>
    <t>北京众置鼎福房地产开发有限公司</t>
    <phoneticPr fontId="140" type="noConversion"/>
  </si>
  <si>
    <t>首创置业股份有限公司</t>
    <phoneticPr fontId="140" type="noConversion"/>
  </si>
  <si>
    <t>≤4</t>
    <phoneticPr fontId="140" type="noConversion"/>
  </si>
  <si>
    <t>昆明市官渡区国有资产投资经营有限公司</t>
    <phoneticPr fontId="140" type="noConversion"/>
  </si>
  <si>
    <t>正常</t>
  </si>
  <si>
    <t>会所</t>
    <phoneticPr fontId="3" type="noConversion"/>
  </si>
  <si>
    <t>车库</t>
  </si>
  <si>
    <t>在建（套用方法）</t>
  </si>
  <si>
    <t>自定义</t>
  </si>
  <si>
    <t>钢混</t>
  </si>
  <si>
    <t>非生产用房</t>
  </si>
  <si>
    <t>未包含在土地购买价格中</t>
  </si>
  <si>
    <t>全部缴纳</t>
  </si>
  <si>
    <t>已包含在土地取得成本中</t>
  </si>
  <si>
    <t>已全部缴纳</t>
  </si>
  <si>
    <r>
      <rPr>
        <sz val="10"/>
        <color theme="1"/>
        <rFont val="仿宋"/>
        <family val="3"/>
        <charset val="134"/>
      </rPr>
      <t>1-8</t>
    </r>
    <r>
      <rPr>
        <sz val="10"/>
        <color theme="1"/>
        <rFont val="仿宋"/>
        <family val="3"/>
        <charset val="134"/>
      </rPr>
      <t>栋</t>
    </r>
  </si>
  <si>
    <t>酒店及客房(含地下）</t>
  </si>
  <si>
    <r>
      <rPr>
        <sz val="10"/>
        <color theme="1"/>
        <rFont val="仿宋"/>
        <family va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</si>
  <si>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栋</t>
    </r>
  </si>
  <si>
    <r>
      <rPr>
        <sz val="10"/>
        <color theme="1"/>
        <rFont val="仿宋"/>
        <family val="3"/>
        <charset val="134"/>
      </rPr>
      <t>C12</t>
    </r>
    <r>
      <rPr>
        <sz val="10"/>
        <color theme="1"/>
        <rFont val="仿宋"/>
        <family val="3"/>
        <charset val="134"/>
      </rPr>
      <t>栋</t>
    </r>
  </si>
  <si>
    <r>
      <rPr>
        <sz val="10"/>
        <color theme="1"/>
        <rFont val="仿宋"/>
        <family val="3"/>
        <charset val="134"/>
      </rPr>
      <t>C13</t>
    </r>
    <r>
      <rPr>
        <sz val="10"/>
        <color theme="1"/>
        <rFont val="仿宋"/>
        <family val="3"/>
        <charset val="134"/>
      </rPr>
      <t>栋</t>
    </r>
  </si>
  <si>
    <r>
      <rPr>
        <sz val="10"/>
        <color theme="1"/>
        <rFont val="仿宋"/>
        <family val="3"/>
        <charset val="134"/>
      </rPr>
      <t>D23</t>
    </r>
    <r>
      <rPr>
        <sz val="10"/>
        <color theme="1"/>
        <rFont val="仿宋"/>
        <family val="3"/>
        <charset val="134"/>
      </rPr>
      <t>栋</t>
    </r>
  </si>
  <si>
    <r>
      <rPr>
        <sz val="10"/>
        <color theme="1"/>
        <rFont val="仿宋"/>
        <family val="3"/>
        <charset val="134"/>
      </rPr>
      <t>D24</t>
    </r>
    <r>
      <rPr>
        <sz val="10"/>
        <color theme="1"/>
        <rFont val="仿宋"/>
        <family val="3"/>
        <charset val="134"/>
      </rPr>
      <t>栋</t>
    </r>
  </si>
  <si>
    <r>
      <rPr>
        <sz val="10"/>
        <color theme="1"/>
        <rFont val="仿宋"/>
        <family val="3"/>
        <charset val="134"/>
      </rPr>
      <t>D25</t>
    </r>
    <r>
      <rPr>
        <sz val="10"/>
        <color theme="1"/>
        <rFont val="仿宋"/>
        <family val="3"/>
        <charset val="134"/>
      </rPr>
      <t>栋</t>
    </r>
  </si>
  <si>
    <r>
      <rPr>
        <sz val="10"/>
        <color theme="1"/>
        <rFont val="仿宋"/>
        <family val="3"/>
        <charset val="134"/>
      </rPr>
      <t>D26</t>
    </r>
    <r>
      <rPr>
        <sz val="10"/>
        <color theme="1"/>
        <rFont val="仿宋"/>
        <family val="3"/>
        <charset val="134"/>
      </rPr>
      <t>栋</t>
    </r>
  </si>
  <si>
    <r>
      <rPr>
        <sz val="10"/>
        <color theme="1"/>
        <rFont val="仿宋"/>
        <family val="3"/>
        <charset val="134"/>
      </rPr>
      <t>D27</t>
    </r>
    <r>
      <rPr>
        <sz val="10"/>
        <color theme="1"/>
        <rFont val="仿宋"/>
        <family val="3"/>
        <charset val="134"/>
      </rPr>
      <t>栋</t>
    </r>
  </si>
  <si>
    <r>
      <rPr>
        <sz val="10"/>
        <color theme="1"/>
        <rFont val="仿宋"/>
        <family val="3"/>
        <charset val="134"/>
      </rPr>
      <t>D28</t>
    </r>
    <r>
      <rPr>
        <sz val="10"/>
        <color theme="1"/>
        <rFont val="仿宋"/>
        <family val="3"/>
        <charset val="134"/>
      </rPr>
      <t>栋</t>
    </r>
  </si>
  <si>
    <t>D38栋</t>
  </si>
  <si>
    <t>共有133个</t>
  </si>
  <si>
    <t>物管用房</t>
  </si>
  <si>
    <t>设备用房</t>
  </si>
  <si>
    <t>项目全部</t>
  </si>
  <si>
    <t>成本法</t>
  </si>
  <si>
    <t>假设开发法</t>
  </si>
  <si>
    <t>总价</t>
  </si>
  <si>
    <t>成本比率</t>
  </si>
  <si>
    <t>否</t>
  </si>
  <si>
    <t>别墅</t>
  </si>
  <si>
    <t>别墅</t>
    <phoneticPr fontId="7" type="noConversion"/>
  </si>
  <si>
    <t>地下车库</t>
    <phoneticPr fontId="7" type="noConversion"/>
  </si>
  <si>
    <t>C9</t>
    <phoneticPr fontId="140" type="noConversion"/>
  </si>
  <si>
    <t>D29</t>
    <phoneticPr fontId="140" type="noConversion"/>
  </si>
  <si>
    <t>D34</t>
    <phoneticPr fontId="140" type="noConversion"/>
  </si>
  <si>
    <t>地下车库</t>
    <phoneticPr fontId="140" type="noConversion"/>
  </si>
  <si>
    <t>实际建筑面积</t>
    <phoneticPr fontId="3" type="noConversion"/>
  </si>
  <si>
    <t>建安单价</t>
    <phoneticPr fontId="3" type="noConversion"/>
  </si>
  <si>
    <t>总建安</t>
    <phoneticPr fontId="3" type="noConversion"/>
  </si>
  <si>
    <t>商业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</si>
  <si>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</si>
  <si>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</si>
  <si>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</si>
  <si>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</si>
  <si>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</si>
  <si>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</si>
  <si>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较好</t>
  </si>
  <si>
    <t>一般</t>
  </si>
  <si>
    <t>较差</t>
  </si>
  <si>
    <t>差</t>
  </si>
  <si>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</si>
  <si>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</si>
  <si>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</si>
  <si>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</si>
  <si>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</si>
  <si>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</si>
  <si>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</si>
  <si>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巅峰荟</t>
    <phoneticPr fontId="3" type="noConversion"/>
  </si>
  <si>
    <t>山海荟</t>
    <phoneticPr fontId="3" type="noConversion"/>
  </si>
  <si>
    <t>商业</t>
    <phoneticPr fontId="25" type="noConversion"/>
  </si>
  <si>
    <t>住宅</t>
  </si>
  <si>
    <t>住宅</t>
    <phoneticPr fontId="25" type="noConversion"/>
  </si>
  <si>
    <t>海东俊园</t>
    <phoneticPr fontId="3" type="noConversion"/>
  </si>
  <si>
    <t>独栋</t>
    <phoneticPr fontId="25" type="noConversion"/>
  </si>
  <si>
    <t>联排</t>
    <phoneticPr fontId="25" type="noConversion"/>
  </si>
  <si>
    <t>合院</t>
  </si>
  <si>
    <t>合院</t>
    <phoneticPr fontId="25" type="noConversion"/>
  </si>
  <si>
    <t>双拼</t>
  </si>
  <si>
    <t>双拼</t>
    <phoneticPr fontId="25" type="noConversion"/>
  </si>
  <si>
    <t>钢混</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</si>
  <si>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</si>
  <si>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</si>
  <si>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</si>
  <si>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</si>
  <si>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</si>
  <si>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</si>
  <si>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是否温泉入户</t>
    <phoneticPr fontId="25" type="noConversion"/>
  </si>
  <si>
    <t>赠送花园</t>
    <phoneticPr fontId="25" type="noConversion"/>
  </si>
  <si>
    <t>是</t>
    <phoneticPr fontId="25" type="noConversion"/>
  </si>
  <si>
    <t>否</t>
    <phoneticPr fontId="25" type="noConversion"/>
  </si>
  <si>
    <t>150-300</t>
  </si>
  <si>
    <t>150-300</t>
    <phoneticPr fontId="25" type="noConversion"/>
  </si>
  <si>
    <t>600-700</t>
  </si>
  <si>
    <t>昆明恒大云玺</t>
    <phoneticPr fontId="3" type="noConversion"/>
  </si>
  <si>
    <t>30-100</t>
    <phoneticPr fontId="25" type="noConversion"/>
  </si>
  <si>
    <t>30-100</t>
    <phoneticPr fontId="25" type="noConversion"/>
  </si>
  <si>
    <t>100-200</t>
    <phoneticPr fontId="25" type="noConversion"/>
  </si>
  <si>
    <t>200-300</t>
    <phoneticPr fontId="25" type="noConversion"/>
  </si>
  <si>
    <t>100-200</t>
    <phoneticPr fontId="25" type="noConversion"/>
  </si>
  <si>
    <t>是</t>
    <phoneticPr fontId="25" type="noConversion"/>
  </si>
  <si>
    <t>否</t>
    <phoneticPr fontId="25" type="noConversion"/>
  </si>
  <si>
    <t>700-800</t>
  </si>
  <si>
    <t>700-800</t>
    <phoneticPr fontId="25" type="noConversion"/>
  </si>
  <si>
    <t>1800-1900</t>
  </si>
  <si>
    <t>1800-1900</t>
    <phoneticPr fontId="25" type="noConversion"/>
  </si>
  <si>
    <t>2400-2500</t>
  </si>
  <si>
    <t>2400-2500</t>
    <phoneticPr fontId="25" type="noConversion"/>
  </si>
  <si>
    <t>400-600</t>
  </si>
  <si>
    <t>400-600</t>
    <phoneticPr fontId="25" type="noConversion"/>
  </si>
  <si>
    <t>是否看湿地景观</t>
    <phoneticPr fontId="25" type="noConversion"/>
  </si>
  <si>
    <t>售价</t>
  </si>
  <si>
    <t>官渡区</t>
    <phoneticPr fontId="3" type="noConversion"/>
  </si>
  <si>
    <t>滇池one</t>
    <phoneticPr fontId="3" type="noConversion"/>
  </si>
  <si>
    <t>车库</t>
    <phoneticPr fontId="32" type="noConversion"/>
  </si>
  <si>
    <t>元/车位</t>
  </si>
  <si>
    <t>平面</t>
  </si>
  <si>
    <t>平面</t>
    <phoneticPr fontId="32" type="noConversion"/>
  </si>
  <si>
    <t>精装</t>
  </si>
  <si>
    <t>精装</t>
    <phoneticPr fontId="32" type="noConversion"/>
  </si>
  <si>
    <t>普装</t>
    <phoneticPr fontId="32" type="noConversion"/>
  </si>
  <si>
    <t>简单装修</t>
    <phoneticPr fontId="32" type="noConversion"/>
  </si>
  <si>
    <t>毛坯</t>
    <phoneticPr fontId="32" type="noConversion"/>
  </si>
  <si>
    <t>住宅</t>
    <phoneticPr fontId="32" type="noConversion"/>
  </si>
  <si>
    <t>600-700</t>
    <phoneticPr fontId="25" type="noConversion"/>
  </si>
  <si>
    <t>赠送面积</t>
    <phoneticPr fontId="25" type="noConversion"/>
  </si>
  <si>
    <t>吴薇</t>
  </si>
  <si>
    <t>郑燚</t>
  </si>
  <si>
    <r>
      <t>D23</t>
    </r>
    <r>
      <rPr>
        <sz val="10"/>
        <color rgb="FF000000"/>
        <rFont val="华文细黑"/>
        <family val="3"/>
        <charset val="134"/>
      </rPr>
      <t>栋</t>
    </r>
  </si>
  <si>
    <r>
      <t>A5</t>
    </r>
    <r>
      <rPr>
        <sz val="10"/>
        <color rgb="FF000000"/>
        <rFont val="华文细黑"/>
        <family val="3"/>
        <charset val="134"/>
      </rPr>
      <t>栋</t>
    </r>
  </si>
  <si>
    <r>
      <t>B11</t>
    </r>
    <r>
      <rPr>
        <sz val="10"/>
        <color rgb="FF000000"/>
        <rFont val="华文细黑"/>
        <family val="3"/>
        <charset val="134"/>
      </rPr>
      <t>栋</t>
    </r>
  </si>
  <si>
    <r>
      <t>B12</t>
    </r>
    <r>
      <rPr>
        <sz val="10"/>
        <color rgb="FF000000"/>
        <rFont val="华文细黑"/>
        <family val="3"/>
        <charset val="134"/>
      </rPr>
      <t>栋</t>
    </r>
  </si>
  <si>
    <r>
      <t>B13</t>
    </r>
    <r>
      <rPr>
        <sz val="10"/>
        <color rgb="FF000000"/>
        <rFont val="华文细黑"/>
        <family val="3"/>
        <charset val="134"/>
      </rPr>
      <t>栋</t>
    </r>
  </si>
  <si>
    <r>
      <t>B14</t>
    </r>
    <r>
      <rPr>
        <sz val="10"/>
        <color rgb="FF000000"/>
        <rFont val="华文细黑"/>
        <family val="3"/>
        <charset val="134"/>
      </rPr>
      <t>栋</t>
    </r>
  </si>
  <si>
    <r>
      <t>B15</t>
    </r>
    <r>
      <rPr>
        <sz val="10"/>
        <color rgb="FF000000"/>
        <rFont val="华文细黑"/>
        <family val="3"/>
        <charset val="134"/>
      </rPr>
      <t>栋</t>
    </r>
  </si>
  <si>
    <r>
      <t>B16</t>
    </r>
    <r>
      <rPr>
        <sz val="10"/>
        <color rgb="FF000000"/>
        <rFont val="华文细黑"/>
        <family val="3"/>
        <charset val="134"/>
      </rPr>
      <t>栋</t>
    </r>
  </si>
  <si>
    <r>
      <t>B17</t>
    </r>
    <r>
      <rPr>
        <sz val="10"/>
        <color rgb="FF000000"/>
        <rFont val="华文细黑"/>
        <family val="3"/>
        <charset val="134"/>
      </rPr>
      <t>栋</t>
    </r>
  </si>
  <si>
    <r>
      <t>C6</t>
    </r>
    <r>
      <rPr>
        <sz val="10"/>
        <color rgb="FF000000"/>
        <rFont val="华文细黑"/>
        <family val="3"/>
        <charset val="134"/>
      </rPr>
      <t>栋</t>
    </r>
  </si>
  <si>
    <r>
      <t>C7</t>
    </r>
    <r>
      <rPr>
        <sz val="10"/>
        <color rgb="FF000000"/>
        <rFont val="华文细黑"/>
        <family val="3"/>
        <charset val="134"/>
      </rPr>
      <t>栋</t>
    </r>
  </si>
  <si>
    <r>
      <t>C8</t>
    </r>
    <r>
      <rPr>
        <sz val="10"/>
        <color rgb="FF000000"/>
        <rFont val="华文细黑"/>
        <family val="3"/>
        <charset val="134"/>
      </rPr>
      <t>栋</t>
    </r>
  </si>
  <si>
    <r>
      <t>C10</t>
    </r>
    <r>
      <rPr>
        <sz val="10"/>
        <color rgb="FF000000"/>
        <rFont val="华文细黑"/>
        <family val="3"/>
        <charset val="134"/>
      </rPr>
      <t>栋</t>
    </r>
  </si>
  <si>
    <r>
      <t>C12</t>
    </r>
    <r>
      <rPr>
        <sz val="10"/>
        <color rgb="FF000000"/>
        <rFont val="华文细黑"/>
        <family val="3"/>
        <charset val="134"/>
      </rPr>
      <t>栋</t>
    </r>
  </si>
  <si>
    <r>
      <t>C13</t>
    </r>
    <r>
      <rPr>
        <sz val="10"/>
        <color rgb="FF000000"/>
        <rFont val="华文细黑"/>
        <family val="3"/>
        <charset val="134"/>
      </rPr>
      <t>栋</t>
    </r>
  </si>
  <si>
    <r>
      <t>D24</t>
    </r>
    <r>
      <rPr>
        <sz val="10"/>
        <color rgb="FF000000"/>
        <rFont val="华文细黑"/>
        <family val="3"/>
        <charset val="134"/>
      </rPr>
      <t>栋</t>
    </r>
  </si>
  <si>
    <r>
      <t>D25</t>
    </r>
    <r>
      <rPr>
        <sz val="10"/>
        <color rgb="FF000000"/>
        <rFont val="华文细黑"/>
        <family val="3"/>
        <charset val="134"/>
      </rPr>
      <t>栋</t>
    </r>
  </si>
  <si>
    <r>
      <t>D26</t>
    </r>
    <r>
      <rPr>
        <sz val="10"/>
        <color rgb="FF000000"/>
        <rFont val="华文细黑"/>
        <family val="3"/>
        <charset val="134"/>
      </rPr>
      <t>栋</t>
    </r>
  </si>
  <si>
    <r>
      <t>D27</t>
    </r>
    <r>
      <rPr>
        <sz val="10"/>
        <color rgb="FF000000"/>
        <rFont val="华文细黑"/>
        <family val="3"/>
        <charset val="134"/>
      </rPr>
      <t>栋</t>
    </r>
  </si>
  <si>
    <r>
      <t>D28</t>
    </r>
    <r>
      <rPr>
        <sz val="10"/>
        <color rgb="FF000000"/>
        <rFont val="华文细黑"/>
        <family val="3"/>
        <charset val="134"/>
      </rPr>
      <t>栋</t>
    </r>
  </si>
  <si>
    <r>
      <t>D30</t>
    </r>
    <r>
      <rPr>
        <sz val="10"/>
        <color rgb="FF000000"/>
        <rFont val="华文细黑"/>
        <family val="3"/>
        <charset val="134"/>
      </rPr>
      <t>栋</t>
    </r>
  </si>
  <si>
    <r>
      <t>D31</t>
    </r>
    <r>
      <rPr>
        <sz val="10"/>
        <color rgb="FF000000"/>
        <rFont val="华文细黑"/>
        <family val="3"/>
        <charset val="134"/>
      </rPr>
      <t>栋</t>
    </r>
  </si>
  <si>
    <r>
      <t>D33</t>
    </r>
    <r>
      <rPr>
        <sz val="10"/>
        <color rgb="FF000000"/>
        <rFont val="华文细黑"/>
        <family val="3"/>
        <charset val="134"/>
      </rPr>
      <t>栋</t>
    </r>
  </si>
  <si>
    <r>
      <t>D35</t>
    </r>
    <r>
      <rPr>
        <sz val="10"/>
        <color rgb="FF000000"/>
        <rFont val="华文细黑"/>
        <family val="3"/>
        <charset val="134"/>
      </rPr>
      <t>栋</t>
    </r>
  </si>
  <si>
    <r>
      <t>D36</t>
    </r>
    <r>
      <rPr>
        <sz val="10"/>
        <color rgb="FF000000"/>
        <rFont val="华文细黑"/>
        <family val="3"/>
        <charset val="134"/>
      </rPr>
      <t>栋</t>
    </r>
  </si>
  <si>
    <r>
      <t>D37</t>
    </r>
    <r>
      <rPr>
        <sz val="10"/>
        <color rgb="FF000000"/>
        <rFont val="华文细黑"/>
        <family val="3"/>
        <charset val="134"/>
      </rPr>
      <t>栋</t>
    </r>
  </si>
  <si>
    <r>
      <t>D38</t>
    </r>
    <r>
      <rPr>
        <sz val="10"/>
        <color rgb="FF000000"/>
        <rFont val="华文细黑"/>
        <family val="3"/>
        <charset val="134"/>
      </rPr>
      <t>栋</t>
    </r>
  </si>
  <si>
    <t>A5栋</t>
  </si>
  <si>
    <t>B11栋</t>
  </si>
  <si>
    <t>B12栋</t>
  </si>
  <si>
    <t>B13栋</t>
  </si>
  <si>
    <t>B14栋</t>
  </si>
  <si>
    <t>B15栋</t>
  </si>
  <si>
    <t>B16栋</t>
  </si>
  <si>
    <t>B17栋</t>
  </si>
  <si>
    <t>C6栋</t>
  </si>
  <si>
    <t>C7栋</t>
  </si>
  <si>
    <t>C8栋</t>
  </si>
  <si>
    <t>已售</t>
    <phoneticPr fontId="140" type="noConversion"/>
  </si>
  <si>
    <t>商业</t>
    <phoneticPr fontId="140" type="noConversion"/>
  </si>
  <si>
    <t>地下车库</t>
    <phoneticPr fontId="140" type="noConversion"/>
  </si>
  <si>
    <t>开发完成后</t>
    <phoneticPr fontId="140" type="noConversion"/>
  </si>
  <si>
    <t>评估总值</t>
    <phoneticPr fontId="140" type="noConversion"/>
  </si>
  <si>
    <t>拆分总价</t>
    <phoneticPr fontId="140" type="noConversion"/>
  </si>
  <si>
    <t>单价</t>
    <phoneticPr fontId="140" type="noConversion"/>
  </si>
  <si>
    <t>建筑面积</t>
    <phoneticPr fontId="140" type="noConversion"/>
  </si>
  <si>
    <t>万元/个</t>
    <phoneticPr fontId="140" type="noConversion"/>
  </si>
  <si>
    <r>
      <rPr>
        <sz val="10"/>
        <color rgb="FF000000"/>
        <rFont val="华文细黑"/>
        <family val="3"/>
        <charset val="134"/>
      </rPr>
      <t>总价（万元）</t>
    </r>
    <phoneticPr fontId="140" type="noConversion"/>
  </si>
  <si>
    <t>建筑面积（平方米）</t>
    <phoneticPr fontId="140" type="noConversion"/>
  </si>
  <si>
    <t>情况3</t>
  </si>
  <si>
    <t>自行开发建设</t>
  </si>
  <si>
    <t>拿地价</t>
    <phoneticPr fontId="8" type="noConversion"/>
  </si>
  <si>
    <t>规划建筑面积</t>
    <phoneticPr fontId="8" type="noConversion"/>
  </si>
  <si>
    <t>楼面单价</t>
    <phoneticPr fontId="8" type="noConversion"/>
  </si>
  <si>
    <t>非个人房产</t>
  </si>
  <si>
    <t>评估净值</t>
    <phoneticPr fontId="140" type="noConversion"/>
  </si>
  <si>
    <t>拆分净值总价</t>
    <phoneticPr fontId="140" type="noConversion"/>
  </si>
  <si>
    <t>净值总价（万元）</t>
    <phoneticPr fontId="140" type="noConversion"/>
  </si>
  <si>
    <t>17-2会所</t>
    <phoneticPr fontId="140" type="noConversion"/>
  </si>
  <si>
    <t>建筑面积</t>
    <phoneticPr fontId="140" type="noConversion"/>
  </si>
  <si>
    <t>本次评估估价对象</t>
    <phoneticPr fontId="140" type="noConversion"/>
  </si>
  <si>
    <t>外挂费用</t>
    <phoneticPr fontId="140" type="noConversion"/>
  </si>
  <si>
    <t>仅含出让金</t>
  </si>
  <si>
    <t>企业提供</t>
    <phoneticPr fontId="140" type="noConversion"/>
  </si>
  <si>
    <t>小计</t>
    <phoneticPr fontId="140" type="noConversion"/>
  </si>
  <si>
    <t>已售20个</t>
    <phoneticPr fontId="140" type="noConversion"/>
  </si>
  <si>
    <t>剩余</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</si>
</sst>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Calibri"/>
      <family val="2"/>
    </font>
    <font>
      <sz val="10"/>
      <color theme="1"/>
      <name val="仿宋"/>
      <family val="3"/>
      <charset val="134"/>
    </font>
    <font>
      <b/>
      <sz val="10"/>
      <color theme="1"/>
      <name val="仿宋"/>
      <family val="3"/>
      <charset val="134"/>
    </font>
    <font>
      <b/>
      <sz val="10"/>
      <color theme="1"/>
      <name val="微软雅黑"/>
      <family val="2"/>
      <charset val="134"/>
    </font>
    <font>
      <sz val="10"/>
      <color rgb="FFFF0000"/>
      <name val="宋体"/>
      <family val="3"/>
      <charset val="134"/>
      <scheme val="minor"/>
    </font>
    <font>
      <sz val="10"/>
      <name val="宋体"/>
      <family val="3"/>
      <charset val="134"/>
      <scheme val="minor"/>
    </font>
    <font>
      <sz val="10"/>
      <color rgb="FF000000"/>
      <name val="华文细黑"/>
      <family val="3"/>
      <charset val="134"/>
    </font>
    <font>
      <b/>
      <sz val="10"/>
      <color rgb="FF000000"/>
      <name val="华文细黑"/>
      <family val="3"/>
      <charset val="134"/>
    </font>
    <font>
      <b/>
      <sz val="10"/>
      <color rgb="FF000000"/>
      <name val="Arial"/>
      <family val="2"/>
    </font>
    <font>
      <sz val="10"/>
      <name val="仿宋"/>
      <family val="3"/>
      <charset val="134"/>
    </font>
    <font>
      <sz val="11"/>
      <color theme="1"/>
      <name val="宋体"/>
      <family val="2"/>
      <charset val="134"/>
    </font>
    <font>
      <b/>
      <sz val="10"/>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xf numFmtId="0" fontId="98" fillId="0" borderId="0">
      <alignment vertical="center"/>
    </xf>
    <xf numFmtId="0" fontId="98" fillId="0" borderId="0"/>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7" fillId="0" borderId="81" xfId="0" applyFont="1" applyBorder="1" applyAlignment="1">
      <alignment horizontal="center" vertical="center"/>
    </xf>
    <xf numFmtId="0" fontId="255" fillId="0" borderId="43" xfId="0" applyFont="1" applyBorder="1">
      <alignment vertical="center"/>
    </xf>
    <xf numFmtId="0" fontId="257" fillId="0" borderId="43" xfId="0" applyFont="1" applyBorder="1" applyAlignment="1">
      <alignment horizontal="center" vertical="center"/>
    </xf>
    <xf numFmtId="186" fontId="258" fillId="0" borderId="1"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wrapText="1"/>
      <protection locked="0"/>
    </xf>
    <xf numFmtId="176" fontId="142" fillId="0" borderId="5"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186" fontId="142" fillId="0" borderId="1"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wrapText="1"/>
    </xf>
    <xf numFmtId="176" fontId="142" fillId="0" borderId="5"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xf>
    <xf numFmtId="0" fontId="128" fillId="0" borderId="1" xfId="19" applyNumberFormat="1" applyFont="1" applyFill="1" applyBorder="1" applyAlignment="1">
      <alignment horizontal="center" vertical="center"/>
    </xf>
    <xf numFmtId="0" fontId="111" fillId="0" borderId="1" xfId="20" applyFont="1" applyFill="1" applyBorder="1" applyAlignment="1">
      <alignment horizontal="center" vertical="center"/>
    </xf>
    <xf numFmtId="176" fontId="142" fillId="0" borderId="1" xfId="18" applyNumberFormat="1" applyFont="1" applyFill="1" applyBorder="1" applyAlignment="1" applyProtection="1">
      <alignment horizontal="left" vertical="center" wrapText="1"/>
    </xf>
    <xf numFmtId="176" fontId="142" fillId="0" borderId="1" xfId="19" applyNumberFormat="1" applyFont="1" applyFill="1" applyBorder="1" applyAlignment="1">
      <alignment horizontal="center" vertical="center"/>
    </xf>
    <xf numFmtId="176" fontId="258" fillId="0" borderId="1" xfId="19" applyNumberFormat="1" applyFont="1" applyFill="1" applyBorder="1" applyAlignment="1">
      <alignment horizontal="center" vertical="center"/>
    </xf>
    <xf numFmtId="176" fontId="128" fillId="0" borderId="5" xfId="18" applyNumberFormat="1" applyFont="1" applyFill="1" applyBorder="1" applyAlignment="1" applyProtection="1">
      <alignment horizontal="center" vertical="center"/>
    </xf>
    <xf numFmtId="176" fontId="128" fillId="0" borderId="1" xfId="18" applyNumberFormat="1" applyFont="1" applyFill="1" applyBorder="1" applyAlignment="1" applyProtection="1">
      <alignment horizontal="left" vertical="center" wrapText="1"/>
    </xf>
    <xf numFmtId="176" fontId="142" fillId="0" borderId="1" xfId="18" applyNumberFormat="1" applyFont="1" applyFill="1" applyBorder="1" applyAlignment="1" applyProtection="1">
      <alignment vertical="center" wrapText="1"/>
    </xf>
    <xf numFmtId="176" fontId="128" fillId="0" borderId="1" xfId="18" applyNumberFormat="1" applyFont="1" applyFill="1" applyBorder="1" applyAlignment="1" applyProtection="1">
      <alignment vertical="center" wrapText="1"/>
    </xf>
    <xf numFmtId="186" fontId="142" fillId="0" borderId="2" xfId="18" applyNumberFormat="1" applyFont="1" applyFill="1" applyBorder="1" applyAlignment="1" applyProtection="1">
      <alignment horizontal="center" vertical="center"/>
    </xf>
    <xf numFmtId="176" fontId="142" fillId="5" borderId="1" xfId="18" applyNumberFormat="1" applyFont="1" applyFill="1" applyBorder="1" applyAlignment="1" applyProtection="1">
      <alignment horizontal="left" vertical="center" wrapText="1"/>
    </xf>
    <xf numFmtId="176" fontId="128" fillId="0" borderId="1" xfId="18" applyNumberFormat="1" applyFont="1" applyFill="1" applyBorder="1" applyAlignment="1" applyProtection="1">
      <alignment horizontal="center" vertical="center" wrapText="1"/>
    </xf>
    <xf numFmtId="0" fontId="128" fillId="0" borderId="1" xfId="18" applyNumberFormat="1" applyFont="1" applyFill="1" applyBorder="1" applyAlignment="1" applyProtection="1">
      <alignment horizontal="center" vertical="center" wrapText="1"/>
    </xf>
    <xf numFmtId="0" fontId="111" fillId="0" borderId="0" xfId="0" applyFont="1">
      <alignment vertical="center"/>
    </xf>
    <xf numFmtId="192" fontId="111" fillId="0" borderId="1" xfId="0" applyNumberFormat="1" applyFont="1" applyFill="1" applyBorder="1" applyAlignment="1">
      <alignment vertical="center"/>
    </xf>
    <xf numFmtId="0" fontId="111" fillId="0" borderId="1" xfId="0" applyNumberFormat="1" applyFont="1" applyFill="1" applyBorder="1" applyAlignment="1">
      <alignment horizontal="center" vertical="center"/>
    </xf>
    <xf numFmtId="0" fontId="117" fillId="0" borderId="1" xfId="0" applyNumberFormat="1" applyFont="1" applyFill="1" applyBorder="1" applyAlignment="1">
      <alignment horizontal="center" vertical="center"/>
    </xf>
    <xf numFmtId="177" fontId="117" fillId="0" borderId="1" xfId="0" applyNumberFormat="1" applyFont="1" applyFill="1" applyBorder="1" applyAlignment="1">
      <alignment horizontal="center" vertical="center"/>
    </xf>
    <xf numFmtId="179" fontId="111" fillId="0" borderId="1" xfId="0" applyNumberFormat="1" applyFont="1" applyFill="1" applyBorder="1" applyAlignment="1">
      <alignment horizontal="center" vertical="center"/>
    </xf>
    <xf numFmtId="177" fontId="111"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9" fontId="111" fillId="0" borderId="1" xfId="17"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xf numFmtId="0" fontId="111" fillId="0" borderId="1" xfId="0" applyFont="1" applyBorder="1">
      <alignment vertical="center"/>
    </xf>
    <xf numFmtId="0" fontId="55" fillId="0" borderId="1" xfId="0" applyFont="1" applyBorder="1" applyAlignment="1"/>
    <xf numFmtId="0" fontId="259" fillId="0" borderId="1" xfId="0" applyFont="1" applyBorder="1" applyAlignment="1"/>
    <xf numFmtId="0" fontId="260" fillId="0" borderId="1" xfId="0" applyFont="1" applyBorder="1" applyAlignment="1"/>
    <xf numFmtId="14" fontId="259" fillId="0" borderId="1" xfId="0" applyNumberFormat="1" applyFont="1" applyBorder="1" applyAlignment="1"/>
    <xf numFmtId="0" fontId="79" fillId="0" borderId="1" xfId="0" applyFont="1" applyBorder="1" applyAlignment="1" applyProtection="1">
      <alignment vertical="center" wrapText="1"/>
      <protection locked="0"/>
    </xf>
    <xf numFmtId="0" fontId="111" fillId="0" borderId="0" xfId="0" applyFont="1" applyFill="1">
      <alignment vertical="center"/>
    </xf>
    <xf numFmtId="0" fontId="256" fillId="0" borderId="43" xfId="0" applyFont="1" applyBorder="1" applyAlignment="1">
      <alignment horizontal="center" vertical="top"/>
    </xf>
    <xf numFmtId="0" fontId="256" fillId="0" borderId="43" xfId="0" applyFont="1" applyBorder="1" applyAlignment="1">
      <alignment horizontal="justify" vertical="top"/>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49" fillId="19" borderId="0" xfId="0" applyFont="1" applyFill="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0" fontId="256" fillId="5" borderId="81" xfId="0" applyFont="1" applyFill="1" applyBorder="1" applyAlignment="1">
      <alignment horizontal="center" vertical="center"/>
    </xf>
    <xf numFmtId="0" fontId="256" fillId="5" borderId="43" xfId="0" applyFont="1" applyFill="1" applyBorder="1" applyAlignment="1">
      <alignment horizontal="center" vertical="center"/>
    </xf>
    <xf numFmtId="0" fontId="264" fillId="0" borderId="43" xfId="0" applyFont="1" applyBorder="1" applyAlignment="1">
      <alignment horizontal="center" vertical="center"/>
    </xf>
    <xf numFmtId="0" fontId="98" fillId="0" borderId="0" xfId="0" applyFont="1">
      <alignment vertical="center"/>
    </xf>
    <xf numFmtId="0" fontId="261" fillId="0" borderId="0" xfId="0" applyFont="1" applyFill="1" applyBorder="1" applyAlignment="1">
      <alignment horizontal="justify" vertical="center"/>
    </xf>
    <xf numFmtId="0" fontId="261" fillId="0" borderId="1" xfId="0" applyFont="1" applyBorder="1" applyAlignment="1">
      <alignment horizontal="left" vertical="center"/>
    </xf>
    <xf numFmtId="0" fontId="172" fillId="0" borderId="1" xfId="0" applyFont="1" applyFill="1" applyBorder="1" applyAlignment="1">
      <alignment horizontal="left" vertical="center"/>
    </xf>
    <xf numFmtId="0" fontId="0" fillId="0" borderId="0" xfId="0" applyAlignment="1">
      <alignment horizontal="left" vertical="center"/>
    </xf>
    <xf numFmtId="0" fontId="172" fillId="0" borderId="1" xfId="0" applyFont="1" applyBorder="1" applyAlignment="1">
      <alignment horizontal="left" vertical="center"/>
    </xf>
    <xf numFmtId="0" fontId="103" fillId="0" borderId="1" xfId="0" applyFont="1" applyBorder="1" applyAlignment="1">
      <alignment horizontal="left" vertical="center"/>
    </xf>
    <xf numFmtId="2" fontId="111" fillId="0" borderId="0" xfId="0" applyNumberFormat="1" applyFont="1" applyAlignment="1">
      <alignment horizontal="left" vertical="center"/>
    </xf>
    <xf numFmtId="0" fontId="111" fillId="0" borderId="0" xfId="0" applyFont="1" applyAlignment="1">
      <alignment horizontal="left" vertical="center"/>
    </xf>
    <xf numFmtId="0" fontId="263" fillId="0" borderId="1" xfId="0" applyFont="1" applyBorder="1" applyAlignment="1">
      <alignment horizontal="left" vertical="center"/>
    </xf>
    <xf numFmtId="0" fontId="265" fillId="7" borderId="0" xfId="0" applyFont="1" applyFill="1" applyProtection="1">
      <alignment vertical="center"/>
      <protection locked="0"/>
    </xf>
    <xf numFmtId="0" fontId="111" fillId="0" borderId="1" xfId="0" applyFont="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186" fontId="142" fillId="0" borderId="13" xfId="18" applyNumberFormat="1" applyFont="1" applyFill="1" applyBorder="1" applyAlignment="1" applyProtection="1">
      <alignment horizontal="center" vertical="center"/>
    </xf>
    <xf numFmtId="186" fontId="142" fillId="0" borderId="15" xfId="18" applyNumberFormat="1" applyFont="1" applyFill="1" applyBorder="1" applyAlignment="1" applyProtection="1">
      <alignment horizontal="center" vertical="center"/>
    </xf>
    <xf numFmtId="186" fontId="142" fillId="0" borderId="2"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protection locked="0"/>
    </xf>
    <xf numFmtId="176" fontId="142" fillId="0" borderId="5"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center" vertical="center"/>
      <protection locked="0"/>
    </xf>
    <xf numFmtId="176" fontId="142" fillId="0" borderId="3"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6" fillId="0" borderId="5" xfId="0" applyFont="1" applyBorder="1" applyAlignment="1">
      <alignment horizontal="left" vertical="center"/>
    </xf>
    <xf numFmtId="0" fontId="266" fillId="0" borderId="54" xfId="0" applyFont="1" applyBorder="1" applyAlignment="1">
      <alignment horizontal="left" vertical="center"/>
    </xf>
    <xf numFmtId="0" fontId="266" fillId="0" borderId="3" xfId="0" applyFont="1" applyBorder="1" applyAlignment="1">
      <alignment horizontal="left" vertical="center"/>
    </xf>
    <xf numFmtId="0" fontId="262" fillId="0" borderId="5" xfId="0" applyFont="1" applyBorder="1" applyAlignment="1">
      <alignment horizontal="left" vertical="center"/>
    </xf>
    <xf numFmtId="0" fontId="262" fillId="0" borderId="54" xfId="0" applyFont="1" applyBorder="1" applyAlignment="1">
      <alignment horizontal="left" vertical="center"/>
    </xf>
    <xf numFmtId="0" fontId="262" fillId="0" borderId="3" xfId="0" applyFont="1" applyBorder="1" applyAlignment="1">
      <alignment horizontal="left" vertical="center"/>
    </xf>
  </cellXfs>
  <cellStyles count="21">
    <cellStyle name="百分比" xfId="17" builtinId="5"/>
    <cellStyle name="百分比 2" xfId="14"/>
    <cellStyle name="常规" xfId="0" builtinId="0"/>
    <cellStyle name="常规 11 2 3 3" xfId="18"/>
    <cellStyle name="常规 115 3" xfId="19"/>
    <cellStyle name="常规 16" xfId="10"/>
    <cellStyle name="常规 2" xfId="1"/>
    <cellStyle name="常规 2 2" xfId="8"/>
    <cellStyle name="常规 2 2 2 2 3" xfId="15"/>
    <cellStyle name="常规 3" xfId="2"/>
    <cellStyle name="常规 3 2" xfId="3"/>
    <cellStyle name="常规 4" xfId="4"/>
    <cellStyle name="常规 40" xfId="20"/>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xdr:row>
      <xdr:rowOff>0</xdr:rowOff>
    </xdr:from>
    <xdr:to>
      <xdr:col>44</xdr:col>
      <xdr:colOff>236667</xdr:colOff>
      <xdr:row>12</xdr:row>
      <xdr:rowOff>384552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2416118" y="156882"/>
          <a:ext cx="11666667" cy="2961905"/>
        </a:xfrm>
        <a:prstGeom prst="rect">
          <a:avLst/>
        </a:prstGeom>
      </xdr:spPr>
    </xdr:pic>
    <xdr:clientData/>
  </xdr:twoCellAnchor>
  <xdr:twoCellAnchor editAs="oneCell">
    <xdr:from>
      <xdr:col>28</xdr:col>
      <xdr:colOff>0</xdr:colOff>
      <xdr:row>15</xdr:row>
      <xdr:rowOff>0</xdr:rowOff>
    </xdr:from>
    <xdr:to>
      <xdr:col>36</xdr:col>
      <xdr:colOff>324186</xdr:colOff>
      <xdr:row>19</xdr:row>
      <xdr:rowOff>96682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16118" y="4291853"/>
          <a:ext cx="6285715"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299901</xdr:colOff>
      <xdr:row>94</xdr:row>
      <xdr:rowOff>5920</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0" y="8314765"/>
          <a:ext cx="7819048" cy="6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云南省昆明市官渡区官渡街道办事处出让国有建设用地使用权及在建建筑物房地产抵押价值预评估</v>
      </c>
    </row>
    <row r="3" spans="1:2" s="1365" customFormat="1">
      <c r="A3" s="1363" t="s">
        <v>1188</v>
      </c>
      <c r="B3" s="1364" t="str">
        <f>'预评函-封皮'!B40</f>
        <v>云南俊贤旅游开发有限公司</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受贵公司委托，我公司对云南省昆明市官渡区官渡街道办事处出让国有建设用地使用权及在建建筑物房地产抵押价值进行了预评估。</v>
      </c>
    </row>
    <row r="7" spans="1:2" s="1365" customFormat="1">
      <c r="A7" s="1363" t="s">
        <v>1231</v>
      </c>
      <c r="B7" s="1364" t="str">
        <f>'预评函-1'!A7</f>
        <v>估价对象为云南省昆明市官渡区官渡街道办事处出让国有建设用地使用权及在建建筑物房地产，为所有。根据《国有土地使用证》[]，估价对象（分摊）出让国有建设用地使用权面积为35823.8平方米，建筑面积为20460.7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云南省昆明市官渡区官渡街道办事处出让国有建设用地使用权及在建建筑物房地产,为开发建设的，该项目尚在开发建设中。根据《国有土地使用证》[]，估价对象（分摊）出让国有建设用地使用权面积为35823.8平方米，规划建筑面积为20460.7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2021年4月30日</v>
      </c>
    </row>
    <row r="13" spans="1:2" s="1365" customFormat="1">
      <c r="A13" s="1363" t="s">
        <v>1194</v>
      </c>
      <c r="B13" s="1364" t="str">
        <f>'预评函-1'!A18</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63410</v>
      </c>
    </row>
    <row r="21" spans="1:2" s="1365" customFormat="1">
      <c r="A21" s="1363" t="s">
        <v>1202</v>
      </c>
      <c r="B21" s="1364">
        <f ca="1">'预评函-2'!D7</f>
        <v>30991</v>
      </c>
    </row>
    <row r="22" spans="1:2" s="1365" customFormat="1">
      <c r="A22" s="1363" t="s">
        <v>1203</v>
      </c>
      <c r="B22" s="1364" t="str">
        <f ca="1">'预评函-2'!D6</f>
        <v>陆亿叁仟肆佰壹拾万元整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63410</v>
      </c>
    </row>
    <row r="31" spans="1:2" s="1365" customFormat="1">
      <c r="A31" s="1363" t="s">
        <v>1241</v>
      </c>
      <c r="B31" s="1364">
        <f ca="1">'预评函-2'!D15</f>
        <v>30991</v>
      </c>
    </row>
    <row r="32" spans="1:2" s="1365" customFormat="1">
      <c r="A32" s="1363" t="s">
        <v>1208</v>
      </c>
      <c r="B32" s="1364" t="str">
        <f ca="1">'预评函-2'!D14</f>
        <v>陆亿叁仟肆佰壹拾万元整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54302</v>
      </c>
    </row>
    <row r="39" spans="1:2" s="1365" customFormat="1">
      <c r="A39" s="1363" t="s">
        <v>1210</v>
      </c>
      <c r="B39" s="1364">
        <f ca="1">'预评函-2'!D21</f>
        <v>26540</v>
      </c>
    </row>
    <row r="40" spans="1:2" s="1365" customFormat="1">
      <c r="A40" s="1363" t="s">
        <v>1211</v>
      </c>
      <c r="B40" s="1364" t="str">
        <f ca="1">'预评函-2'!D20</f>
        <v>伍亿肆仟叁佰零贰万元整</v>
      </c>
    </row>
    <row r="41" spans="1:2" s="1365" customFormat="1">
      <c r="A41" s="1363" t="s">
        <v>1257</v>
      </c>
      <c r="B41" s="1364" t="str">
        <f>'预评函-3'!A4</f>
        <v>云南省昆明市官渡区官渡街道办事处出让国有建设用地使用权及在建建筑物房地产</v>
      </c>
    </row>
    <row r="42" spans="1:2" s="1365" customFormat="1">
      <c r="A42" s="1363" t="s">
        <v>1255</v>
      </c>
      <c r="B42" s="1364" t="str">
        <f>'预评函-3'!B2</f>
        <v>建筑面积</v>
      </c>
    </row>
    <row r="43" spans="1:2" s="1365" customFormat="1">
      <c r="A43" s="1363" t="s">
        <v>1256</v>
      </c>
      <c r="B43" s="1364">
        <f>'预评函-3'!B4</f>
        <v>20460.700000000004</v>
      </c>
    </row>
    <row r="44" spans="1:2" s="1365" customFormat="1">
      <c r="A44" s="1363" t="s">
        <v>1240</v>
      </c>
      <c r="B44" s="1364" t="str">
        <f>'预评函-3'!C2</f>
        <v>(分摊)土地面积</v>
      </c>
    </row>
    <row r="45" spans="1:2" s="1365" customFormat="1">
      <c r="A45" s="1363" t="s">
        <v>1212</v>
      </c>
      <c r="B45" s="1364">
        <f>'预评函-3'!C4</f>
        <v>35823.800000000003</v>
      </c>
    </row>
    <row r="46" spans="1:2" s="1365" customFormat="1">
      <c r="A46" s="1363" t="s">
        <v>1238</v>
      </c>
      <c r="B46" s="1364" t="str">
        <f>'预评函-3'!D2</f>
        <v>出让国有建设用地使用权价值</v>
      </c>
    </row>
    <row r="47" spans="1:2" s="1365" customFormat="1">
      <c r="A47" s="1363" t="s">
        <v>1213</v>
      </c>
      <c r="B47" s="1364">
        <f ca="1">'预评函-3'!D4</f>
        <v>20608</v>
      </c>
    </row>
    <row r="48" spans="1:2" s="1365" customFormat="1">
      <c r="A48" s="1363" t="s">
        <v>1214</v>
      </c>
      <c r="B48" s="1364">
        <f ca="1">'预评函-3'!E4</f>
        <v>10072</v>
      </c>
    </row>
    <row r="49" spans="1:2" s="1365" customFormat="1">
      <c r="A49" s="1363" t="s">
        <v>1215</v>
      </c>
      <c r="B49" s="1364" t="str">
        <f ca="1">'预评函-3'!D5</f>
        <v>贰亿零陆佰零捌万元整</v>
      </c>
    </row>
    <row r="50" spans="1:2" s="1365" customFormat="1">
      <c r="A50" s="1363" t="s">
        <v>1239</v>
      </c>
      <c r="B50" s="1364" t="str">
        <f>'预评函-3'!F2</f>
        <v>在建建筑物价值</v>
      </c>
    </row>
    <row r="51" spans="1:2" s="1365" customFormat="1">
      <c r="A51" s="1363" t="s">
        <v>1216</v>
      </c>
      <c r="B51" s="1364">
        <f ca="1">'预评函-3'!F4</f>
        <v>42802</v>
      </c>
    </row>
    <row r="52" spans="1:2" s="1365" customFormat="1">
      <c r="A52" s="1363" t="s">
        <v>1217</v>
      </c>
      <c r="B52" s="1364">
        <f ca="1">'预评函-3'!G4</f>
        <v>20919</v>
      </c>
    </row>
    <row r="53" spans="1:2" s="1365" customFormat="1">
      <c r="A53" s="1363" t="s">
        <v>1245</v>
      </c>
      <c r="B53" s="1364" t="str">
        <f ca="1">'预评函-3'!F5</f>
        <v>肆亿贰仟捌佰零贰万元整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3032</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官渡区官渡街道办事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66"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6"/>
      <c r="B54" s="1741" t="s">
        <v>832</v>
      </c>
      <c r="C54" s="1738" t="s">
        <v>1248</v>
      </c>
    </row>
    <row r="55" spans="1:4">
      <c r="A55" s="3166"/>
      <c r="B55" s="1741" t="s">
        <v>833</v>
      </c>
      <c r="C55" s="1738" t="s">
        <v>1249</v>
      </c>
    </row>
    <row r="56" spans="1:4">
      <c r="A56" s="3166"/>
      <c r="B56" s="1741" t="s">
        <v>834</v>
      </c>
      <c r="C56" s="1738" t="s">
        <v>1253</v>
      </c>
    </row>
    <row r="57" spans="1:4">
      <c r="A57" s="3166"/>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2907</v>
      </c>
      <c r="B1" s="3167" t="str">
        <f>IF(B10="北京市","北京市",C10)&amp;F10&amp;IF(结果表!G1="在建","出让国有建设用地使用权及在建建筑物",IF(结果表!G1="土地","出让国有建设用地使用权",))&amp;B9&amp;"预评估"</f>
        <v>云南省昆明市官渡区官渡街道办事处出让国有建设用地使用权及在建建筑物房地产抵押价值预评估</v>
      </c>
      <c r="C1" s="3168"/>
      <c r="D1" s="3168"/>
      <c r="E1" s="3168"/>
      <c r="F1" s="3168"/>
      <c r="G1" s="3168"/>
      <c r="H1" s="3168"/>
      <c r="I1" s="3169"/>
      <c r="J1" s="2695"/>
      <c r="K1" s="2592"/>
      <c r="L1" s="2593"/>
      <c r="M1" s="2593"/>
      <c r="N1" s="2594"/>
      <c r="O1" s="1763"/>
      <c r="P1" s="2594"/>
      <c r="Q1" s="2594"/>
      <c r="R1" s="2594"/>
      <c r="S1" s="1869" t="str">
        <f>IF(B10="北京市","北京市",C10)&amp;F10&amp;IF(结果表!G1="在建","出让国有建设用地使用权及在建建筑物房地产抵押价值",IF(结果表!G1="土地","出让国有建设用地使用权抵押价值",B9))</f>
        <v>云南省昆明市官渡区官渡街道办事处出让国有建设用地使用权及在建建筑物房地产抵押价值</v>
      </c>
      <c r="T1" s="1932"/>
      <c r="U1" s="1932"/>
      <c r="V1" s="1932"/>
      <c r="W1" s="1932"/>
      <c r="X1" s="1932"/>
      <c r="Y1" s="1932"/>
      <c r="Z1" s="1932"/>
      <c r="AA1" s="1932"/>
      <c r="AB1" s="1932"/>
    </row>
    <row r="2" spans="1:28">
      <c r="A2" s="2591" t="s">
        <v>2908</v>
      </c>
      <c r="B2" s="2595"/>
      <c r="C2" s="2596"/>
      <c r="D2" s="2896"/>
      <c r="E2" s="2887"/>
      <c r="F2" s="2887"/>
      <c r="G2" s="2888"/>
      <c r="H2" s="2888"/>
      <c r="I2" s="2888"/>
      <c r="J2" s="2695"/>
      <c r="K2" s="2592"/>
      <c r="L2" s="2593"/>
      <c r="M2" s="2593"/>
      <c r="N2" s="2594"/>
      <c r="O2" s="1763"/>
      <c r="P2" s="2594"/>
      <c r="Q2" s="2594"/>
      <c r="R2" s="2594"/>
      <c r="S2" s="1869" t="str">
        <f>IF(B10="北京市","北京市",C10)&amp;F10&amp;IF(结果表!G1="在建","出让国有建设用地使用权及在建建筑物房地产",IF(结果表!G1="土地","出让国有建设用地使用权","房地产"))</f>
        <v>云南省昆明市官渡区官渡街道办事处出让国有建设用地使用权及在建建筑物房地产</v>
      </c>
      <c r="T2" s="1932"/>
      <c r="U2" s="1932"/>
      <c r="V2" s="1932"/>
      <c r="W2" s="1932"/>
      <c r="X2" s="1932"/>
      <c r="Y2" s="1932"/>
      <c r="Z2" s="1932"/>
      <c r="AA2" s="1932"/>
      <c r="AB2" s="1932"/>
    </row>
    <row r="3" spans="1:28">
      <c r="A3" s="308" t="s">
        <v>2909</v>
      </c>
      <c r="B3" s="2597">
        <v>44208</v>
      </c>
      <c r="C3" s="2598" t="s">
        <v>2910</v>
      </c>
      <c r="D3" s="2597">
        <v>44316</v>
      </c>
      <c r="E3" s="2888"/>
      <c r="F3" s="2888"/>
      <c r="G3" s="2888"/>
      <c r="H3" s="2888"/>
      <c r="I3" s="2888"/>
      <c r="J3" s="2695"/>
      <c r="K3" s="2592"/>
      <c r="L3" s="2593"/>
      <c r="M3" s="2593"/>
      <c r="N3" s="2594"/>
      <c r="O3" s="1763"/>
      <c r="P3" s="2594"/>
      <c r="Q3" s="2594"/>
      <c r="R3" s="2594"/>
      <c r="S3" s="1869"/>
      <c r="T3" s="1932"/>
      <c r="U3" s="1932"/>
      <c r="V3" s="1932"/>
      <c r="W3" s="1932"/>
      <c r="X3" s="1932"/>
      <c r="Y3" s="1932"/>
      <c r="Z3" s="1932"/>
      <c r="AA3" s="1932"/>
      <c r="AB3" s="1932"/>
    </row>
    <row r="4" spans="1:28" ht="13.5" thickBot="1">
      <c r="A4" s="1250" t="s">
        <v>2911</v>
      </c>
      <c r="B4" s="2599" t="s">
        <v>3589</v>
      </c>
      <c r="C4" s="2600">
        <f ca="1">SUMIF(注册房地产估价师,B4,估价师及机构信息!B3:B24)</f>
        <v>1419970001</v>
      </c>
      <c r="D4" s="2599" t="s">
        <v>3590</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吴薇（注册号：1419970001)、郑燚（注册号：1120070131)</v>
      </c>
      <c r="L4" s="2593"/>
      <c r="M4" s="2593"/>
      <c r="N4" s="2594"/>
      <c r="O4" s="1763"/>
      <c r="P4" s="2594"/>
      <c r="Q4" s="2594"/>
      <c r="R4" s="2594"/>
      <c r="S4" s="1869"/>
      <c r="T4" s="1932"/>
      <c r="U4" s="1932"/>
      <c r="V4" s="1932"/>
      <c r="W4" s="1932"/>
      <c r="X4" s="1932"/>
      <c r="Y4" s="1932"/>
      <c r="Z4" s="1932"/>
      <c r="AA4" s="1932"/>
      <c r="AB4" s="1932"/>
    </row>
    <row r="5" spans="1:28" ht="36.75" thickTop="1">
      <c r="A5" s="2603" t="s">
        <v>2912</v>
      </c>
      <c r="B5" s="3043" t="s">
        <v>3063</v>
      </c>
      <c r="C5" s="2604"/>
      <c r="D5" s="2605"/>
      <c r="E5" s="2889"/>
      <c r="F5" s="2889"/>
      <c r="G5" s="2889"/>
      <c r="H5" s="2889"/>
      <c r="I5" s="2889"/>
      <c r="J5" s="2663"/>
      <c r="K5" s="2602" t="str">
        <f>IF(F4="——","",IF(H4="——",F4&amp;"（注册号："&amp;G4&amp;")",CONCATENATE(F4,"（注册号：",G4,")、",H4,"（注册号：",I4,")")))</f>
        <v>（注册号：0)、（注册号：0)</v>
      </c>
      <c r="L5" s="2593"/>
      <c r="M5" s="2593"/>
      <c r="N5" s="2594"/>
      <c r="O5" s="1763"/>
      <c r="P5" s="2594"/>
      <c r="Q5" s="2594"/>
      <c r="R5" s="2594"/>
      <c r="S5" s="1932"/>
      <c r="T5" s="1932"/>
      <c r="U5" s="1932"/>
      <c r="V5" s="1932"/>
      <c r="W5" s="1932"/>
      <c r="X5" s="1932"/>
      <c r="Y5" s="1932"/>
      <c r="Z5" s="1932"/>
      <c r="AA5" s="1932"/>
      <c r="AB5" s="1932"/>
    </row>
    <row r="6" spans="1:28">
      <c r="A6" s="2606" t="s">
        <v>2913</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2914</v>
      </c>
      <c r="B7" s="2610"/>
      <c r="C7" s="2608"/>
      <c r="D7" s="2609"/>
      <c r="E7" s="2887"/>
      <c r="F7" s="2889"/>
      <c r="G7" s="2889"/>
      <c r="H7" s="2889"/>
      <c r="I7" s="2889"/>
      <c r="J7" s="2663"/>
      <c r="K7" s="2840"/>
      <c r="L7" s="2837"/>
      <c r="M7" s="2837"/>
      <c r="N7" s="2663"/>
      <c r="O7" s="2674"/>
      <c r="P7" s="2663"/>
      <c r="Q7" s="2663"/>
      <c r="R7" s="2663"/>
    </row>
    <row r="8" spans="1:28">
      <c r="A8" s="2611" t="s">
        <v>2915</v>
      </c>
      <c r="B8" s="2612" t="s">
        <v>3055</v>
      </c>
      <c r="C8" s="2613"/>
      <c r="D8" s="3170" t="s">
        <v>2916</v>
      </c>
      <c r="E8" s="2614" t="s">
        <v>3056</v>
      </c>
      <c r="F8" s="2615"/>
      <c r="G8" s="2888"/>
      <c r="H8" s="2888"/>
      <c r="I8" s="2888"/>
      <c r="J8" s="2663"/>
      <c r="K8" s="2838"/>
      <c r="L8" s="2837"/>
      <c r="M8" s="2837"/>
      <c r="N8" s="2663"/>
      <c r="O8" s="2674"/>
      <c r="P8" s="2663"/>
      <c r="Q8" s="2663"/>
      <c r="R8" s="2663"/>
    </row>
    <row r="9" spans="1:28" ht="13.5" thickBot="1">
      <c r="A9" s="2616" t="s">
        <v>2917</v>
      </c>
      <c r="B9" s="2617" t="s">
        <v>3056</v>
      </c>
      <c r="C9" s="2618"/>
      <c r="D9" s="3171"/>
      <c r="E9" s="2617" t="s">
        <v>1252</v>
      </c>
      <c r="F9" s="2619"/>
      <c r="G9" s="2890"/>
      <c r="H9" s="2890"/>
      <c r="I9" s="2890"/>
      <c r="J9" s="2663"/>
      <c r="K9" s="2840"/>
      <c r="L9" s="2837"/>
      <c r="M9" s="2837"/>
      <c r="N9" s="2663"/>
      <c r="O9" s="2674"/>
      <c r="P9" s="2663"/>
      <c r="Q9" s="2663"/>
      <c r="R9" s="2663"/>
    </row>
    <row r="10" spans="1:28" ht="13.5" thickTop="1">
      <c r="A10" s="2620" t="s">
        <v>2918</v>
      </c>
      <c r="B10" s="2621" t="s">
        <v>3057</v>
      </c>
      <c r="C10" s="3041" t="s">
        <v>3058</v>
      </c>
      <c r="D10" s="2605"/>
      <c r="E10" s="2622" t="s">
        <v>2919</v>
      </c>
      <c r="F10" s="3042" t="s">
        <v>3059</v>
      </c>
      <c r="G10" s="2891"/>
      <c r="H10" s="2892"/>
      <c r="I10" s="2893"/>
      <c r="J10" s="2663"/>
      <c r="K10" s="2840"/>
      <c r="L10" s="2837"/>
      <c r="M10" s="2837"/>
      <c r="N10" s="2663"/>
      <c r="O10" s="2674"/>
      <c r="P10" s="2663"/>
      <c r="Q10" s="2663"/>
      <c r="R10" s="2663"/>
    </row>
    <row r="11" spans="1:28">
      <c r="A11" s="2623" t="s">
        <v>2920</v>
      </c>
      <c r="B11" s="2624" t="s">
        <v>3060</v>
      </c>
      <c r="C11" s="2625"/>
      <c r="D11" s="2626"/>
      <c r="E11" s="2594"/>
      <c r="F11" s="2594"/>
      <c r="G11" s="2594"/>
      <c r="H11" s="2594"/>
      <c r="I11" s="2594"/>
      <c r="J11" s="2663"/>
      <c r="K11" s="2840"/>
      <c r="L11" s="2837"/>
      <c r="M11" s="2837"/>
      <c r="N11" s="2663"/>
      <c r="O11" s="2674"/>
      <c r="P11" s="2663"/>
      <c r="Q11" s="2663"/>
      <c r="R11" s="2663"/>
    </row>
    <row r="12" spans="1:28">
      <c r="A12" s="2627" t="s">
        <v>2921</v>
      </c>
      <c r="B12" s="2624" t="s">
        <v>3061</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55712</v>
      </c>
      <c r="F13" s="965"/>
      <c r="G13" s="965">
        <v>55712</v>
      </c>
      <c r="H13" s="965"/>
      <c r="I13" s="965"/>
      <c r="J13" s="2663"/>
      <c r="K13" s="2840"/>
      <c r="L13" s="2837"/>
      <c r="M13" s="2837"/>
      <c r="N13" s="2663"/>
      <c r="O13" s="2674"/>
      <c r="P13" s="2663"/>
      <c r="Q13" s="2663"/>
      <c r="R13" s="2663"/>
    </row>
    <row r="14" spans="1:28">
      <c r="A14" s="1241"/>
      <c r="B14" s="2629"/>
      <c r="C14" s="2630" t="s">
        <v>2930</v>
      </c>
      <c r="D14" s="2631"/>
      <c r="E14" s="2631">
        <v>40</v>
      </c>
      <c r="F14" s="2631"/>
      <c r="G14" s="2631">
        <v>40</v>
      </c>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31.22</v>
      </c>
      <c r="F15" s="2634" t="str">
        <f>IF(B12="出让",IF(F13="","",ROUNDDOWN(MIN((F13-$D$3)/365,F14),2)),F14)</f>
        <v/>
      </c>
      <c r="G15" s="2634">
        <f>IF(B12="出让",IF(G13="","",ROUNDDOWN(MIN((G13-$D$3)/365,G14),2)),G14)</f>
        <v>31.22</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77"/>
      <c r="C16" s="3178"/>
      <c r="D16" s="3179"/>
      <c r="E16" s="2637" t="s">
        <v>2933</v>
      </c>
      <c r="F16" s="3180"/>
      <c r="G16" s="3181"/>
      <c r="H16" s="3181"/>
      <c r="I16" s="3182"/>
      <c r="J16" s="2663"/>
      <c r="K16" s="2842"/>
      <c r="L16" s="2675"/>
      <c r="M16" s="2675"/>
      <c r="N16" s="2733"/>
      <c r="O16" s="2675"/>
      <c r="P16" s="2733"/>
      <c r="Q16" s="2663"/>
      <c r="R16" s="2663"/>
    </row>
    <row r="17" spans="1:28">
      <c r="A17" s="319" t="s">
        <v>2934</v>
      </c>
      <c r="B17" s="308" t="s">
        <v>2935</v>
      </c>
      <c r="C17" s="11">
        <f>'数据-汇总表'!E3</f>
        <v>20460.700000000004</v>
      </c>
      <c r="D17" s="2545" t="s">
        <v>2936</v>
      </c>
      <c r="E17" s="3183" t="s">
        <v>2937</v>
      </c>
      <c r="F17" s="3184"/>
      <c r="G17" s="3184"/>
      <c r="H17" s="3184"/>
      <c r="I17" s="3185"/>
      <c r="J17" s="2663"/>
      <c r="K17" s="2843"/>
      <c r="L17" s="2675"/>
      <c r="M17" s="2675"/>
      <c r="N17" s="2733"/>
      <c r="O17" s="2675"/>
      <c r="P17" s="2733"/>
      <c r="Q17" s="2663"/>
      <c r="R17" s="2663"/>
      <c r="S17" s="2663"/>
      <c r="T17" s="2663"/>
      <c r="U17" s="2663"/>
      <c r="V17" s="2663"/>
    </row>
    <row r="18" spans="1:28" ht="24.75" thickBot="1">
      <c r="A18" s="2638" t="s">
        <v>2938</v>
      </c>
      <c r="B18" s="1250" t="s">
        <v>2939</v>
      </c>
      <c r="C18" s="2639">
        <f>'数据-汇总表'!D3</f>
        <v>35823.800000000003</v>
      </c>
      <c r="D18" s="1252" t="s">
        <v>2940</v>
      </c>
      <c r="E18" s="3186" t="s">
        <v>2941</v>
      </c>
      <c r="F18" s="3187"/>
      <c r="G18" s="3187"/>
      <c r="H18" s="3187"/>
      <c r="I18" s="3188"/>
      <c r="J18" s="2663"/>
      <c r="K18" s="2843"/>
      <c r="L18" s="2675"/>
      <c r="M18" s="2675"/>
      <c r="N18" s="2733"/>
      <c r="O18" s="2675"/>
      <c r="P18" s="2733"/>
      <c r="Q18" s="2663"/>
      <c r="R18" s="2663"/>
      <c r="S18" s="2663"/>
      <c r="T18" s="2663"/>
      <c r="U18" s="2663"/>
      <c r="V18" s="2663"/>
    </row>
    <row r="19" spans="1:28" ht="37.5" thickTop="1" thickBot="1">
      <c r="A19" s="333" t="s">
        <v>1741</v>
      </c>
      <c r="B19" s="313" t="s">
        <v>2942</v>
      </c>
      <c r="C19" s="1750"/>
      <c r="D19" s="1751" t="s">
        <v>2943</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2944</v>
      </c>
      <c r="B20" s="3173" t="s">
        <v>2945</v>
      </c>
      <c r="C20" s="3174"/>
      <c r="D20" s="3175" t="s">
        <v>2946</v>
      </c>
      <c r="E20" s="3176"/>
      <c r="F20" s="2872" t="s">
        <v>1742</v>
      </c>
      <c r="G20" s="2889"/>
      <c r="H20" s="2889"/>
      <c r="I20" s="2889"/>
      <c r="J20" s="2663"/>
      <c r="K20" s="3172"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2"/>
      <c r="X20" s="1932"/>
      <c r="Y20" s="1932"/>
      <c r="Z20" s="1932"/>
      <c r="AA20" s="1932"/>
      <c r="AB20" s="1932"/>
    </row>
    <row r="21" spans="1:28" ht="24.75" thickBot="1">
      <c r="A21" s="2857"/>
      <c r="B21" s="2858" t="s">
        <v>2948</v>
      </c>
      <c r="C21" s="2859" t="s">
        <v>1743</v>
      </c>
      <c r="D21" s="1755" t="s">
        <v>2949</v>
      </c>
      <c r="E21" s="2860" t="s">
        <v>1743</v>
      </c>
      <c r="F21" s="2873"/>
      <c r="G21" s="2889"/>
      <c r="H21" s="2889"/>
      <c r="I21" s="2889"/>
      <c r="J21" s="2663"/>
      <c r="K21" s="317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2"/>
      <c r="X21" s="1932"/>
      <c r="Y21" s="1932"/>
      <c r="Z21" s="1932"/>
      <c r="AA21" s="1932"/>
      <c r="AB21" s="1932"/>
    </row>
    <row r="22" spans="1:28" ht="24.75" thickBot="1">
      <c r="A22" s="2857"/>
      <c r="B22" s="2861" t="s">
        <v>2950</v>
      </c>
      <c r="C22" s="2859" t="s">
        <v>1744</v>
      </c>
      <c r="D22" s="2888"/>
      <c r="E22" s="2888"/>
      <c r="F22" s="2888"/>
      <c r="G22" s="2889"/>
      <c r="H22" s="2889"/>
      <c r="I22" s="2889"/>
      <c r="J22" s="2663"/>
      <c r="K22" s="317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2"/>
      <c r="X22" s="1932"/>
      <c r="Y22" s="1932"/>
      <c r="Z22" s="1932"/>
      <c r="AA22" s="1932"/>
      <c r="AB22" s="1932"/>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90"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90"/>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90"/>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91"/>
      <c r="B30" s="308" t="s">
        <v>2957</v>
      </c>
      <c r="C30" s="3192"/>
      <c r="D30" s="3193"/>
      <c r="E30" s="2889"/>
      <c r="F30" s="2889"/>
      <c r="G30" s="2889"/>
      <c r="H30" s="2889"/>
      <c r="I30" s="2889"/>
      <c r="J30" s="2663"/>
      <c r="K30" s="2840"/>
      <c r="L30" s="2837"/>
      <c r="M30" s="2837"/>
      <c r="N30" s="2663"/>
      <c r="O30" s="2674"/>
      <c r="P30" s="2663"/>
      <c r="Q30" s="2663"/>
      <c r="R30" s="2663"/>
      <c r="S30" s="2663"/>
      <c r="T30" s="2663"/>
      <c r="U30" s="2663"/>
      <c r="V30" s="2663"/>
    </row>
    <row r="31" spans="1:28">
      <c r="A31" s="3194" t="s">
        <v>2958</v>
      </c>
      <c r="B31" s="2646" t="s">
        <v>3062</v>
      </c>
      <c r="C31" s="2546" t="str">
        <f>IF(B31="现房","成新及维护状况正常否",IF(B31="在建","工程状态是否正常",IF(B31="土地","是否闲置","-")))</f>
        <v>工程状态是否正常</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95"/>
      <c r="B32" s="2646"/>
      <c r="C32" s="2546"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95"/>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4"/>
      <c r="C34" s="2214"/>
      <c r="D34" s="2214"/>
      <c r="E34" s="2214"/>
      <c r="F34" s="2214"/>
      <c r="G34" s="2214"/>
      <c r="H34" s="2214"/>
      <c r="I34" s="2889"/>
      <c r="J34" s="2663"/>
      <c r="K34" s="2651">
        <f>COUNTIF(B34:H34,"——")</f>
        <v>0</v>
      </c>
      <c r="L34" s="329" t="s">
        <v>2960</v>
      </c>
      <c r="M34" s="329" t="s">
        <v>2961</v>
      </c>
      <c r="N34" s="329" t="s">
        <v>2962</v>
      </c>
      <c r="O34" s="329" t="s">
        <v>2963</v>
      </c>
      <c r="P34" s="329" t="s">
        <v>2964</v>
      </c>
      <c r="Q34" s="329" t="s">
        <v>2965</v>
      </c>
      <c r="R34" s="329" t="s">
        <v>2966</v>
      </c>
      <c r="S34" s="3189" t="s">
        <v>2967</v>
      </c>
      <c r="T34" s="2652" t="str">
        <f>NUMBERSTRING(7-K34,1)&amp;"通"</f>
        <v>七通</v>
      </c>
      <c r="U34" s="2663"/>
      <c r="V34" s="2663"/>
    </row>
    <row r="35" spans="1:30">
      <c r="A35" s="2653"/>
      <c r="B35" s="3196" t="s">
        <v>2968</v>
      </c>
      <c r="C35" s="3196"/>
      <c r="D35" s="3196"/>
      <c r="E35" s="3196"/>
      <c r="F35" s="673" t="str">
        <f>C10</f>
        <v>云南省</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9"/>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4"/>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2970</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5"/>
      <c r="J40" s="2733"/>
      <c r="K40" s="2839"/>
      <c r="L40" s="2675"/>
      <c r="M40" s="2675"/>
      <c r="N40" s="2733"/>
      <c r="O40" s="2675"/>
      <c r="P40" s="2663"/>
      <c r="Q40" s="2663"/>
      <c r="R40" s="2663"/>
      <c r="S40" s="2663"/>
      <c r="T40" s="2663"/>
      <c r="U40" s="2663"/>
      <c r="V40" s="2663"/>
    </row>
    <row r="41" spans="1:30">
      <c r="A41" s="2660" t="s">
        <v>2972</v>
      </c>
      <c r="B41" s="1944"/>
      <c r="C41" s="1559"/>
      <c r="D41" s="2594"/>
      <c r="E41" s="2594"/>
      <c r="F41" s="2594"/>
      <c r="G41" s="2594"/>
      <c r="H41" s="2594"/>
      <c r="I41" s="1763"/>
      <c r="J41" s="2663"/>
      <c r="K41" s="2840"/>
      <c r="L41" s="2837"/>
      <c r="M41" s="2837"/>
      <c r="N41" s="2663"/>
      <c r="O41" s="2674"/>
      <c r="P41" s="2663"/>
      <c r="Q41" s="2663"/>
      <c r="R41" s="2663"/>
      <c r="S41" s="2663"/>
      <c r="T41" s="2663"/>
      <c r="U41" s="2663"/>
      <c r="V41" s="2663"/>
    </row>
    <row r="42" spans="1:30" ht="25.5">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30"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7"/>
      <c r="B51" s="1757"/>
      <c r="C51" s="1182"/>
      <c r="D51" s="1182"/>
      <c r="E51" s="1182"/>
      <c r="F51" s="1182"/>
      <c r="G51" s="1182"/>
      <c r="H51" s="1182"/>
      <c r="I51" s="1182"/>
      <c r="J51" s="2661"/>
      <c r="K51" s="2662"/>
      <c r="L51" s="2662"/>
      <c r="M51" s="1182"/>
      <c r="N51" s="1182"/>
      <c r="O51" s="1182"/>
      <c r="P51" s="1182"/>
      <c r="Q51" s="1182"/>
      <c r="R51" s="1182"/>
    </row>
    <row r="52" spans="1:22" s="1930" customFormat="1">
      <c r="A52" s="1757"/>
      <c r="B52" s="1757"/>
      <c r="C52" s="1757"/>
      <c r="D52" s="1757"/>
      <c r="E52" s="1757"/>
      <c r="F52" s="1182"/>
      <c r="G52" s="1757"/>
      <c r="H52" s="1757"/>
      <c r="I52" s="1757"/>
      <c r="J52" s="2664"/>
      <c r="K52" s="2662"/>
      <c r="L52" s="2662"/>
      <c r="M52" s="2662"/>
      <c r="N52" s="1757"/>
      <c r="O52" s="1757"/>
      <c r="P52" s="1757"/>
      <c r="Q52" s="1757"/>
      <c r="R52" s="1757"/>
    </row>
    <row r="53" spans="1:22" s="1930" customFormat="1">
      <c r="A53" s="1757"/>
      <c r="B53" s="1757"/>
      <c r="C53" s="1757"/>
      <c r="D53" s="1757"/>
      <c r="E53" s="1757"/>
      <c r="F53" s="1182"/>
      <c r="G53" s="1757"/>
      <c r="H53" s="1757"/>
      <c r="I53" s="1757"/>
      <c r="J53" s="2664"/>
      <c r="K53" s="2662"/>
      <c r="L53" s="2662"/>
      <c r="M53" s="2662"/>
      <c r="N53" s="1757"/>
      <c r="O53" s="1757"/>
      <c r="P53" s="1757"/>
      <c r="Q53" s="1757"/>
      <c r="R53" s="1757"/>
    </row>
    <row r="54" spans="1:22" s="1930" customFormat="1">
      <c r="A54" s="1757"/>
      <c r="B54" s="1757"/>
      <c r="C54" s="1757"/>
      <c r="D54" s="1757"/>
      <c r="E54" s="1757"/>
      <c r="F54" s="1182"/>
      <c r="G54" s="1757"/>
      <c r="H54" s="1757"/>
      <c r="I54" s="1757"/>
      <c r="J54" s="2664"/>
      <c r="K54" s="2662"/>
      <c r="L54" s="2662"/>
      <c r="M54" s="2662"/>
      <c r="N54" s="1757"/>
      <c r="O54" s="1757"/>
      <c r="P54" s="1757"/>
      <c r="Q54" s="1757"/>
      <c r="R54" s="1757"/>
    </row>
    <row r="55" spans="1:22" s="1930" customFormat="1">
      <c r="A55" s="1757"/>
      <c r="B55" s="1757"/>
      <c r="C55" s="1757"/>
      <c r="D55" s="1757"/>
      <c r="E55" s="1757"/>
      <c r="F55" s="1182"/>
      <c r="G55" s="1757"/>
      <c r="H55" s="1757"/>
      <c r="I55" s="1757"/>
      <c r="J55" s="2664"/>
      <c r="K55" s="2662"/>
      <c r="L55" s="2662"/>
      <c r="M55" s="2662"/>
      <c r="N55" s="1757"/>
      <c r="O55" s="1757"/>
      <c r="P55" s="1757"/>
      <c r="Q55" s="1757"/>
      <c r="R55" s="1757"/>
    </row>
    <row r="56" spans="1:22" s="1930"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76"/>
  <sheetViews>
    <sheetView topLeftCell="A19" zoomScale="85" zoomScaleNormal="85" workbookViewId="0">
      <selection activeCell="G21" sqref="G21"/>
    </sheetView>
  </sheetViews>
  <sheetFormatPr defaultColWidth="9" defaultRowHeight="12"/>
  <cols>
    <col min="1" max="5" width="9.125" style="3072" bestFit="1" customWidth="1"/>
    <col min="6" max="8" width="9.125" style="3072" customWidth="1"/>
    <col min="9" max="9" width="9" style="3072"/>
    <col min="10" max="10" width="9.125" style="3072" bestFit="1" customWidth="1"/>
    <col min="11" max="11" width="35.375" style="3072" customWidth="1"/>
    <col min="12" max="12" width="9" style="3072"/>
    <col min="13" max="22" width="9.125" style="3072" hidden="1" customWidth="1"/>
    <col min="23" max="23" width="9.625" style="3072" bestFit="1" customWidth="1"/>
    <col min="24" max="26" width="9.125" style="3072" hidden="1" customWidth="1"/>
    <col min="27" max="29" width="9" style="3072"/>
    <col min="30" max="30" width="15.5" style="3072" customWidth="1"/>
    <col min="31" max="16384" width="9" style="3072"/>
  </cols>
  <sheetData>
    <row r="1" spans="1:26">
      <c r="A1" s="3072" t="s">
        <v>3064</v>
      </c>
      <c r="B1" s="3072" t="s">
        <v>3065</v>
      </c>
      <c r="C1" s="3072" t="s">
        <v>3066</v>
      </c>
      <c r="D1" s="3072" t="s">
        <v>3067</v>
      </c>
      <c r="E1" s="3072" t="s">
        <v>3068</v>
      </c>
      <c r="F1" s="3072" t="s">
        <v>3160</v>
      </c>
    </row>
    <row r="2" spans="1:26">
      <c r="B2" s="3072">
        <v>166664.25</v>
      </c>
      <c r="C2" s="3072">
        <v>25000</v>
      </c>
      <c r="D2" s="3072">
        <v>79998.84</v>
      </c>
      <c r="E2" s="3072">
        <f>D2/B2</f>
        <v>0.48</v>
      </c>
      <c r="F2" s="3072">
        <f>C2/D2*10000</f>
        <v>3125.0453131570412</v>
      </c>
    </row>
    <row r="4" spans="1:26" ht="12.75" thickBot="1"/>
    <row r="5" spans="1:26" ht="14.25" thickBot="1">
      <c r="A5" s="3044" t="s">
        <v>3069</v>
      </c>
      <c r="B5" s="3045" t="s">
        <v>3070</v>
      </c>
      <c r="C5" s="3045" t="s">
        <v>3071</v>
      </c>
      <c r="D5" s="3045" t="s">
        <v>3072</v>
      </c>
      <c r="E5" s="3045" t="s">
        <v>3073</v>
      </c>
      <c r="F5"/>
      <c r="G5"/>
      <c r="H5"/>
      <c r="J5" s="3200" t="s">
        <v>3083</v>
      </c>
      <c r="K5" s="3200"/>
      <c r="L5" s="3200"/>
      <c r="M5" s="3200"/>
      <c r="N5" s="3200"/>
      <c r="O5" s="3200"/>
      <c r="P5" s="3200"/>
      <c r="Q5" s="3200"/>
      <c r="R5" s="3200"/>
      <c r="S5" s="3200"/>
      <c r="T5" s="3200"/>
      <c r="U5" s="3200"/>
      <c r="V5" s="3200"/>
      <c r="W5" s="3200"/>
      <c r="X5" s="3200"/>
      <c r="Y5" s="3200"/>
      <c r="Z5" s="3200"/>
    </row>
    <row r="6" spans="1:26" ht="14.25" thickBot="1">
      <c r="A6" s="3046">
        <v>1</v>
      </c>
      <c r="B6" s="3047" t="s">
        <v>3481</v>
      </c>
      <c r="C6" s="3047" t="s">
        <v>3482</v>
      </c>
      <c r="D6" s="3047" t="s">
        <v>3074</v>
      </c>
      <c r="E6" s="3047">
        <v>60010.1</v>
      </c>
      <c r="F6"/>
      <c r="G6"/>
      <c r="H6"/>
      <c r="J6" s="3201" t="s">
        <v>3084</v>
      </c>
      <c r="K6" s="3202"/>
      <c r="L6" s="3203"/>
      <c r="M6" s="3203"/>
      <c r="N6" s="3203"/>
      <c r="O6" s="3203"/>
      <c r="P6" s="3203"/>
      <c r="Q6" s="3203"/>
      <c r="R6" s="3203"/>
      <c r="S6" s="3203"/>
      <c r="T6" s="3203"/>
      <c r="U6" s="3203"/>
      <c r="V6" s="3203"/>
      <c r="W6" s="3203"/>
      <c r="X6" s="3203"/>
      <c r="Y6" s="3203"/>
      <c r="Z6" s="3204"/>
    </row>
    <row r="7" spans="1:26" ht="17.25" thickBot="1">
      <c r="A7" s="3046">
        <v>1</v>
      </c>
      <c r="B7" s="3047" t="s">
        <v>3487</v>
      </c>
      <c r="C7" s="3091" t="s">
        <v>3075</v>
      </c>
      <c r="D7" s="3092" t="s">
        <v>3074</v>
      </c>
      <c r="E7" s="3091">
        <v>419.34</v>
      </c>
      <c r="F7"/>
      <c r="G7"/>
      <c r="H7"/>
      <c r="J7" s="3051"/>
      <c r="K7" s="3052"/>
      <c r="L7" s="3053"/>
      <c r="M7" s="3054"/>
      <c r="N7" s="3205" t="s">
        <v>3085</v>
      </c>
      <c r="O7" s="3205"/>
      <c r="P7" s="3205"/>
      <c r="Q7" s="3205"/>
      <c r="R7" s="3205"/>
      <c r="S7" s="3205"/>
      <c r="T7" s="3054" t="s">
        <v>3086</v>
      </c>
      <c r="U7" s="3054" t="s">
        <v>3087</v>
      </c>
      <c r="V7" s="3054" t="s">
        <v>3088</v>
      </c>
      <c r="W7" s="3054" t="s">
        <v>3089</v>
      </c>
      <c r="X7" s="3054" t="s">
        <v>3090</v>
      </c>
      <c r="Y7" s="3054" t="s">
        <v>3091</v>
      </c>
      <c r="Z7" s="3054" t="s">
        <v>3092</v>
      </c>
    </row>
    <row r="8" spans="1:26" ht="14.25" thickBot="1">
      <c r="A8" s="3046">
        <v>2</v>
      </c>
      <c r="B8" s="3111" t="s">
        <v>3618</v>
      </c>
      <c r="C8" s="3047" t="s">
        <v>3075</v>
      </c>
      <c r="D8" s="3047" t="s">
        <v>3074</v>
      </c>
      <c r="E8" s="3047">
        <v>1198.3</v>
      </c>
      <c r="F8"/>
      <c r="G8"/>
      <c r="H8"/>
      <c r="J8" s="3055" t="s">
        <v>3069</v>
      </c>
      <c r="K8" s="3056" t="s">
        <v>3093</v>
      </c>
      <c r="L8" s="3057" t="s">
        <v>3094</v>
      </c>
      <c r="M8" s="3058" t="s">
        <v>3095</v>
      </c>
      <c r="N8" s="3058" t="s">
        <v>3096</v>
      </c>
      <c r="O8" s="3058" t="s">
        <v>3096</v>
      </c>
      <c r="P8" s="3058" t="s">
        <v>3097</v>
      </c>
      <c r="Q8" s="3058" t="s">
        <v>3096</v>
      </c>
      <c r="R8" s="3058" t="s">
        <v>3096</v>
      </c>
      <c r="S8" s="3058" t="s">
        <v>3098</v>
      </c>
      <c r="T8" s="3059"/>
      <c r="U8" s="3059"/>
      <c r="V8" s="3060"/>
      <c r="W8" s="3060"/>
      <c r="X8" s="3060"/>
      <c r="Y8" s="3060"/>
      <c r="Z8" s="3060"/>
    </row>
    <row r="9" spans="1:26" ht="17.25" thickBot="1">
      <c r="A9" s="3046">
        <v>3</v>
      </c>
      <c r="B9" s="3111" t="s">
        <v>3619</v>
      </c>
      <c r="C9" s="3047" t="s">
        <v>3075</v>
      </c>
      <c r="D9" s="3047" t="s">
        <v>3074</v>
      </c>
      <c r="E9" s="3047">
        <v>646.59</v>
      </c>
      <c r="F9"/>
      <c r="G9"/>
      <c r="H9"/>
      <c r="J9" s="3055">
        <v>1</v>
      </c>
      <c r="K9" s="3061" t="s">
        <v>3099</v>
      </c>
      <c r="L9" s="3057" t="s">
        <v>3100</v>
      </c>
      <c r="M9" s="3058">
        <f>P9+S9</f>
        <v>0</v>
      </c>
      <c r="N9" s="3058">
        <f>SUM(N10:N13)</f>
        <v>0</v>
      </c>
      <c r="O9" s="3058">
        <f>SUM(O10:O13)</f>
        <v>0</v>
      </c>
      <c r="P9" s="3058">
        <f>SUM(N9:O9)</f>
        <v>0</v>
      </c>
      <c r="Q9" s="3058">
        <f>SUM(Q10:Q13)</f>
        <v>0</v>
      </c>
      <c r="R9" s="3058">
        <f>SUM(R10:R13)</f>
        <v>0</v>
      </c>
      <c r="S9" s="3058">
        <f>SUM(Q9:R9)</f>
        <v>0</v>
      </c>
      <c r="T9" s="3062">
        <f>SUM(T10:T13)</f>
        <v>0</v>
      </c>
      <c r="U9" s="3062">
        <f>SUM(U10:U13)</f>
        <v>0</v>
      </c>
      <c r="V9" s="3063">
        <f>SUM(V10:V13)</f>
        <v>0</v>
      </c>
      <c r="W9" s="3063">
        <f>W10+W16+W23+W24</f>
        <v>60010.099999999991</v>
      </c>
      <c r="X9" s="3063">
        <f>SUM(X10:X13)</f>
        <v>0</v>
      </c>
      <c r="Y9" s="3063">
        <f>SUM(Y10:Y13)</f>
        <v>0</v>
      </c>
      <c r="Z9" s="3063">
        <f>SUM(Z10:Z13)</f>
        <v>0</v>
      </c>
    </row>
    <row r="10" spans="1:26" ht="14.25" thickBot="1">
      <c r="A10" s="3046">
        <v>4</v>
      </c>
      <c r="B10" s="3111" t="s">
        <v>3620</v>
      </c>
      <c r="C10" s="3047" t="s">
        <v>3075</v>
      </c>
      <c r="D10" s="3047" t="s">
        <v>3074</v>
      </c>
      <c r="E10" s="3047">
        <v>653.04</v>
      </c>
      <c r="F10"/>
      <c r="G10"/>
      <c r="H10"/>
      <c r="J10" s="3197">
        <v>2</v>
      </c>
      <c r="K10" s="3061" t="s">
        <v>3101</v>
      </c>
      <c r="L10" s="3064" t="s">
        <v>3100</v>
      </c>
      <c r="M10" s="3073"/>
      <c r="N10" s="3073"/>
      <c r="O10" s="3073"/>
      <c r="P10" s="3073"/>
      <c r="Q10" s="3073"/>
      <c r="R10" s="3073"/>
      <c r="S10" s="3073"/>
      <c r="T10" s="3073"/>
      <c r="U10" s="3073"/>
      <c r="V10" s="3073"/>
      <c r="W10" s="3074">
        <f>SUM(W11:W15)</f>
        <v>12326.04</v>
      </c>
      <c r="X10" s="3073"/>
      <c r="Y10" s="3073"/>
      <c r="Z10" s="3073"/>
    </row>
    <row r="11" spans="1:26" ht="36.75" thickBot="1">
      <c r="A11" s="3046">
        <v>5</v>
      </c>
      <c r="B11" s="3111" t="s">
        <v>3621</v>
      </c>
      <c r="C11" s="3047" t="s">
        <v>3075</v>
      </c>
      <c r="D11" s="3047" t="s">
        <v>3074</v>
      </c>
      <c r="E11" s="3047">
        <v>646.59</v>
      </c>
      <c r="F11"/>
      <c r="G11"/>
      <c r="H11"/>
      <c r="J11" s="3198"/>
      <c r="K11" s="3065" t="s">
        <v>3102</v>
      </c>
      <c r="L11" s="3064" t="s">
        <v>3100</v>
      </c>
      <c r="M11" s="3073"/>
      <c r="N11" s="3073"/>
      <c r="O11" s="3073"/>
      <c r="P11" s="3073"/>
      <c r="Q11" s="3073"/>
      <c r="R11" s="3073"/>
      <c r="S11" s="3073"/>
      <c r="T11" s="3073"/>
      <c r="U11" s="3073"/>
      <c r="V11" s="3073"/>
      <c r="W11" s="3074">
        <f>2783.72-67.5-259.2</f>
        <v>2457.02</v>
      </c>
      <c r="X11" s="3073"/>
      <c r="Y11" s="3073"/>
      <c r="Z11" s="3073"/>
    </row>
    <row r="12" spans="1:26" ht="36.75" thickBot="1">
      <c r="A12" s="3046">
        <v>6</v>
      </c>
      <c r="B12" s="3111" t="s">
        <v>3622</v>
      </c>
      <c r="C12" s="3047" t="s">
        <v>3075</v>
      </c>
      <c r="D12" s="3047" t="s">
        <v>3074</v>
      </c>
      <c r="E12" s="3047">
        <v>653.04</v>
      </c>
      <c r="F12"/>
      <c r="G12"/>
      <c r="H12"/>
      <c r="J12" s="3198"/>
      <c r="K12" s="3065" t="s">
        <v>3103</v>
      </c>
      <c r="L12" s="3064" t="s">
        <v>3100</v>
      </c>
      <c r="M12" s="3073"/>
      <c r="N12" s="3073"/>
      <c r="O12" s="3073"/>
      <c r="P12" s="3073"/>
      <c r="Q12" s="3073"/>
      <c r="R12" s="3073"/>
      <c r="S12" s="3073"/>
      <c r="T12" s="3073"/>
      <c r="U12" s="3073"/>
      <c r="V12" s="3073"/>
      <c r="W12" s="3074">
        <f>(2189.91-78.93)+637.11</f>
        <v>2748.09</v>
      </c>
      <c r="X12" s="3073"/>
      <c r="Y12" s="3073"/>
      <c r="Z12" s="3073"/>
    </row>
    <row r="13" spans="1:26" ht="36.75" thickBot="1">
      <c r="A13" s="3046">
        <v>7</v>
      </c>
      <c r="B13" s="3111" t="s">
        <v>3623</v>
      </c>
      <c r="C13" s="3047" t="s">
        <v>3075</v>
      </c>
      <c r="D13" s="3047" t="s">
        <v>3074</v>
      </c>
      <c r="E13" s="3047">
        <v>653.04</v>
      </c>
      <c r="F13"/>
      <c r="G13"/>
      <c r="H13"/>
      <c r="J13" s="3198"/>
      <c r="K13" s="3065" t="s">
        <v>3104</v>
      </c>
      <c r="L13" s="3064" t="s">
        <v>3100</v>
      </c>
      <c r="M13" s="3073"/>
      <c r="N13" s="3073"/>
      <c r="O13" s="3073"/>
      <c r="P13" s="3073"/>
      <c r="Q13" s="3073"/>
      <c r="R13" s="3073"/>
      <c r="S13" s="3073"/>
      <c r="T13" s="3073"/>
      <c r="U13" s="3073"/>
      <c r="V13" s="3073"/>
      <c r="W13" s="3074">
        <f>67.5+259.2+958.62+969.48</f>
        <v>2254.8000000000002</v>
      </c>
      <c r="X13" s="3073"/>
      <c r="Y13" s="3073"/>
      <c r="Z13" s="3073"/>
    </row>
    <row r="14" spans="1:26" ht="36.75" thickBot="1">
      <c r="A14" s="3046">
        <v>8</v>
      </c>
      <c r="B14" s="3111" t="s">
        <v>3624</v>
      </c>
      <c r="C14" s="3047" t="s">
        <v>3075</v>
      </c>
      <c r="D14" s="3047" t="s">
        <v>3074</v>
      </c>
      <c r="E14" s="3047">
        <v>646.59</v>
      </c>
      <c r="F14"/>
      <c r="G14"/>
      <c r="H14"/>
      <c r="J14" s="3198"/>
      <c r="K14" s="3065" t="s">
        <v>3105</v>
      </c>
      <c r="L14" s="3064" t="s">
        <v>3100</v>
      </c>
      <c r="M14" s="3073"/>
      <c r="N14" s="3073"/>
      <c r="O14" s="3073"/>
      <c r="P14" s="3073"/>
      <c r="Q14" s="3073"/>
      <c r="R14" s="3073"/>
      <c r="S14" s="3073"/>
      <c r="T14" s="3073"/>
      <c r="U14" s="3073"/>
      <c r="V14" s="3073"/>
      <c r="W14" s="3074">
        <f>2603.33-264.55</f>
        <v>2338.7799999999997</v>
      </c>
      <c r="X14" s="3073"/>
      <c r="Y14" s="3073"/>
      <c r="Z14" s="3073"/>
    </row>
    <row r="15" spans="1:26" ht="48.75" thickBot="1">
      <c r="A15" s="3046">
        <v>9</v>
      </c>
      <c r="B15" s="3111" t="s">
        <v>3625</v>
      </c>
      <c r="C15" s="3047" t="s">
        <v>3075</v>
      </c>
      <c r="D15" s="3047" t="s">
        <v>3074</v>
      </c>
      <c r="E15" s="3047">
        <v>858.02</v>
      </c>
      <c r="F15"/>
      <c r="G15"/>
      <c r="H15"/>
      <c r="J15" s="3199"/>
      <c r="K15" s="3065" t="s">
        <v>3106</v>
      </c>
      <c r="L15" s="3064" t="s">
        <v>3100</v>
      </c>
      <c r="M15" s="3073"/>
      <c r="N15" s="3073"/>
      <c r="O15" s="3073"/>
      <c r="P15" s="3073"/>
      <c r="Q15" s="3073"/>
      <c r="R15" s="3073"/>
      <c r="S15" s="3073"/>
      <c r="T15" s="3073"/>
      <c r="U15" s="3073"/>
      <c r="V15" s="3073"/>
      <c r="W15" s="3074">
        <f>1870.19+328.58*2</f>
        <v>2527.35</v>
      </c>
      <c r="X15" s="3073"/>
      <c r="Y15" s="3073"/>
      <c r="Z15" s="3073"/>
    </row>
    <row r="16" spans="1:26" ht="14.25" thickBot="1">
      <c r="A16" s="3046">
        <v>10</v>
      </c>
      <c r="B16" s="3111" t="s">
        <v>3626</v>
      </c>
      <c r="C16" s="3047" t="s">
        <v>3075</v>
      </c>
      <c r="D16" s="3047" t="s">
        <v>3074</v>
      </c>
      <c r="E16" s="3047">
        <v>548.94000000000005</v>
      </c>
      <c r="F16"/>
      <c r="G16"/>
      <c r="H16"/>
      <c r="J16" s="3197">
        <v>3</v>
      </c>
      <c r="K16" s="3061" t="s">
        <v>3107</v>
      </c>
      <c r="L16" s="3064" t="s">
        <v>3100</v>
      </c>
      <c r="M16" s="3073"/>
      <c r="N16" s="3073"/>
      <c r="O16" s="3073"/>
      <c r="P16" s="3073"/>
      <c r="Q16" s="3073"/>
      <c r="R16" s="3073"/>
      <c r="S16" s="3073"/>
      <c r="T16" s="3073"/>
      <c r="U16" s="3073"/>
      <c r="V16" s="3073"/>
      <c r="W16" s="3074">
        <f>SUM(W17:W22)</f>
        <v>23090.44</v>
      </c>
      <c r="X16" s="3073"/>
      <c r="Y16" s="3073"/>
      <c r="Z16" s="3073"/>
    </row>
    <row r="17" spans="1:33" ht="36.75" thickBot="1">
      <c r="A17" s="3046">
        <v>11</v>
      </c>
      <c r="B17" s="3111" t="s">
        <v>3627</v>
      </c>
      <c r="C17" s="3047" t="s">
        <v>3075</v>
      </c>
      <c r="D17" s="3047" t="s">
        <v>3074</v>
      </c>
      <c r="E17" s="3047">
        <v>548.94000000000005</v>
      </c>
      <c r="G17"/>
      <c r="H17"/>
      <c r="J17" s="3198"/>
      <c r="K17" s="3065" t="s">
        <v>3108</v>
      </c>
      <c r="L17" s="3064" t="s">
        <v>3100</v>
      </c>
      <c r="M17" s="3073"/>
      <c r="N17" s="3073"/>
      <c r="O17" s="3073"/>
      <c r="P17" s="3073"/>
      <c r="Q17" s="3073"/>
      <c r="R17" s="3073"/>
      <c r="S17" s="3073"/>
      <c r="T17" s="3073"/>
      <c r="U17" s="3073"/>
      <c r="V17" s="3073"/>
      <c r="W17" s="3074">
        <f>920.7+239.45</f>
        <v>1160.1500000000001</v>
      </c>
      <c r="X17" s="3073"/>
      <c r="Y17" s="3073"/>
      <c r="Z17" s="3073"/>
    </row>
    <row r="18" spans="1:33" ht="36.75" thickBot="1">
      <c r="A18" s="3046">
        <v>12</v>
      </c>
      <c r="B18" s="3111" t="s">
        <v>3628</v>
      </c>
      <c r="C18" s="3047" t="s">
        <v>3075</v>
      </c>
      <c r="D18" s="3047" t="s">
        <v>3074</v>
      </c>
      <c r="E18" s="3047">
        <v>425.68</v>
      </c>
      <c r="G18"/>
      <c r="H18"/>
      <c r="J18" s="3198"/>
      <c r="K18" s="3065" t="s">
        <v>3109</v>
      </c>
      <c r="L18" s="3064" t="s">
        <v>3100</v>
      </c>
      <c r="M18" s="3073"/>
      <c r="N18" s="3073"/>
      <c r="O18" s="3073"/>
      <c r="P18" s="3073"/>
      <c r="Q18" s="3073"/>
      <c r="R18" s="3073"/>
      <c r="S18" s="3073"/>
      <c r="T18" s="3073"/>
      <c r="U18" s="3073"/>
      <c r="V18" s="3073"/>
      <c r="W18" s="3074">
        <v>1031.68</v>
      </c>
      <c r="X18" s="3073"/>
      <c r="Y18" s="3073"/>
      <c r="Z18" s="3073"/>
    </row>
    <row r="19" spans="1:33" ht="60.75" thickBot="1">
      <c r="A19" s="3046">
        <v>13</v>
      </c>
      <c r="B19" s="3047" t="s">
        <v>3483</v>
      </c>
      <c r="C19" s="3047" t="s">
        <v>3075</v>
      </c>
      <c r="D19" s="3047" t="s">
        <v>3074</v>
      </c>
      <c r="E19" s="3047">
        <v>419.34</v>
      </c>
      <c r="G19"/>
      <c r="H19"/>
      <c r="J19" s="3198"/>
      <c r="K19" s="3065" t="s">
        <v>3110</v>
      </c>
      <c r="L19" s="3064" t="s">
        <v>3100</v>
      </c>
      <c r="M19" s="3073"/>
      <c r="N19" s="3073"/>
      <c r="O19" s="3073"/>
      <c r="P19" s="3073"/>
      <c r="Q19" s="3073"/>
      <c r="R19" s="3073"/>
      <c r="S19" s="3073"/>
      <c r="T19" s="3073"/>
      <c r="U19" s="3073"/>
      <c r="V19" s="3073"/>
      <c r="W19" s="3074">
        <v>4208.3</v>
      </c>
      <c r="X19" s="3073"/>
      <c r="Y19" s="3073"/>
      <c r="Z19" s="3073"/>
    </row>
    <row r="20" spans="1:33" ht="24.75" thickBot="1">
      <c r="A20" s="3109">
        <v>14</v>
      </c>
      <c r="B20" s="3110" t="s">
        <v>3484</v>
      </c>
      <c r="C20" s="3110" t="s">
        <v>3075</v>
      </c>
      <c r="D20" s="3110" t="s">
        <v>3074</v>
      </c>
      <c r="E20" s="3110">
        <v>425.68</v>
      </c>
      <c r="F20" s="3072" t="s">
        <v>3629</v>
      </c>
      <c r="G20"/>
      <c r="H20"/>
      <c r="J20" s="3198"/>
      <c r="K20" s="3065" t="s">
        <v>3111</v>
      </c>
      <c r="L20" s="3064" t="s">
        <v>3100</v>
      </c>
      <c r="M20" s="3073"/>
      <c r="N20" s="3073"/>
      <c r="O20" s="3073"/>
      <c r="P20" s="3073"/>
      <c r="Q20" s="3073"/>
      <c r="R20" s="3073"/>
      <c r="S20" s="3073"/>
      <c r="T20" s="3073"/>
      <c r="U20" s="3073"/>
      <c r="V20" s="3073"/>
      <c r="W20" s="3074">
        <f>(57.48+65.03+58.66+56.7)*4+(58.66+58.9+49.4+47.94)*4</f>
        <v>1811.08</v>
      </c>
      <c r="X20" s="3073"/>
      <c r="Y20" s="3073"/>
      <c r="Z20" s="3073"/>
    </row>
    <row r="21" spans="1:33" ht="36.75" thickBot="1">
      <c r="A21" s="3046">
        <v>15</v>
      </c>
      <c r="B21" s="3047" t="s">
        <v>3485</v>
      </c>
      <c r="C21" s="3047" t="s">
        <v>3075</v>
      </c>
      <c r="D21" s="3047" t="s">
        <v>3074</v>
      </c>
      <c r="E21" s="3047">
        <v>425.68</v>
      </c>
      <c r="G21"/>
      <c r="H21"/>
      <c r="J21" s="3198"/>
      <c r="K21" s="3065" t="s">
        <v>3112</v>
      </c>
      <c r="L21" s="3064" t="s">
        <v>3100</v>
      </c>
      <c r="M21" s="3073"/>
      <c r="N21" s="3073"/>
      <c r="O21" s="3073"/>
      <c r="P21" s="3073"/>
      <c r="Q21" s="3073"/>
      <c r="R21" s="3073"/>
      <c r="S21" s="3073"/>
      <c r="T21" s="3073"/>
      <c r="U21" s="3073"/>
      <c r="V21" s="3073"/>
      <c r="W21" s="3074">
        <v>6434.24</v>
      </c>
      <c r="X21" s="3073"/>
      <c r="Y21" s="3073"/>
      <c r="Z21" s="3073"/>
    </row>
    <row r="22" spans="1:33" ht="14.25" thickBot="1">
      <c r="A22" s="3046">
        <v>16</v>
      </c>
      <c r="B22" s="3047" t="s">
        <v>3486</v>
      </c>
      <c r="C22" s="3047" t="s">
        <v>3075</v>
      </c>
      <c r="D22" s="3047" t="s">
        <v>3074</v>
      </c>
      <c r="E22" s="3047">
        <v>419.34</v>
      </c>
      <c r="G22"/>
      <c r="H22"/>
      <c r="J22" s="3199"/>
      <c r="K22" s="3065" t="s">
        <v>3113</v>
      </c>
      <c r="L22" s="3064" t="s">
        <v>3100</v>
      </c>
      <c r="M22" s="3073"/>
      <c r="N22" s="3073"/>
      <c r="O22" s="3073"/>
      <c r="P22" s="3073"/>
      <c r="Q22" s="3073"/>
      <c r="R22" s="3073"/>
      <c r="S22" s="3073"/>
      <c r="T22" s="3073"/>
      <c r="U22" s="3073"/>
      <c r="V22" s="3073"/>
      <c r="W22" s="3074">
        <v>8444.99</v>
      </c>
      <c r="X22" s="3073"/>
      <c r="Y22" s="3073"/>
      <c r="Z22" s="3073"/>
    </row>
    <row r="23" spans="1:33" ht="14.25" thickBot="1">
      <c r="A23" s="3046">
        <v>17</v>
      </c>
      <c r="B23" s="3047" t="s">
        <v>3488</v>
      </c>
      <c r="C23" s="3091" t="s">
        <v>3075</v>
      </c>
      <c r="D23" s="3092" t="s">
        <v>3074</v>
      </c>
      <c r="E23" s="3091">
        <v>419.34</v>
      </c>
      <c r="G23"/>
      <c r="H23"/>
      <c r="J23" s="3055">
        <v>4</v>
      </c>
      <c r="K23" s="3066" t="s">
        <v>3114</v>
      </c>
      <c r="L23" s="3064" t="s">
        <v>3100</v>
      </c>
      <c r="M23" s="3073"/>
      <c r="N23" s="3073"/>
      <c r="O23" s="3073"/>
      <c r="P23" s="3073"/>
      <c r="Q23" s="3073"/>
      <c r="R23" s="3073"/>
      <c r="S23" s="3073"/>
      <c r="T23" s="3073"/>
      <c r="U23" s="3073"/>
      <c r="V23" s="3073"/>
      <c r="W23" s="3075">
        <v>21512.17</v>
      </c>
      <c r="X23" s="3073"/>
      <c r="Y23" s="3073"/>
      <c r="Z23" s="3073"/>
    </row>
    <row r="24" spans="1:33" ht="14.25" thickBot="1">
      <c r="A24" s="3046">
        <v>18</v>
      </c>
      <c r="B24" s="3047" t="s">
        <v>3489</v>
      </c>
      <c r="C24" s="3091" t="s">
        <v>3075</v>
      </c>
      <c r="D24" s="3092" t="s">
        <v>3074</v>
      </c>
      <c r="E24" s="3091">
        <v>419.34</v>
      </c>
      <c r="G24"/>
      <c r="H24"/>
      <c r="J24" s="3197">
        <v>5</v>
      </c>
      <c r="K24" s="3066" t="s">
        <v>3115</v>
      </c>
      <c r="L24" s="3064" t="s">
        <v>3100</v>
      </c>
      <c r="M24" s="3073"/>
      <c r="N24" s="3073"/>
      <c r="O24" s="3073"/>
      <c r="P24" s="3073"/>
      <c r="Q24" s="3073"/>
      <c r="R24" s="3073"/>
      <c r="S24" s="3073"/>
      <c r="T24" s="3073"/>
      <c r="U24" s="3073"/>
      <c r="V24" s="3073"/>
      <c r="W24" s="3075">
        <f>SUM(W25:W26)</f>
        <v>3081.45</v>
      </c>
      <c r="X24" s="3073"/>
      <c r="Y24" s="3073"/>
      <c r="Z24" s="3073"/>
      <c r="AD24" s="3123"/>
      <c r="AE24" s="3123" t="s">
        <v>3650</v>
      </c>
      <c r="AF24" s="3123" t="s">
        <v>3652</v>
      </c>
      <c r="AG24" s="3072" t="s">
        <v>3654</v>
      </c>
    </row>
    <row r="25" spans="1:33" ht="14.25" thickBot="1">
      <c r="A25" s="3046">
        <v>19</v>
      </c>
      <c r="B25" s="3047" t="s">
        <v>3490</v>
      </c>
      <c r="C25" s="3047" t="s">
        <v>3075</v>
      </c>
      <c r="D25" s="3047" t="s">
        <v>3074</v>
      </c>
      <c r="E25" s="3047">
        <v>425.68</v>
      </c>
      <c r="G25"/>
      <c r="H25"/>
      <c r="J25" s="3198"/>
      <c r="K25" s="3067" t="s">
        <v>3116</v>
      </c>
      <c r="L25" s="3064" t="s">
        <v>3100</v>
      </c>
      <c r="M25" s="3073"/>
      <c r="N25" s="3073"/>
      <c r="O25" s="3073"/>
      <c r="P25" s="3073"/>
      <c r="Q25" s="3073"/>
      <c r="R25" s="3073"/>
      <c r="S25" s="3073"/>
      <c r="T25" s="3073"/>
      <c r="U25" s="3073"/>
      <c r="V25" s="3073"/>
      <c r="W25" s="3074">
        <v>1170.1199999999999</v>
      </c>
      <c r="X25" s="3073"/>
      <c r="Y25" s="3073"/>
      <c r="Z25" s="3073"/>
      <c r="AD25" s="3123" t="s">
        <v>3649</v>
      </c>
      <c r="AE25" s="3123">
        <f>SUM(E7:E35,E40,E41,E42)</f>
        <v>16458.890000000003</v>
      </c>
      <c r="AF25" s="3123">
        <v>11432.28</v>
      </c>
    </row>
    <row r="26" spans="1:33" ht="14.25" thickBot="1">
      <c r="A26" s="3046">
        <v>20</v>
      </c>
      <c r="B26" s="3047" t="s">
        <v>3491</v>
      </c>
      <c r="C26" s="3047" t="s">
        <v>3075</v>
      </c>
      <c r="D26" s="3047" t="s">
        <v>3074</v>
      </c>
      <c r="E26" s="3047">
        <v>419.34</v>
      </c>
      <c r="G26"/>
      <c r="H26"/>
      <c r="J26" s="3198"/>
      <c r="K26" s="3067" t="s">
        <v>3117</v>
      </c>
      <c r="L26" s="3064" t="s">
        <v>3100</v>
      </c>
      <c r="M26" s="3073"/>
      <c r="N26" s="3073"/>
      <c r="O26" s="3073"/>
      <c r="P26" s="3073"/>
      <c r="Q26" s="3073"/>
      <c r="R26" s="3073"/>
      <c r="S26" s="3073"/>
      <c r="T26" s="3073"/>
      <c r="U26" s="3073"/>
      <c r="V26" s="3073"/>
      <c r="W26" s="3074">
        <f>(353.97+283.14)*3</f>
        <v>1911.33</v>
      </c>
      <c r="X26" s="3073"/>
      <c r="Y26" s="3073"/>
      <c r="Z26" s="3073"/>
      <c r="AD26" s="3123" t="s">
        <v>3651</v>
      </c>
      <c r="AE26" s="3123">
        <f>'数据-汇总表'!F19</f>
        <v>14226.250000000004</v>
      </c>
      <c r="AF26" s="3123">
        <f>ROUND(AE26/AE25*AF25,0)</f>
        <v>9881</v>
      </c>
      <c r="AG26" s="3072">
        <v>11077.78</v>
      </c>
    </row>
    <row r="27" spans="1:33" ht="14.25" thickBot="1">
      <c r="A27" s="3046">
        <v>21</v>
      </c>
      <c r="B27" s="3047" t="s">
        <v>3492</v>
      </c>
      <c r="C27" s="3047" t="s">
        <v>3075</v>
      </c>
      <c r="D27" s="3047" t="s">
        <v>3074</v>
      </c>
      <c r="E27" s="3047">
        <v>425.68</v>
      </c>
      <c r="G27"/>
      <c r="H27"/>
      <c r="J27" s="3055">
        <v>6</v>
      </c>
      <c r="K27" s="3066" t="s">
        <v>3118</v>
      </c>
      <c r="L27" s="3064" t="s">
        <v>3119</v>
      </c>
      <c r="M27" s="3076"/>
      <c r="N27" s="3073"/>
      <c r="O27" s="3073"/>
      <c r="P27" s="3073"/>
      <c r="Q27" s="3073"/>
      <c r="R27" s="3073"/>
      <c r="S27" s="3073"/>
      <c r="T27" s="3073"/>
      <c r="U27" s="3073"/>
      <c r="V27" s="3073"/>
      <c r="W27" s="3076">
        <f>W29+W31+W33+W35+W39+W41+W43+W45+W47+W49+W51+W53+W55+W57+W37+W59</f>
        <v>314</v>
      </c>
      <c r="X27" s="3073"/>
      <c r="Y27" s="3073"/>
      <c r="Z27" s="3073"/>
      <c r="AD27" s="3123"/>
      <c r="AE27" s="3123">
        <f>AE25-AE26</f>
        <v>2232.6399999999994</v>
      </c>
      <c r="AF27" s="3123"/>
    </row>
    <row r="28" spans="1:33" ht="14.25" thickBot="1">
      <c r="A28" s="3046">
        <v>22</v>
      </c>
      <c r="B28" s="3047" t="s">
        <v>3076</v>
      </c>
      <c r="C28" s="3047" t="s">
        <v>3075</v>
      </c>
      <c r="D28" s="3047" t="s">
        <v>3074</v>
      </c>
      <c r="E28" s="3047">
        <v>419.34</v>
      </c>
      <c r="G28"/>
      <c r="H28"/>
      <c r="J28" s="3197">
        <v>7</v>
      </c>
      <c r="K28" s="3065" t="s">
        <v>3120</v>
      </c>
      <c r="L28" s="3064" t="s">
        <v>3100</v>
      </c>
      <c r="M28" s="3077"/>
      <c r="N28" s="3073"/>
      <c r="O28" s="3073"/>
      <c r="P28" s="3073"/>
      <c r="Q28" s="3073"/>
      <c r="R28" s="3073"/>
      <c r="S28" s="3073"/>
      <c r="T28" s="3073"/>
      <c r="U28" s="3073"/>
      <c r="V28" s="3073"/>
      <c r="W28" s="3077">
        <v>45</v>
      </c>
      <c r="X28" s="3074"/>
      <c r="Y28" s="3074"/>
      <c r="Z28" s="3074"/>
    </row>
    <row r="29" spans="1:33" ht="14.25" thickBot="1">
      <c r="A29" s="3046">
        <v>23</v>
      </c>
      <c r="B29" s="3047" t="s">
        <v>3077</v>
      </c>
      <c r="C29" s="3047" t="s">
        <v>3075</v>
      </c>
      <c r="D29" s="3047" t="s">
        <v>3074</v>
      </c>
      <c r="E29" s="3047">
        <v>419.34</v>
      </c>
      <c r="G29"/>
      <c r="H29"/>
      <c r="J29" s="3198"/>
      <c r="K29" s="3065" t="s">
        <v>3121</v>
      </c>
      <c r="L29" s="3064" t="s">
        <v>3119</v>
      </c>
      <c r="M29" s="3078"/>
      <c r="N29" s="3073"/>
      <c r="O29" s="3073"/>
      <c r="P29" s="3073"/>
      <c r="Q29" s="3073"/>
      <c r="R29" s="3073"/>
      <c r="S29" s="3073"/>
      <c r="T29" s="3073"/>
      <c r="U29" s="3073"/>
      <c r="V29" s="3073"/>
      <c r="W29" s="3074">
        <v>60</v>
      </c>
      <c r="X29" s="3074"/>
      <c r="Y29" s="3074"/>
      <c r="Z29" s="3074"/>
    </row>
    <row r="30" spans="1:33" ht="14.25" thickBot="1">
      <c r="A30" s="3109">
        <v>24</v>
      </c>
      <c r="B30" s="3110" t="s">
        <v>3078</v>
      </c>
      <c r="C30" s="3110" t="s">
        <v>3075</v>
      </c>
      <c r="D30" s="3110" t="s">
        <v>3074</v>
      </c>
      <c r="E30" s="3110">
        <v>419.34</v>
      </c>
      <c r="F30" s="3072" t="s">
        <v>3629</v>
      </c>
      <c r="G30"/>
      <c r="H30"/>
      <c r="J30" s="3198"/>
      <c r="K30" s="3065" t="s">
        <v>3122</v>
      </c>
      <c r="L30" s="3064" t="s">
        <v>3100</v>
      </c>
      <c r="M30" s="3077"/>
      <c r="N30" s="3073"/>
      <c r="O30" s="3073"/>
      <c r="P30" s="3073"/>
      <c r="Q30" s="3073"/>
      <c r="R30" s="3073"/>
      <c r="S30" s="3073"/>
      <c r="T30" s="3073"/>
      <c r="U30" s="3073"/>
      <c r="V30" s="3073"/>
      <c r="W30" s="3077">
        <v>67.5</v>
      </c>
      <c r="X30" s="3074"/>
      <c r="Y30" s="3074"/>
      <c r="Z30" s="3074"/>
    </row>
    <row r="31" spans="1:33" ht="14.25" thickBot="1">
      <c r="A31" s="3046">
        <v>25</v>
      </c>
      <c r="B31" s="3047" t="s">
        <v>3079</v>
      </c>
      <c r="C31" s="3047" t="s">
        <v>3075</v>
      </c>
      <c r="D31" s="3047" t="s">
        <v>3074</v>
      </c>
      <c r="E31" s="3047">
        <v>425.68</v>
      </c>
      <c r="G31"/>
      <c r="H31"/>
      <c r="J31" s="3198"/>
      <c r="K31" s="3065" t="s">
        <v>3121</v>
      </c>
      <c r="L31" s="3064" t="s">
        <v>3119</v>
      </c>
      <c r="M31" s="3078"/>
      <c r="N31" s="3073"/>
      <c r="O31" s="3073"/>
      <c r="P31" s="3073"/>
      <c r="Q31" s="3073"/>
      <c r="R31" s="3073"/>
      <c r="S31" s="3073"/>
      <c r="T31" s="3073"/>
      <c r="U31" s="3073"/>
      <c r="V31" s="3073"/>
      <c r="W31" s="3074">
        <v>3</v>
      </c>
      <c r="X31" s="3074"/>
      <c r="Y31" s="3074"/>
      <c r="Z31" s="3074"/>
    </row>
    <row r="32" spans="1:33" ht="14.25" thickBot="1">
      <c r="A32" s="3046">
        <v>26</v>
      </c>
      <c r="B32" s="3047" t="s">
        <v>3080</v>
      </c>
      <c r="C32" s="3047" t="s">
        <v>3075</v>
      </c>
      <c r="D32" s="3047" t="s">
        <v>3074</v>
      </c>
      <c r="E32" s="3047">
        <v>419.34</v>
      </c>
      <c r="G32"/>
      <c r="H32"/>
      <c r="J32" s="3198"/>
      <c r="K32" s="3065" t="s">
        <v>3123</v>
      </c>
      <c r="L32" s="3064" t="s">
        <v>3100</v>
      </c>
      <c r="M32" s="3077"/>
      <c r="N32" s="3073"/>
      <c r="O32" s="3073"/>
      <c r="P32" s="3073"/>
      <c r="Q32" s="3073"/>
      <c r="R32" s="3073"/>
      <c r="S32" s="3073"/>
      <c r="T32" s="3073"/>
      <c r="U32" s="3073"/>
      <c r="V32" s="3073"/>
      <c r="W32" s="3077">
        <v>67.5</v>
      </c>
      <c r="X32" s="3074"/>
      <c r="Y32" s="3074"/>
      <c r="Z32" s="3074"/>
    </row>
    <row r="33" spans="1:26" ht="14.25" thickBot="1">
      <c r="A33" s="3046">
        <v>27</v>
      </c>
      <c r="B33" s="3047" t="s">
        <v>3081</v>
      </c>
      <c r="C33" s="3047" t="s">
        <v>3075</v>
      </c>
      <c r="D33" s="3047" t="s">
        <v>3074</v>
      </c>
      <c r="E33" s="3047">
        <v>419.34</v>
      </c>
      <c r="G33"/>
      <c r="H33"/>
      <c r="J33" s="3198"/>
      <c r="K33" s="3065" t="s">
        <v>3121</v>
      </c>
      <c r="L33" s="3064" t="s">
        <v>3119</v>
      </c>
      <c r="M33" s="3078"/>
      <c r="N33" s="3073"/>
      <c r="O33" s="3073"/>
      <c r="P33" s="3073"/>
      <c r="Q33" s="3073"/>
      <c r="R33" s="3073"/>
      <c r="S33" s="3073"/>
      <c r="T33" s="3073"/>
      <c r="U33" s="3073"/>
      <c r="V33" s="3073"/>
      <c r="W33" s="3074">
        <v>3</v>
      </c>
      <c r="X33" s="3074"/>
      <c r="Y33" s="3074"/>
      <c r="Z33" s="3074"/>
    </row>
    <row r="34" spans="1:26" ht="14.25" thickBot="1">
      <c r="A34" s="3046">
        <v>28</v>
      </c>
      <c r="B34" s="3047" t="s">
        <v>3082</v>
      </c>
      <c r="C34" s="3047" t="s">
        <v>3075</v>
      </c>
      <c r="D34" s="3047" t="s">
        <v>3074</v>
      </c>
      <c r="E34" s="3047">
        <v>425.68</v>
      </c>
      <c r="G34"/>
      <c r="H34"/>
      <c r="J34" s="3198"/>
      <c r="K34" s="3065" t="s">
        <v>3124</v>
      </c>
      <c r="L34" s="3064" t="s">
        <v>3100</v>
      </c>
      <c r="M34" s="3077"/>
      <c r="N34" s="3073"/>
      <c r="O34" s="3073"/>
      <c r="P34" s="3073"/>
      <c r="Q34" s="3073"/>
      <c r="R34" s="3073"/>
      <c r="S34" s="3073"/>
      <c r="T34" s="3073"/>
      <c r="U34" s="3073"/>
      <c r="V34" s="3073"/>
      <c r="W34" s="3077">
        <v>55</v>
      </c>
      <c r="X34" s="3074"/>
      <c r="Y34" s="3074"/>
      <c r="Z34" s="3074"/>
    </row>
    <row r="35" spans="1:26" ht="14.25" thickBot="1">
      <c r="A35" s="3046">
        <v>29</v>
      </c>
      <c r="B35" s="3047" t="s">
        <v>3493</v>
      </c>
      <c r="C35" s="3047" t="s">
        <v>3075</v>
      </c>
      <c r="D35" s="3047" t="s">
        <v>3074</v>
      </c>
      <c r="E35" s="3047">
        <v>425.68</v>
      </c>
      <c r="G35"/>
      <c r="H35"/>
      <c r="I35"/>
      <c r="J35" s="3198"/>
      <c r="K35" s="3065" t="s">
        <v>3121</v>
      </c>
      <c r="L35" s="3064" t="s">
        <v>3119</v>
      </c>
      <c r="M35" s="3078"/>
      <c r="N35" s="3073"/>
      <c r="O35" s="3073"/>
      <c r="P35" s="3073"/>
      <c r="Q35" s="3073"/>
      <c r="R35" s="3073"/>
      <c r="S35" s="3073"/>
      <c r="T35" s="3073"/>
      <c r="U35" s="3073"/>
      <c r="V35" s="3073"/>
      <c r="W35" s="3074">
        <v>43</v>
      </c>
      <c r="X35" s="3074"/>
      <c r="Y35" s="3074"/>
      <c r="Z35" s="3074"/>
    </row>
    <row r="36" spans="1:26" ht="14.25" thickBot="1">
      <c r="A36" s="3046">
        <v>30</v>
      </c>
      <c r="B36" s="3047" t="s">
        <v>48</v>
      </c>
      <c r="C36" s="3047"/>
      <c r="D36" s="3047"/>
      <c r="E36" s="3047">
        <f>'数据-基础表'!O14-'数据-基础表'!P14</f>
        <v>6234.45</v>
      </c>
      <c r="F36" s="3112" t="s">
        <v>3657</v>
      </c>
      <c r="G36">
        <v>113</v>
      </c>
      <c r="H36"/>
      <c r="J36" s="3198"/>
      <c r="K36" s="3065" t="s">
        <v>3125</v>
      </c>
      <c r="L36" s="3064" t="s">
        <v>3100</v>
      </c>
      <c r="M36" s="3077"/>
      <c r="N36" s="3073"/>
      <c r="O36" s="3073"/>
      <c r="P36" s="3073"/>
      <c r="Q36" s="3073"/>
      <c r="R36" s="3073"/>
      <c r="S36" s="3073"/>
      <c r="T36" s="3073"/>
      <c r="U36" s="3073"/>
      <c r="V36" s="3073"/>
      <c r="W36" s="3077">
        <v>55</v>
      </c>
      <c r="X36" s="3074"/>
      <c r="Y36" s="3074"/>
      <c r="Z36" s="3074"/>
    </row>
    <row r="37" spans="1:26" ht="14.25" thickBot="1">
      <c r="A37" s="3046">
        <v>32</v>
      </c>
      <c r="B37" s="3047" t="s">
        <v>3495</v>
      </c>
      <c r="C37" s="3047"/>
      <c r="D37" s="3047"/>
      <c r="E37" s="3047">
        <v>150</v>
      </c>
      <c r="F37"/>
      <c r="G37"/>
      <c r="H37"/>
      <c r="J37" s="3198"/>
      <c r="K37" s="3065" t="s">
        <v>3121</v>
      </c>
      <c r="L37" s="3064" t="s">
        <v>3119</v>
      </c>
      <c r="M37" s="3078"/>
      <c r="N37" s="3073"/>
      <c r="O37" s="3073"/>
      <c r="P37" s="3073"/>
      <c r="Q37" s="3073"/>
      <c r="R37" s="3073"/>
      <c r="S37" s="3073"/>
      <c r="T37" s="3073"/>
      <c r="U37" s="3073"/>
      <c r="V37" s="3073"/>
      <c r="W37" s="3074">
        <v>139</v>
      </c>
      <c r="X37" s="3074"/>
      <c r="Y37" s="3074"/>
      <c r="Z37" s="3074"/>
    </row>
    <row r="38" spans="1:26" ht="24.75" thickBot="1">
      <c r="A38" s="3046">
        <v>33</v>
      </c>
      <c r="B38" s="3047" t="s">
        <v>3496</v>
      </c>
      <c r="C38" s="3047"/>
      <c r="D38" s="3047"/>
      <c r="E38" s="3047">
        <v>1833.09</v>
      </c>
      <c r="F38"/>
      <c r="G38"/>
      <c r="H38"/>
      <c r="J38" s="3198"/>
      <c r="K38" s="3065" t="s">
        <v>3126</v>
      </c>
      <c r="L38" s="3064" t="s">
        <v>3100</v>
      </c>
      <c r="M38" s="3077"/>
      <c r="N38" s="3073"/>
      <c r="O38" s="3073"/>
      <c r="P38" s="3073"/>
      <c r="Q38" s="3073"/>
      <c r="R38" s="3073"/>
      <c r="S38" s="3073"/>
      <c r="T38" s="3073"/>
      <c r="U38" s="3073"/>
      <c r="V38" s="3073"/>
      <c r="W38" s="3077">
        <v>82.5</v>
      </c>
      <c r="X38" s="3074"/>
      <c r="Y38" s="3074"/>
      <c r="Z38" s="3074"/>
    </row>
    <row r="39" spans="1:26" ht="14.25" thickBot="1">
      <c r="A39" s="3048" t="s">
        <v>37</v>
      </c>
      <c r="B39" s="3049"/>
      <c r="C39" s="3049"/>
      <c r="D39" s="3049"/>
      <c r="E39" s="3050">
        <f>SUM(E6:E38)</f>
        <v>83298.909999999902</v>
      </c>
      <c r="F39"/>
      <c r="G39"/>
      <c r="H39"/>
      <c r="J39" s="3198"/>
      <c r="K39" s="3065" t="s">
        <v>3121</v>
      </c>
      <c r="L39" s="3064" t="s">
        <v>3119</v>
      </c>
      <c r="M39" s="3078"/>
      <c r="N39" s="3073"/>
      <c r="O39" s="3073"/>
      <c r="P39" s="3073"/>
      <c r="Q39" s="3073"/>
      <c r="R39" s="3073"/>
      <c r="S39" s="3073"/>
      <c r="T39" s="3073"/>
      <c r="U39" s="3073"/>
      <c r="V39" s="3073"/>
      <c r="W39" s="3074">
        <v>13</v>
      </c>
      <c r="X39" s="3074"/>
      <c r="Y39" s="3074"/>
      <c r="Z39" s="3074"/>
    </row>
    <row r="40" spans="1:26" ht="24">
      <c r="A40" s="3090"/>
      <c r="B40" s="3090" t="s">
        <v>3506</v>
      </c>
      <c r="C40" s="3090"/>
      <c r="D40" s="3090"/>
      <c r="E40" s="3090">
        <v>419.34</v>
      </c>
      <c r="F40" s="3090"/>
      <c r="G40" s="3090"/>
      <c r="J40" s="3198"/>
      <c r="K40" s="3065" t="s">
        <v>3127</v>
      </c>
      <c r="L40" s="3064" t="s">
        <v>3100</v>
      </c>
      <c r="M40" s="3077"/>
      <c r="N40" s="3073"/>
      <c r="O40" s="3073"/>
      <c r="P40" s="3073"/>
      <c r="Q40" s="3073"/>
      <c r="R40" s="3073"/>
      <c r="S40" s="3073"/>
      <c r="T40" s="3073"/>
      <c r="U40" s="3073"/>
      <c r="V40" s="3073"/>
      <c r="W40" s="3077">
        <v>82.5</v>
      </c>
      <c r="X40" s="3074"/>
      <c r="Y40" s="3074"/>
      <c r="Z40" s="3074"/>
    </row>
    <row r="41" spans="1:26">
      <c r="A41" s="3090"/>
      <c r="B41" s="3090" t="s">
        <v>3507</v>
      </c>
      <c r="C41" s="3090"/>
      <c r="D41" s="3090"/>
      <c r="E41" s="3090">
        <v>548.94000000000005</v>
      </c>
      <c r="F41" s="3090"/>
      <c r="G41" s="3090"/>
      <c r="J41" s="3198"/>
      <c r="K41" s="3065" t="s">
        <v>3121</v>
      </c>
      <c r="L41" s="3064" t="s">
        <v>3119</v>
      </c>
      <c r="M41" s="3078"/>
      <c r="N41" s="3073"/>
      <c r="O41" s="3073"/>
      <c r="P41" s="3073"/>
      <c r="Q41" s="3073"/>
      <c r="R41" s="3073"/>
      <c r="S41" s="3073"/>
      <c r="T41" s="3073"/>
      <c r="U41" s="3073"/>
      <c r="V41" s="3073"/>
      <c r="W41" s="3074">
        <v>13</v>
      </c>
      <c r="X41" s="3074"/>
      <c r="Y41" s="3074"/>
      <c r="Z41" s="3074"/>
    </row>
    <row r="42" spans="1:26">
      <c r="A42" s="3090"/>
      <c r="B42" s="3090" t="s">
        <v>3508</v>
      </c>
      <c r="C42" s="3090"/>
      <c r="D42" s="3090"/>
      <c r="E42" s="3090">
        <v>419.34</v>
      </c>
      <c r="F42" s="3090"/>
      <c r="G42" s="3090"/>
      <c r="J42" s="3198"/>
      <c r="K42" s="3065" t="s">
        <v>3128</v>
      </c>
      <c r="L42" s="3064" t="s">
        <v>3100</v>
      </c>
      <c r="M42" s="3077"/>
      <c r="N42" s="3073"/>
      <c r="O42" s="3073"/>
      <c r="P42" s="3073"/>
      <c r="Q42" s="3073"/>
      <c r="R42" s="3073"/>
      <c r="S42" s="3073"/>
      <c r="T42" s="3073"/>
      <c r="U42" s="3073"/>
      <c r="V42" s="3073"/>
      <c r="W42" s="3077">
        <v>110</v>
      </c>
      <c r="X42" s="3074"/>
      <c r="Y42" s="3074"/>
      <c r="Z42" s="3074"/>
    </row>
    <row r="43" spans="1:26" ht="13.5">
      <c r="A43" s="3090"/>
      <c r="B43" s="3090" t="s">
        <v>3509</v>
      </c>
      <c r="C43" s="3090"/>
      <c r="D43" s="3090"/>
      <c r="E43" s="3090">
        <f>'数据-基础表'!P14</f>
        <v>1099.3699999999999</v>
      </c>
      <c r="F43" s="3090" t="s">
        <v>3656</v>
      </c>
      <c r="G43" t="s">
        <v>3494</v>
      </c>
      <c r="J43" s="3198"/>
      <c r="K43" s="3065" t="s">
        <v>3121</v>
      </c>
      <c r="L43" s="3064" t="s">
        <v>3119</v>
      </c>
      <c r="M43" s="3078"/>
      <c r="N43" s="3073"/>
      <c r="O43" s="3073"/>
      <c r="P43" s="3073"/>
      <c r="Q43" s="3073"/>
      <c r="R43" s="3073"/>
      <c r="S43" s="3073"/>
      <c r="T43" s="3073"/>
      <c r="U43" s="3073"/>
      <c r="V43" s="3073"/>
      <c r="W43" s="3074">
        <v>10</v>
      </c>
      <c r="X43" s="3074"/>
      <c r="Y43" s="3074"/>
      <c r="Z43" s="3074"/>
    </row>
    <row r="44" spans="1:26">
      <c r="A44" s="3090"/>
      <c r="E44" s="3072">
        <f>SUM(E39:E43)</f>
        <v>85785.899999999892</v>
      </c>
      <c r="J44" s="3198"/>
      <c r="K44" s="3065" t="s">
        <v>3129</v>
      </c>
      <c r="L44" s="3064" t="s">
        <v>3100</v>
      </c>
      <c r="M44" s="3077"/>
      <c r="N44" s="3073"/>
      <c r="O44" s="3073"/>
      <c r="P44" s="3073"/>
      <c r="Q44" s="3073"/>
      <c r="R44" s="3073"/>
      <c r="S44" s="3073"/>
      <c r="T44" s="3073"/>
      <c r="U44" s="3073"/>
      <c r="V44" s="3073"/>
      <c r="W44" s="3077">
        <v>115</v>
      </c>
      <c r="X44" s="3074"/>
      <c r="Y44" s="3074"/>
      <c r="Z44" s="3074"/>
    </row>
    <row r="45" spans="1:26">
      <c r="A45" s="3090"/>
      <c r="E45" s="3072">
        <f>E44-E6</f>
        <v>25775.799999999894</v>
      </c>
      <c r="J45" s="3198"/>
      <c r="K45" s="3065" t="s">
        <v>3121</v>
      </c>
      <c r="L45" s="3064" t="s">
        <v>3119</v>
      </c>
      <c r="M45" s="3078"/>
      <c r="N45" s="3073"/>
      <c r="O45" s="3073"/>
      <c r="P45" s="3073"/>
      <c r="Q45" s="3073"/>
      <c r="R45" s="3073"/>
      <c r="S45" s="3073"/>
      <c r="T45" s="3073"/>
      <c r="U45" s="3073"/>
      <c r="V45" s="3073"/>
      <c r="W45" s="3074">
        <v>10</v>
      </c>
      <c r="X45" s="3074"/>
      <c r="Y45" s="3074"/>
      <c r="Z45" s="3074"/>
    </row>
    <row r="46" spans="1:26">
      <c r="A46" s="3090"/>
      <c r="J46" s="3198"/>
      <c r="K46" s="3065" t="s">
        <v>3130</v>
      </c>
      <c r="L46" s="3064" t="s">
        <v>3100</v>
      </c>
      <c r="M46" s="3077"/>
      <c r="N46" s="3073"/>
      <c r="O46" s="3073"/>
      <c r="P46" s="3073"/>
      <c r="Q46" s="3073"/>
      <c r="R46" s="3073"/>
      <c r="S46" s="3073"/>
      <c r="T46" s="3073"/>
      <c r="U46" s="3073"/>
      <c r="V46" s="3073"/>
      <c r="W46" s="3077">
        <v>165</v>
      </c>
      <c r="X46" s="3074"/>
      <c r="Y46" s="3074"/>
      <c r="Z46" s="3074"/>
    </row>
    <row r="47" spans="1:26">
      <c r="A47" s="3090"/>
      <c r="J47" s="3198"/>
      <c r="K47" s="3065" t="s">
        <v>3121</v>
      </c>
      <c r="L47" s="3064" t="s">
        <v>3119</v>
      </c>
      <c r="M47" s="3078"/>
      <c r="N47" s="3073"/>
      <c r="O47" s="3073"/>
      <c r="P47" s="3073"/>
      <c r="Q47" s="3073"/>
      <c r="R47" s="3073"/>
      <c r="S47" s="3073"/>
      <c r="T47" s="3073"/>
      <c r="U47" s="3073"/>
      <c r="V47" s="3073"/>
      <c r="W47" s="3074">
        <v>2</v>
      </c>
      <c r="X47" s="3074"/>
      <c r="Y47" s="3074"/>
      <c r="Z47" s="3074"/>
    </row>
    <row r="48" spans="1:26">
      <c r="A48" s="3090"/>
      <c r="J48" s="3198"/>
      <c r="K48" s="3065" t="s">
        <v>3131</v>
      </c>
      <c r="L48" s="3064" t="s">
        <v>3100</v>
      </c>
      <c r="M48" s="3077"/>
      <c r="N48" s="3073"/>
      <c r="O48" s="3073"/>
      <c r="P48" s="3073"/>
      <c r="Q48" s="3073"/>
      <c r="R48" s="3073"/>
      <c r="S48" s="3073"/>
      <c r="T48" s="3073"/>
      <c r="U48" s="3073"/>
      <c r="V48" s="3073"/>
      <c r="W48" s="3077">
        <v>165</v>
      </c>
      <c r="X48" s="3074"/>
      <c r="Y48" s="3074"/>
      <c r="Z48" s="3074"/>
    </row>
    <row r="49" spans="1:26">
      <c r="A49" s="3090"/>
      <c r="J49" s="3198"/>
      <c r="K49" s="3065" t="s">
        <v>3121</v>
      </c>
      <c r="L49" s="3064" t="s">
        <v>3119</v>
      </c>
      <c r="M49" s="3078"/>
      <c r="N49" s="3073"/>
      <c r="O49" s="3073"/>
      <c r="P49" s="3073"/>
      <c r="Q49" s="3073"/>
      <c r="R49" s="3073"/>
      <c r="S49" s="3073"/>
      <c r="T49" s="3073"/>
      <c r="U49" s="3073"/>
      <c r="V49" s="3073"/>
      <c r="W49" s="3074">
        <v>1</v>
      </c>
      <c r="X49" s="3079"/>
      <c r="Y49" s="3079"/>
      <c r="Z49" s="3079"/>
    </row>
    <row r="50" spans="1:26">
      <c r="A50" s="3090"/>
      <c r="J50" s="3198"/>
      <c r="K50" s="3065" t="s">
        <v>3132</v>
      </c>
      <c r="L50" s="3064" t="s">
        <v>3100</v>
      </c>
      <c r="M50" s="3077"/>
      <c r="N50" s="3073"/>
      <c r="O50" s="3073"/>
      <c r="P50" s="3073"/>
      <c r="Q50" s="3073"/>
      <c r="R50" s="3073"/>
      <c r="S50" s="3073"/>
      <c r="T50" s="3073"/>
      <c r="U50" s="3073"/>
      <c r="V50" s="3073"/>
      <c r="W50" s="3077">
        <v>56</v>
      </c>
      <c r="X50" s="3074"/>
      <c r="Y50" s="3074"/>
      <c r="Z50" s="3074"/>
    </row>
    <row r="51" spans="1:26">
      <c r="A51" s="3090"/>
      <c r="J51" s="3198"/>
      <c r="K51" s="3065" t="s">
        <v>3121</v>
      </c>
      <c r="L51" s="3064" t="s">
        <v>3119</v>
      </c>
      <c r="M51" s="3078"/>
      <c r="N51" s="3073"/>
      <c r="O51" s="3073"/>
      <c r="P51" s="3073"/>
      <c r="Q51" s="3073"/>
      <c r="R51" s="3073"/>
      <c r="S51" s="3073"/>
      <c r="T51" s="3073"/>
      <c r="U51" s="3073"/>
      <c r="V51" s="3073"/>
      <c r="W51" s="3074">
        <v>5</v>
      </c>
      <c r="X51" s="3074"/>
      <c r="Y51" s="3074"/>
      <c r="Z51" s="3074"/>
    </row>
    <row r="52" spans="1:26">
      <c r="A52" s="3090"/>
      <c r="J52" s="3198"/>
      <c r="K52" s="3065" t="s">
        <v>3133</v>
      </c>
      <c r="L52" s="3064" t="s">
        <v>3100</v>
      </c>
      <c r="M52" s="3077"/>
      <c r="N52" s="3073"/>
      <c r="O52" s="3073"/>
      <c r="P52" s="3073"/>
      <c r="Q52" s="3073"/>
      <c r="R52" s="3073"/>
      <c r="S52" s="3073"/>
      <c r="T52" s="3073"/>
      <c r="U52" s="3073"/>
      <c r="V52" s="3073"/>
      <c r="W52" s="3077">
        <v>85</v>
      </c>
      <c r="X52" s="3074"/>
      <c r="Y52" s="3074"/>
      <c r="Z52" s="3074"/>
    </row>
    <row r="53" spans="1:26">
      <c r="A53" s="3090"/>
      <c r="J53" s="3198"/>
      <c r="K53" s="3065" t="s">
        <v>3121</v>
      </c>
      <c r="L53" s="3064" t="s">
        <v>3119</v>
      </c>
      <c r="M53" s="3078"/>
      <c r="N53" s="3073"/>
      <c r="O53" s="3073"/>
      <c r="P53" s="3073"/>
      <c r="Q53" s="3073"/>
      <c r="R53" s="3073"/>
      <c r="S53" s="3073"/>
      <c r="T53" s="3073"/>
      <c r="U53" s="3073"/>
      <c r="V53" s="3073"/>
      <c r="W53" s="3074">
        <v>5</v>
      </c>
      <c r="X53" s="3074"/>
      <c r="Y53" s="3074"/>
      <c r="Z53" s="3074"/>
    </row>
    <row r="54" spans="1:26">
      <c r="A54" s="3090"/>
      <c r="J54" s="3198"/>
      <c r="K54" s="3065" t="s">
        <v>3134</v>
      </c>
      <c r="L54" s="3064" t="s">
        <v>3100</v>
      </c>
      <c r="M54" s="3077"/>
      <c r="N54" s="3073"/>
      <c r="O54" s="3073"/>
      <c r="P54" s="3073"/>
      <c r="Q54" s="3073"/>
      <c r="R54" s="3073"/>
      <c r="S54" s="3073"/>
      <c r="T54" s="3073"/>
      <c r="U54" s="3073"/>
      <c r="V54" s="3073"/>
      <c r="W54" s="3077">
        <v>141.57</v>
      </c>
      <c r="X54" s="3074"/>
      <c r="Y54" s="3074"/>
      <c r="Z54" s="3074"/>
    </row>
    <row r="55" spans="1:26">
      <c r="A55" s="3090"/>
      <c r="J55" s="3198"/>
      <c r="K55" s="3065" t="s">
        <v>3121</v>
      </c>
      <c r="L55" s="3064" t="s">
        <v>3119</v>
      </c>
      <c r="M55" s="3078"/>
      <c r="N55" s="3073"/>
      <c r="O55" s="3073"/>
      <c r="P55" s="3073"/>
      <c r="Q55" s="3073"/>
      <c r="R55" s="3073"/>
      <c r="S55" s="3073"/>
      <c r="T55" s="3073"/>
      <c r="U55" s="3073"/>
      <c r="V55" s="3073"/>
      <c r="W55" s="3074">
        <v>5</v>
      </c>
      <c r="X55" s="3074"/>
      <c r="Y55" s="3074"/>
      <c r="Z55" s="3074"/>
    </row>
    <row r="56" spans="1:26">
      <c r="A56" s="3090"/>
      <c r="J56" s="3198"/>
      <c r="K56" s="3065" t="s">
        <v>3135</v>
      </c>
      <c r="L56" s="3064" t="s">
        <v>3100</v>
      </c>
      <c r="M56" s="3077"/>
      <c r="N56" s="3073"/>
      <c r="O56" s="3073"/>
      <c r="P56" s="3073"/>
      <c r="Q56" s="3073"/>
      <c r="R56" s="3073"/>
      <c r="S56" s="3073"/>
      <c r="T56" s="3073"/>
      <c r="U56" s="3073"/>
      <c r="V56" s="3073"/>
      <c r="W56" s="3077">
        <v>318.55500000000001</v>
      </c>
      <c r="X56" s="3074"/>
      <c r="Y56" s="3074"/>
      <c r="Z56" s="3074"/>
    </row>
    <row r="57" spans="1:26">
      <c r="A57" s="3090"/>
      <c r="J57" s="3198"/>
      <c r="K57" s="3065" t="s">
        <v>3121</v>
      </c>
      <c r="L57" s="3064" t="s">
        <v>3119</v>
      </c>
      <c r="M57" s="3078"/>
      <c r="N57" s="3073"/>
      <c r="O57" s="3073"/>
      <c r="P57" s="3073"/>
      <c r="Q57" s="3073"/>
      <c r="R57" s="3073"/>
      <c r="S57" s="3073"/>
      <c r="T57" s="3073"/>
      <c r="U57" s="3073"/>
      <c r="V57" s="3073"/>
      <c r="W57" s="3074">
        <v>1</v>
      </c>
      <c r="X57" s="3074"/>
      <c r="Y57" s="3074"/>
      <c r="Z57" s="3074"/>
    </row>
    <row r="58" spans="1:26">
      <c r="A58" s="3090"/>
      <c r="J58" s="3198"/>
      <c r="K58" s="3065" t="s">
        <v>3136</v>
      </c>
      <c r="L58" s="3064" t="s">
        <v>3100</v>
      </c>
      <c r="M58" s="3077"/>
      <c r="N58" s="3073"/>
      <c r="O58" s="3073"/>
      <c r="P58" s="3073"/>
      <c r="Q58" s="3073"/>
      <c r="R58" s="3073"/>
      <c r="S58" s="3073"/>
      <c r="T58" s="3073"/>
      <c r="U58" s="3073"/>
      <c r="V58" s="3073"/>
      <c r="W58" s="3077">
        <v>1170.1199999999999</v>
      </c>
      <c r="X58" s="3074"/>
      <c r="Y58" s="3074"/>
      <c r="Z58" s="3074"/>
    </row>
    <row r="59" spans="1:26">
      <c r="A59" s="3090"/>
      <c r="J59" s="3199"/>
      <c r="K59" s="3065" t="s">
        <v>3121</v>
      </c>
      <c r="L59" s="3064" t="s">
        <v>3119</v>
      </c>
      <c r="M59" s="3078"/>
      <c r="N59" s="3073"/>
      <c r="O59" s="3073"/>
      <c r="P59" s="3073"/>
      <c r="Q59" s="3073"/>
      <c r="R59" s="3073"/>
      <c r="S59" s="3073"/>
      <c r="T59" s="3073"/>
      <c r="U59" s="3073"/>
      <c r="V59" s="3073"/>
      <c r="W59" s="3074">
        <v>1</v>
      </c>
      <c r="X59" s="3074"/>
      <c r="Y59" s="3074"/>
      <c r="Z59" s="3074"/>
    </row>
    <row r="60" spans="1:26">
      <c r="A60" s="3090"/>
      <c r="J60" s="3197">
        <v>8</v>
      </c>
      <c r="K60" s="3066" t="s">
        <v>3137</v>
      </c>
      <c r="L60" s="3064" t="s">
        <v>3119</v>
      </c>
      <c r="M60" s="3073"/>
      <c r="N60" s="3073"/>
      <c r="O60" s="3073"/>
      <c r="P60" s="3073"/>
      <c r="Q60" s="3073"/>
      <c r="R60" s="3073"/>
      <c r="S60" s="3073"/>
      <c r="T60" s="3073"/>
      <c r="U60" s="3073"/>
      <c r="V60" s="3073"/>
      <c r="W60" s="3074"/>
      <c r="X60" s="3073"/>
      <c r="Y60" s="3073"/>
      <c r="Z60" s="3073"/>
    </row>
    <row r="61" spans="1:26">
      <c r="A61" s="3090"/>
      <c r="J61" s="3198"/>
      <c r="K61" s="3065" t="s">
        <v>3138</v>
      </c>
      <c r="L61" s="3064" t="s">
        <v>3100</v>
      </c>
      <c r="M61" s="3073"/>
      <c r="N61" s="3073"/>
      <c r="O61" s="3073"/>
      <c r="P61" s="3073"/>
      <c r="Q61" s="3073"/>
      <c r="R61" s="3073"/>
      <c r="S61" s="3073"/>
      <c r="T61" s="3073"/>
      <c r="U61" s="3073"/>
      <c r="V61" s="3073"/>
      <c r="W61" s="3074"/>
      <c r="X61" s="3073"/>
      <c r="Y61" s="3073"/>
      <c r="Z61" s="3073"/>
    </row>
    <row r="62" spans="1:26">
      <c r="A62" s="3090"/>
      <c r="J62" s="3198"/>
      <c r="K62" s="3065" t="s">
        <v>3121</v>
      </c>
      <c r="L62" s="3064" t="s">
        <v>3119</v>
      </c>
      <c r="M62" s="3073"/>
      <c r="N62" s="3073"/>
      <c r="O62" s="3073"/>
      <c r="P62" s="3073"/>
      <c r="Q62" s="3073"/>
      <c r="R62" s="3073"/>
      <c r="S62" s="3073"/>
      <c r="T62" s="3073"/>
      <c r="U62" s="3073"/>
      <c r="V62" s="3073"/>
      <c r="W62" s="3074"/>
      <c r="X62" s="3073"/>
      <c r="Y62" s="3073"/>
      <c r="Z62" s="3073"/>
    </row>
    <row r="63" spans="1:26">
      <c r="A63" s="3090"/>
      <c r="J63" s="3198"/>
      <c r="K63" s="3065" t="s">
        <v>3139</v>
      </c>
      <c r="L63" s="3064" t="s">
        <v>3100</v>
      </c>
      <c r="M63" s="3073"/>
      <c r="N63" s="3073"/>
      <c r="O63" s="3073"/>
      <c r="P63" s="3073"/>
      <c r="Q63" s="3073"/>
      <c r="R63" s="3073"/>
      <c r="S63" s="3073"/>
      <c r="T63" s="3073"/>
      <c r="U63" s="3073"/>
      <c r="V63" s="3073"/>
      <c r="W63" s="3074"/>
      <c r="X63" s="3073"/>
      <c r="Y63" s="3073"/>
      <c r="Z63" s="3073"/>
    </row>
    <row r="64" spans="1:26">
      <c r="A64" s="3090"/>
      <c r="J64" s="3199"/>
      <c r="K64" s="3065" t="s">
        <v>3140</v>
      </c>
      <c r="L64" s="3064" t="s">
        <v>3119</v>
      </c>
      <c r="M64" s="3073"/>
      <c r="N64" s="3073"/>
      <c r="O64" s="3073"/>
      <c r="P64" s="3073"/>
      <c r="Q64" s="3073"/>
      <c r="R64" s="3073"/>
      <c r="S64" s="3073"/>
      <c r="T64" s="3073"/>
      <c r="U64" s="3073"/>
      <c r="V64" s="3073"/>
      <c r="W64" s="3074"/>
      <c r="X64" s="3073"/>
      <c r="Y64" s="3073"/>
      <c r="Z64" s="3073"/>
    </row>
    <row r="65" spans="1:26">
      <c r="A65" s="3090"/>
      <c r="J65" s="3068">
        <v>9</v>
      </c>
      <c r="K65" s="3069" t="s">
        <v>3141</v>
      </c>
      <c r="L65" s="3064" t="s">
        <v>3100</v>
      </c>
      <c r="M65" s="3073"/>
      <c r="N65" s="3073"/>
      <c r="O65" s="3073"/>
      <c r="P65" s="3073"/>
      <c r="Q65" s="3073"/>
      <c r="R65" s="3073"/>
      <c r="S65" s="3073"/>
      <c r="T65" s="3073"/>
      <c r="U65" s="3073"/>
      <c r="V65" s="3073"/>
      <c r="W65" s="3074">
        <f>469.75*5+526.47*5</f>
        <v>4981.1000000000004</v>
      </c>
      <c r="X65" s="3073"/>
      <c r="Y65" s="3073"/>
      <c r="Z65" s="3073"/>
    </row>
    <row r="66" spans="1:26">
      <c r="A66" s="3090"/>
      <c r="J66" s="3055">
        <v>10</v>
      </c>
      <c r="K66" s="3061" t="s">
        <v>3142</v>
      </c>
      <c r="L66" s="3064" t="s">
        <v>3143</v>
      </c>
      <c r="M66" s="3073"/>
      <c r="N66" s="3073"/>
      <c r="O66" s="3073"/>
      <c r="P66" s="3073"/>
      <c r="Q66" s="3073"/>
      <c r="R66" s="3073"/>
      <c r="S66" s="3073"/>
      <c r="T66" s="3073"/>
      <c r="U66" s="3073"/>
      <c r="V66" s="3073"/>
      <c r="W66" s="3080">
        <f>(W43+W45+W47+W55+W57+W49)/W27</f>
        <v>9.2356687898089165E-2</v>
      </c>
      <c r="X66" s="3073"/>
      <c r="Y66" s="3073"/>
      <c r="Z66" s="3073"/>
    </row>
    <row r="67" spans="1:26" ht="24">
      <c r="A67" s="3090"/>
      <c r="J67" s="3068">
        <v>11</v>
      </c>
      <c r="K67" s="3069" t="s">
        <v>3144</v>
      </c>
      <c r="L67" s="3064" t="s">
        <v>3100</v>
      </c>
      <c r="M67" s="3073"/>
      <c r="N67" s="3073"/>
      <c r="O67" s="3073"/>
      <c r="P67" s="3073"/>
      <c r="Q67" s="3073"/>
      <c r="R67" s="3073"/>
      <c r="S67" s="3073"/>
      <c r="T67" s="3073"/>
      <c r="U67" s="3073"/>
      <c r="V67" s="3073"/>
      <c r="W67" s="3077">
        <f>(W9-W22)/W27</f>
        <v>164.22009554140126</v>
      </c>
      <c r="X67" s="3073"/>
      <c r="Y67" s="3073"/>
      <c r="Z67" s="3073"/>
    </row>
    <row r="68" spans="1:26" ht="24">
      <c r="J68" s="3055">
        <v>12</v>
      </c>
      <c r="K68" s="3069" t="s">
        <v>3145</v>
      </c>
      <c r="L68" s="3064" t="s">
        <v>3143</v>
      </c>
      <c r="M68" s="3073"/>
      <c r="N68" s="3073"/>
      <c r="O68" s="3073"/>
      <c r="P68" s="3073"/>
      <c r="Q68" s="3073"/>
      <c r="R68" s="3073"/>
      <c r="S68" s="3073"/>
      <c r="T68" s="3073"/>
      <c r="U68" s="3073"/>
      <c r="V68" s="3073"/>
      <c r="W68" s="3080">
        <f>(W23+W24)/(W9-W22)</f>
        <v>0.4769430337683756</v>
      </c>
      <c r="X68" s="3073"/>
      <c r="Y68" s="3073"/>
      <c r="Z68" s="3073"/>
    </row>
    <row r="69" spans="1:26" ht="24">
      <c r="J69" s="3068">
        <v>13</v>
      </c>
      <c r="K69" s="3069" t="s">
        <v>3146</v>
      </c>
      <c r="L69" s="3064" t="s">
        <v>3143</v>
      </c>
      <c r="M69" s="3073"/>
      <c r="N69" s="3073"/>
      <c r="O69" s="3073"/>
      <c r="P69" s="3073"/>
      <c r="Q69" s="3073"/>
      <c r="R69" s="3073"/>
      <c r="S69" s="3073"/>
      <c r="T69" s="3073"/>
      <c r="U69" s="3073"/>
      <c r="V69" s="3073"/>
      <c r="W69" s="3080">
        <f>W10/(W9-W22)</f>
        <v>0.23903837303944475</v>
      </c>
      <c r="X69" s="3073"/>
      <c r="Y69" s="3073"/>
      <c r="Z69" s="3073"/>
    </row>
    <row r="70" spans="1:26" ht="24">
      <c r="J70" s="3055">
        <v>14</v>
      </c>
      <c r="K70" s="3069" t="s">
        <v>3147</v>
      </c>
      <c r="L70" s="3064" t="s">
        <v>3143</v>
      </c>
      <c r="M70" s="3073"/>
      <c r="N70" s="3073"/>
      <c r="O70" s="3073"/>
      <c r="P70" s="3073"/>
      <c r="Q70" s="3073"/>
      <c r="R70" s="3073"/>
      <c r="S70" s="3073"/>
      <c r="T70" s="3073"/>
      <c r="U70" s="3073"/>
      <c r="V70" s="3073"/>
      <c r="W70" s="3080">
        <f>W16/(W9-W22)</f>
        <v>0.44779192752618974</v>
      </c>
      <c r="X70" s="3073"/>
      <c r="Y70" s="3073"/>
      <c r="Z70" s="3073"/>
    </row>
    <row r="71" spans="1:26">
      <c r="J71" s="3068">
        <v>15</v>
      </c>
      <c r="K71" s="3069" t="s">
        <v>3148</v>
      </c>
      <c r="L71" s="3070" t="s">
        <v>3149</v>
      </c>
      <c r="M71" s="3065"/>
      <c r="N71" s="3065"/>
      <c r="O71" s="3065"/>
      <c r="P71" s="3065"/>
      <c r="Q71" s="3065"/>
      <c r="R71" s="3065"/>
      <c r="S71" s="3065"/>
      <c r="T71" s="3065"/>
      <c r="U71" s="3065"/>
      <c r="V71" s="3065"/>
      <c r="W71" s="3071">
        <f>SUM(W72+W75+W76)</f>
        <v>372</v>
      </c>
      <c r="X71" s="3065"/>
      <c r="Y71" s="3065"/>
      <c r="Z71" s="3065"/>
    </row>
    <row r="72" spans="1:26">
      <c r="J72" s="3197">
        <v>16</v>
      </c>
      <c r="K72" s="3065" t="s">
        <v>3150</v>
      </c>
      <c r="L72" s="3070" t="s">
        <v>3149</v>
      </c>
      <c r="M72" s="3065"/>
      <c r="N72" s="3065"/>
      <c r="O72" s="3065"/>
      <c r="P72" s="3065"/>
      <c r="Q72" s="3065"/>
      <c r="R72" s="3065"/>
      <c r="S72" s="3065"/>
      <c r="T72" s="3065"/>
      <c r="U72" s="3065"/>
      <c r="V72" s="3065"/>
      <c r="W72" s="3071">
        <f>W73+W74</f>
        <v>71</v>
      </c>
      <c r="X72" s="3065"/>
      <c r="Y72" s="3065"/>
      <c r="Z72" s="3065"/>
    </row>
    <row r="73" spans="1:26">
      <c r="J73" s="3198"/>
      <c r="K73" s="3065" t="s">
        <v>3151</v>
      </c>
      <c r="L73" s="3070" t="s">
        <v>3149</v>
      </c>
      <c r="M73" s="3065"/>
      <c r="N73" s="3065"/>
      <c r="O73" s="3065"/>
      <c r="P73" s="3065"/>
      <c r="Q73" s="3065"/>
      <c r="R73" s="3065"/>
      <c r="S73" s="3065"/>
      <c r="T73" s="3065"/>
      <c r="U73" s="3065"/>
      <c r="V73" s="3065"/>
      <c r="W73" s="3071">
        <v>68</v>
      </c>
      <c r="X73" s="3065"/>
      <c r="Y73" s="3065"/>
      <c r="Z73" s="3065"/>
    </row>
    <row r="74" spans="1:26">
      <c r="J74" s="3198"/>
      <c r="K74" s="3065" t="s">
        <v>3152</v>
      </c>
      <c r="L74" s="3070" t="s">
        <v>3149</v>
      </c>
      <c r="M74" s="3065"/>
      <c r="N74" s="3065"/>
      <c r="O74" s="3065"/>
      <c r="P74" s="3065"/>
      <c r="Q74" s="3065"/>
      <c r="R74" s="3065"/>
      <c r="S74" s="3065"/>
      <c r="T74" s="3065"/>
      <c r="U74" s="3065"/>
      <c r="V74" s="3065"/>
      <c r="W74" s="3071">
        <v>3</v>
      </c>
      <c r="X74" s="3065"/>
      <c r="Y74" s="3065"/>
      <c r="Z74" s="3065"/>
    </row>
    <row r="75" spans="1:26">
      <c r="J75" s="3198"/>
      <c r="K75" s="3065" t="s">
        <v>3153</v>
      </c>
      <c r="L75" s="3070" t="s">
        <v>3149</v>
      </c>
      <c r="M75" s="3065"/>
      <c r="N75" s="3065"/>
      <c r="O75" s="3065"/>
      <c r="P75" s="3065"/>
      <c r="Q75" s="3065"/>
      <c r="R75" s="3065"/>
      <c r="S75" s="3065"/>
      <c r="T75" s="3065"/>
      <c r="U75" s="3065"/>
      <c r="V75" s="3065"/>
      <c r="W75" s="3071">
        <v>293</v>
      </c>
      <c r="X75" s="3065"/>
      <c r="Y75" s="3065"/>
      <c r="Z75" s="3065"/>
    </row>
    <row r="76" spans="1:26">
      <c r="J76" s="3199"/>
      <c r="K76" s="3065" t="s">
        <v>3154</v>
      </c>
      <c r="L76" s="3070" t="s">
        <v>3149</v>
      </c>
      <c r="M76" s="3065"/>
      <c r="N76" s="3065"/>
      <c r="O76" s="3065"/>
      <c r="P76" s="3065"/>
      <c r="Q76" s="3065"/>
      <c r="R76" s="3065"/>
      <c r="S76" s="3065"/>
      <c r="T76" s="3065"/>
      <c r="U76" s="3065"/>
      <c r="V76" s="3065"/>
      <c r="W76" s="3071">
        <v>8</v>
      </c>
      <c r="X76" s="3065"/>
      <c r="Y76" s="3065"/>
      <c r="Z76" s="3065"/>
    </row>
  </sheetData>
  <mergeCells count="9">
    <mergeCell ref="J28:J59"/>
    <mergeCell ref="J60:J64"/>
    <mergeCell ref="J72:J76"/>
    <mergeCell ref="J5:Z5"/>
    <mergeCell ref="J6:Z6"/>
    <mergeCell ref="N7:S7"/>
    <mergeCell ref="J10:J15"/>
    <mergeCell ref="J16:J22"/>
    <mergeCell ref="J24:J26"/>
  </mergeCells>
  <phoneticPr fontId="14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1" sqref="F31"/>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45129.79</v>
      </c>
      <c r="B3" s="14">
        <f>IF(C3="否",G5-AT5,G5)</f>
        <v>25775.800000000003</v>
      </c>
      <c r="C3" s="1767" t="s">
        <v>3156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25775.800000000003</v>
      </c>
      <c r="H5" s="16">
        <f t="shared" ref="H5:AT5" si="0">SUM(H13:H656)</f>
        <v>23792.710000000003</v>
      </c>
      <c r="I5" s="16">
        <f t="shared" si="0"/>
        <v>0</v>
      </c>
      <c r="J5" s="16">
        <f t="shared" si="0"/>
        <v>0</v>
      </c>
      <c r="K5" s="16">
        <f t="shared" si="0"/>
        <v>0</v>
      </c>
      <c r="L5" s="16">
        <f t="shared" si="0"/>
        <v>0</v>
      </c>
      <c r="M5" s="16">
        <f t="shared" si="0"/>
        <v>16458.890000000003</v>
      </c>
      <c r="N5" s="16">
        <f t="shared" si="0"/>
        <v>2232.64</v>
      </c>
      <c r="O5" s="16">
        <f t="shared" si="0"/>
        <v>7333.82</v>
      </c>
      <c r="P5" s="16">
        <f t="shared" si="0"/>
        <v>1099.3699999999999</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1983.09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1983.09</v>
      </c>
      <c r="AO5" s="16">
        <f t="shared" si="0"/>
        <v>1983.09</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20460.700000000004</v>
      </c>
      <c r="BA5" s="18">
        <f t="shared" si="1"/>
        <v>20460.700000000004</v>
      </c>
      <c r="BB5" s="18">
        <f t="shared" si="1"/>
        <v>0</v>
      </c>
      <c r="BC5" s="18">
        <f t="shared" si="1"/>
        <v>0</v>
      </c>
      <c r="BD5" s="18">
        <f t="shared" si="1"/>
        <v>14226.250000000004</v>
      </c>
      <c r="BE5" s="18">
        <f t="shared" si="1"/>
        <v>6234.45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45129.78</v>
      </c>
      <c r="F6" s="16" t="s">
        <v>1</v>
      </c>
      <c r="G6" s="16" t="s">
        <v>2</v>
      </c>
      <c r="H6" s="20">
        <f>SUMIF(I$12:AB$12,"总值",I6:AB6)</f>
        <v>41657.67</v>
      </c>
      <c r="I6" s="16">
        <f t="shared" ref="I6:AB6" si="2">ROUND($A$3*I5/$B$3,2)</f>
        <v>0</v>
      </c>
      <c r="J6" s="16">
        <f t="shared" si="2"/>
        <v>0</v>
      </c>
      <c r="K6" s="16">
        <f t="shared" si="2"/>
        <v>0</v>
      </c>
      <c r="L6" s="16">
        <f t="shared" si="2"/>
        <v>0</v>
      </c>
      <c r="M6" s="16">
        <f t="shared" si="2"/>
        <v>28817.19</v>
      </c>
      <c r="N6" s="16">
        <f t="shared" si="2"/>
        <v>3909.04</v>
      </c>
      <c r="O6" s="16">
        <f t="shared" si="2"/>
        <v>12840.48</v>
      </c>
      <c r="P6" s="16">
        <f t="shared" si="2"/>
        <v>1924.84</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3472.11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3472.11</v>
      </c>
      <c r="AO6" s="16">
        <f t="shared" si="3"/>
        <v>3472.11</v>
      </c>
      <c r="AP6" s="16">
        <f t="shared" si="3"/>
        <v>0</v>
      </c>
      <c r="AQ6" s="16">
        <f t="shared" si="3"/>
        <v>0</v>
      </c>
      <c r="AR6" s="16">
        <f t="shared" si="3"/>
        <v>0</v>
      </c>
      <c r="AS6" s="16">
        <f t="shared" si="3"/>
        <v>0</v>
      </c>
      <c r="AT6" s="20">
        <f>IF(C3="是",ROUND($A$3*AT5/$B$3,2),0)</f>
        <v>0</v>
      </c>
      <c r="AU6" s="1775"/>
      <c r="AV6" s="15" t="s">
        <v>1757</v>
      </c>
      <c r="AW6" s="1773"/>
      <c r="AX6" s="1773"/>
      <c r="AY6" s="21">
        <f>IF(AY3&gt;0,AY3,ROUND($A$3*AZ5/$B$3,2))</f>
        <v>35823.800000000003</v>
      </c>
      <c r="AZ6" s="16" t="s">
        <v>3</v>
      </c>
      <c r="BA6" s="16">
        <f>ROUND($AY$6*BA5/$AZ$5,2)</f>
        <v>35823.800000000003</v>
      </c>
      <c r="BB6" s="16">
        <f>ROUND($AY$6*BB5/$AZ$5,2)</f>
        <v>0</v>
      </c>
      <c r="BC6" s="16">
        <f t="shared" ref="BC6:BH6" si="4">ROUND($AY$6*BC5/$AZ$5,2)</f>
        <v>0</v>
      </c>
      <c r="BD6" s="16">
        <f t="shared" si="4"/>
        <v>24908.16</v>
      </c>
      <c r="BE6" s="16">
        <f t="shared" si="4"/>
        <v>10915.64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3157</v>
      </c>
      <c r="J9" s="918"/>
      <c r="K9" s="1790" t="s">
        <v>3158</v>
      </c>
      <c r="L9" s="918"/>
      <c r="M9" s="1790" t="s">
        <v>3157</v>
      </c>
      <c r="N9" s="918"/>
      <c r="O9" s="1790" t="s">
        <v>3158</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0" t="s">
        <v>1343</v>
      </c>
      <c r="L10" s="918"/>
      <c r="M10" s="1796" t="s">
        <v>1343</v>
      </c>
      <c r="N10" s="918"/>
      <c r="O10" s="1796" t="s">
        <v>3472</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地上</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3155</v>
      </c>
      <c r="J11" s="1802"/>
      <c r="K11" s="1801" t="s">
        <v>3155</v>
      </c>
      <c r="L11" s="1802"/>
      <c r="M11" s="1801" t="s">
        <v>3075</v>
      </c>
      <c r="N11" s="1802"/>
      <c r="O11" s="1801" t="s">
        <v>3472</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酒店</v>
      </c>
      <c r="BC12" s="1811" t="str">
        <f>K11</f>
        <v>酒店</v>
      </c>
      <c r="BD12" s="1811" t="str">
        <f>M11</f>
        <v>独栋</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81"/>
      <c r="D13" s="1812"/>
      <c r="E13" s="16">
        <f>IF($C$3="是",ROUND($A$3*G13/$B$3,2),ROUND($A$3*(G13-AT13)/$B$3,2))</f>
        <v>0</v>
      </c>
      <c r="F13" s="32"/>
      <c r="G13" s="33">
        <f>H13+AC13+AT13</f>
        <v>0</v>
      </c>
      <c r="H13" s="20">
        <f>SUMIF(I$12:AB$12,"总值",I13:AB13)</f>
        <v>0</v>
      </c>
      <c r="I13" s="1813"/>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89" t="s">
        <v>3471</v>
      </c>
      <c r="D14" s="1812" t="s">
        <v>3156</v>
      </c>
      <c r="E14" s="16">
        <f>IF($C$3="是",ROUND($A$3*G14/$B$3,2),ROUND($A$3*(G14-AT14)/$B$3,2))</f>
        <v>45129.79</v>
      </c>
      <c r="F14" s="32"/>
      <c r="G14" s="33">
        <f>H14+AC14+AT14</f>
        <v>25775.800000000003</v>
      </c>
      <c r="H14" s="20">
        <f>SUMIF(I$12:AB$12,"总值",I14:AB14)</f>
        <v>23792.710000000003</v>
      </c>
      <c r="I14" s="1813"/>
      <c r="J14" s="1813"/>
      <c r="K14" s="1813"/>
      <c r="L14" s="1813"/>
      <c r="M14" s="1813">
        <f>SUM(面积表!E7:E35)+面积表!E40+面积表!E41+面积表!E42</f>
        <v>16458.890000000003</v>
      </c>
      <c r="N14" s="1813">
        <f>面积表!E40+面积表!E41+面积表!E42+面积表!E20+面积表!E30</f>
        <v>2232.64</v>
      </c>
      <c r="O14" s="1813">
        <v>7333.82</v>
      </c>
      <c r="P14" s="1813">
        <v>1099.3699999999999</v>
      </c>
      <c r="Q14" s="1813"/>
      <c r="R14" s="1813"/>
      <c r="S14" s="1813"/>
      <c r="T14" s="1813"/>
      <c r="U14" s="1813"/>
      <c r="V14" s="1813"/>
      <c r="W14" s="1813"/>
      <c r="X14" s="1813"/>
      <c r="Y14" s="1813"/>
      <c r="Z14" s="1813"/>
      <c r="AA14" s="1813"/>
      <c r="AB14" s="1813"/>
      <c r="AC14" s="16">
        <f>SUMIF(AD$12:AS$12,"总值",AD14:AS14)</f>
        <v>1983.09</v>
      </c>
      <c r="AD14" s="1814"/>
      <c r="AE14" s="1814"/>
      <c r="AF14" s="1814"/>
      <c r="AG14" s="1814"/>
      <c r="AH14" s="1814"/>
      <c r="AI14" s="1814"/>
      <c r="AJ14" s="1814"/>
      <c r="AK14" s="1814"/>
      <c r="AL14" s="1814"/>
      <c r="AM14" s="1814"/>
      <c r="AN14" s="1814">
        <v>1983.09</v>
      </c>
      <c r="AO14" s="1814">
        <f>AN14</f>
        <v>1983.09</v>
      </c>
      <c r="AP14" s="1814"/>
      <c r="AQ14" s="1814"/>
      <c r="AR14" s="1814"/>
      <c r="AS14" s="1814"/>
      <c r="AT14" s="1815"/>
      <c r="AU14" s="1816"/>
      <c r="AV14" s="11">
        <f t="shared" si="6"/>
        <v>0</v>
      </c>
      <c r="AW14" s="11">
        <f t="shared" si="6"/>
        <v>0</v>
      </c>
      <c r="AX14" s="11" t="str">
        <f t="shared" si="6"/>
        <v>会所</v>
      </c>
      <c r="AY14" s="1535">
        <f>ROUND($AY$6*AZ14/$AZ$5,2)</f>
        <v>35823.800000000003</v>
      </c>
      <c r="AZ14" s="16">
        <f>BA14+BL14</f>
        <v>20460.700000000004</v>
      </c>
      <c r="BA14" s="16">
        <f>SUM(BB14:BK14)</f>
        <v>20460.700000000004</v>
      </c>
      <c r="BB14" s="16">
        <f>IF($D14="是",I14-J14,0)</f>
        <v>0</v>
      </c>
      <c r="BC14" s="16">
        <f>IF($D14="是",K14-L14,0)</f>
        <v>0</v>
      </c>
      <c r="BD14" s="16">
        <f>IF($D14="是",M14-N14,0)</f>
        <v>14226.250000000004</v>
      </c>
      <c r="BE14" s="16">
        <f>IF($D14="是",O14-P14,0)</f>
        <v>6234.45</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6" t="s">
        <v>0</v>
      </c>
      <c r="B1" s="3206" t="s">
        <v>4</v>
      </c>
      <c r="C1" s="3206" t="s">
        <v>5</v>
      </c>
      <c r="D1" s="3207" t="s">
        <v>53</v>
      </c>
      <c r="E1" s="3207" t="s">
        <v>54</v>
      </c>
      <c r="F1" s="3207"/>
      <c r="G1" s="3207"/>
      <c r="H1" s="3207"/>
      <c r="I1" s="3207"/>
      <c r="J1" s="3207"/>
      <c r="K1" s="3207"/>
      <c r="L1" s="3207"/>
      <c r="M1" s="3207"/>
    </row>
    <row r="2" spans="1:13" ht="27" customHeight="1">
      <c r="A2" s="3206"/>
      <c r="B2" s="3206"/>
      <c r="C2" s="3206"/>
      <c r="D2" s="3207"/>
      <c r="E2" s="3207" t="s">
        <v>37</v>
      </c>
      <c r="F2" s="3207" t="s">
        <v>38</v>
      </c>
      <c r="G2" s="3207"/>
      <c r="H2" s="3207"/>
      <c r="I2" s="3207"/>
      <c r="J2" s="3207" t="s">
        <v>39</v>
      </c>
      <c r="K2" s="3207"/>
      <c r="L2" s="3207"/>
      <c r="M2" s="3207"/>
    </row>
    <row r="3" spans="1:13" ht="28.5">
      <c r="A3" s="3206"/>
      <c r="B3" s="3206"/>
      <c r="C3" s="3206"/>
      <c r="D3" s="3207"/>
      <c r="E3" s="32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7" t="s">
        <v>55</v>
      </c>
      <c r="B9" s="3207"/>
      <c r="C9" s="32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9" sqref="I39"/>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217" t="s">
        <v>1816</v>
      </c>
      <c r="B2" s="3217"/>
      <c r="C2" s="3217"/>
      <c r="D2" s="904" t="s">
        <v>1792</v>
      </c>
      <c r="E2" s="1826" t="s">
        <v>1793</v>
      </c>
      <c r="F2" s="2884"/>
      <c r="G2" s="2875"/>
      <c r="H2" s="2876"/>
      <c r="I2" s="2548" t="s">
        <v>1817</v>
      </c>
      <c r="J2" s="2884"/>
      <c r="K2" s="2884"/>
      <c r="L2" s="2884"/>
      <c r="M2" s="2884"/>
      <c r="N2" s="2886"/>
      <c r="O2" s="2884"/>
      <c r="P2" s="2884"/>
    </row>
    <row r="3" spans="1:16" ht="15.75" thickBot="1">
      <c r="A3" s="3218" t="s">
        <v>1790</v>
      </c>
      <c r="B3" s="3218"/>
      <c r="C3" s="3218"/>
      <c r="D3" s="46">
        <f>'数据-基础表'!AY6</f>
        <v>35823.800000000003</v>
      </c>
      <c r="E3" s="46">
        <f>'数据-基础表'!AZ5</f>
        <v>20460.700000000004</v>
      </c>
      <c r="F3" s="2884"/>
      <c r="G3" s="1307"/>
      <c r="H3" s="1157" t="s">
        <v>1791</v>
      </c>
      <c r="I3" s="964">
        <f>ROUND('数据-基础表'!B3/'数据-基础表'!A3,2)</f>
        <v>0.56999999999999995</v>
      </c>
      <c r="J3" s="2884"/>
      <c r="K3" s="2884"/>
      <c r="L3" s="2884"/>
      <c r="M3" s="2884"/>
      <c r="N3" s="2886"/>
      <c r="O3" s="2884"/>
      <c r="P3" s="2884"/>
    </row>
    <row r="4" spans="1:16" ht="15">
      <c r="A4" s="3219"/>
      <c r="B4" s="3220"/>
      <c r="C4" s="3221"/>
      <c r="D4" s="1828" t="s">
        <v>1792</v>
      </c>
      <c r="E4" s="1829" t="s">
        <v>1793</v>
      </c>
      <c r="F4" s="2884"/>
      <c r="G4" s="2877" t="s">
        <v>1818</v>
      </c>
      <c r="H4" s="1157" t="s">
        <v>1798</v>
      </c>
      <c r="I4" s="964">
        <f>ROUND(SUMIF('数据-基础表'!I9:AS9,"地上",'数据-基础表'!I5:AS5)/'数据-基础表'!A3,2)</f>
        <v>0.36</v>
      </c>
      <c r="J4" s="2884"/>
      <c r="K4" s="2884"/>
      <c r="L4" s="2884"/>
      <c r="M4" s="2884"/>
      <c r="N4" s="2886"/>
      <c r="O4" s="2884"/>
      <c r="P4" s="2884"/>
    </row>
    <row r="5" spans="1:16">
      <c r="A5" s="47" t="s">
        <v>1794</v>
      </c>
      <c r="B5" s="3222" t="s">
        <v>1795</v>
      </c>
      <c r="C5" s="3222"/>
      <c r="D5" s="48">
        <f>ROUND($D$3*E5/$E$3,2)</f>
        <v>0</v>
      </c>
      <c r="E5" s="49">
        <f>SUMIF('数据-基础表'!$11:$11,"住宅",'数据-基础表'!$5:$5)</f>
        <v>0</v>
      </c>
      <c r="F5" s="2884"/>
      <c r="G5" s="1307"/>
      <c r="H5" s="1157" t="s">
        <v>1791</v>
      </c>
      <c r="I5" s="964">
        <f>ROUND(E31/D31,2)</f>
        <v>0.56999999999999995</v>
      </c>
      <c r="J5" s="2884"/>
      <c r="K5" s="2884"/>
      <c r="L5" s="2884"/>
      <c r="M5" s="2884"/>
      <c r="N5" s="2884"/>
      <c r="O5" s="2884"/>
      <c r="P5" s="2884"/>
    </row>
    <row r="6" spans="1:16" ht="15" thickBot="1">
      <c r="A6" s="1831"/>
      <c r="B6" s="3222" t="s">
        <v>1796</v>
      </c>
      <c r="C6" s="3222"/>
      <c r="D6" s="48">
        <f>ROUND($D$3*E6/$E$3,2)</f>
        <v>35823.800000000003</v>
      </c>
      <c r="E6" s="49">
        <f>E3-E5</f>
        <v>20460.700000000004</v>
      </c>
      <c r="F6" s="2884"/>
      <c r="G6" s="2878" t="s">
        <v>1797</v>
      </c>
      <c r="H6" s="1308" t="s">
        <v>1798</v>
      </c>
      <c r="I6" s="2879">
        <f>ROUND(F31/D31,2)</f>
        <v>0.4</v>
      </c>
      <c r="J6" s="2884"/>
      <c r="K6" s="2884"/>
      <c r="L6" s="2884"/>
      <c r="M6" s="2884"/>
      <c r="N6" s="2884"/>
      <c r="O6" s="2884"/>
      <c r="P6" s="2884"/>
    </row>
    <row r="7" spans="1:16" ht="15.75" thickBot="1">
      <c r="A7" s="3214"/>
      <c r="B7" s="3215"/>
      <c r="C7" s="3216"/>
      <c r="D7" s="1828" t="s">
        <v>1792</v>
      </c>
      <c r="E7" s="1832" t="s">
        <v>1799</v>
      </c>
      <c r="F7" s="2884"/>
      <c r="G7" s="2880" t="s">
        <v>1800</v>
      </c>
      <c r="H7" s="2881"/>
      <c r="I7" s="2882">
        <v>0.48</v>
      </c>
      <c r="J7" s="2884"/>
      <c r="K7" s="2884"/>
      <c r="L7" s="2884"/>
      <c r="M7" s="2884"/>
      <c r="N7" s="2884"/>
      <c r="O7" s="2884"/>
      <c r="P7" s="2884"/>
    </row>
    <row r="8" spans="1:16">
      <c r="A8" s="47" t="s">
        <v>1801</v>
      </c>
      <c r="B8" s="50" t="s">
        <v>1802</v>
      </c>
      <c r="C8" s="48" t="s">
        <v>1803</v>
      </c>
      <c r="D8" s="48">
        <f t="shared" ref="D8:D15" si="0">ROUND($D$3*E8/$E$3,2)</f>
        <v>24908.16</v>
      </c>
      <c r="E8" s="51">
        <f>SUMIF('数据-基础表'!BB10:BK10,"地上",'数据-基础表'!BB5:BK5)</f>
        <v>14226.250000000004</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10915.64</v>
      </c>
      <c r="E13" s="51">
        <f>SUMPRODUCT(('数据-基础表'!BB10:BK10="地下")*('数据-基础表'!BB11:BK11="车库")*('数据-基础表'!BB5:BK5))</f>
        <v>6234.45</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35823.800000000003</v>
      </c>
      <c r="E16" s="53">
        <f>SUM(E8:E15)</f>
        <v>20460.700000000004</v>
      </c>
      <c r="F16" s="2884"/>
      <c r="G16" s="2885"/>
      <c r="H16" s="1835" t="s">
        <v>1820</v>
      </c>
      <c r="I16" s="1836"/>
      <c r="J16" s="1301"/>
      <c r="K16" s="3211" t="s">
        <v>1820</v>
      </c>
      <c r="L16" s="3212"/>
      <c r="M16" s="3212"/>
      <c r="N16" s="3212"/>
      <c r="O16" s="3212"/>
      <c r="P16" s="3213"/>
    </row>
    <row r="17" spans="1:19" ht="15">
      <c r="A17" s="1837" t="s">
        <v>1821</v>
      </c>
      <c r="B17" s="1838" t="s">
        <v>1822</v>
      </c>
      <c r="C17" s="1839" t="s">
        <v>1823</v>
      </c>
      <c r="D17" s="1840" t="s">
        <v>1811</v>
      </c>
      <c r="E17" s="1841" t="s">
        <v>1812</v>
      </c>
      <c r="F17" s="1842"/>
      <c r="G17" s="1843"/>
      <c r="H17" s="1844" t="s">
        <v>1824</v>
      </c>
      <c r="I17" s="1845" t="s">
        <v>1809</v>
      </c>
      <c r="J17" s="1301"/>
      <c r="K17" s="3208" t="s">
        <v>1825</v>
      </c>
      <c r="L17" s="3209"/>
      <c r="M17" s="3210"/>
      <c r="N17" s="3208" t="s">
        <v>1826</v>
      </c>
      <c r="O17" s="3209"/>
      <c r="P17" s="3210"/>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82" t="s">
        <v>3504</v>
      </c>
      <c r="D19" s="48">
        <f>ROUND($D$3*E19/$E$3,2)</f>
        <v>24908.16</v>
      </c>
      <c r="E19" s="56">
        <f t="shared" ref="E19:E26" si="1">SUM(F19:G19)</f>
        <v>14226.250000000004</v>
      </c>
      <c r="F19" s="3023">
        <f>'数据-基础表'!M5-'数据-基础表'!N5</f>
        <v>14226.250000000004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24908.16</v>
      </c>
      <c r="S19" s="1158">
        <f t="shared" si="5"/>
        <v>14226.250000000004</v>
      </c>
    </row>
    <row r="20" spans="1:19">
      <c r="A20" s="1857"/>
      <c r="B20" s="50" t="s">
        <v>1838</v>
      </c>
      <c r="C20" s="3082" t="s">
        <v>3505</v>
      </c>
      <c r="D20" s="48">
        <f t="shared" ref="D20:D26" si="6">ROUND($D$3*E20/$E$3,2)</f>
        <v>10915.64</v>
      </c>
      <c r="E20" s="56">
        <f t="shared" si="1"/>
        <v>6234.45</v>
      </c>
      <c r="F20" s="3023"/>
      <c r="G20" s="3024">
        <f>'数据-基础表'!O14-'数据-基础表'!P14</f>
        <v>6234.45</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10915.64</v>
      </c>
      <c r="S20" s="1158">
        <f t="shared" si="5"/>
        <v>6234.45</v>
      </c>
    </row>
    <row r="21" spans="1:19">
      <c r="A21" s="1857"/>
      <c r="B21" s="50" t="s">
        <v>1838</v>
      </c>
      <c r="C21" s="3082"/>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35823.800000000003</v>
      </c>
      <c r="E27" s="1303">
        <f>IF(SUM(E19:E26)='数据-基础表'!BA5,SUM(E19:E26),IF(F27="地上面积有误","面积有误","地下面积有误"))</f>
        <v>20460.700000000004</v>
      </c>
      <c r="F27" s="1302">
        <f>IF(SUM(F19:F26)=E8,SUM(F19:F26),"地上面积有误")</f>
        <v>14226.250000000004</v>
      </c>
      <c r="G27" s="1304">
        <f>SUM(G19:G26)</f>
        <v>6234.45</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35823.800000000003</v>
      </c>
      <c r="S27" s="1157">
        <f>IF(SUM(S19:S26)=$E$3,SUM(S19:S26),SUM(S19:S26)&amp;"误差"&amp;ROUND(SUM(S19:S26)-E3,2))</f>
        <v>20460.700000000004</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35823.800000000003</v>
      </c>
      <c r="E31" s="685">
        <f>E27+E30</f>
        <v>20460.700000000004</v>
      </c>
      <c r="F31" s="686">
        <f>F27+F30</f>
        <v>14226.250000000004</v>
      </c>
      <c r="G31" s="687">
        <f>G27+G30</f>
        <v>6234.45</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16.875" style="1869" customWidth="1"/>
    <col min="22" max="22" width="6.375" style="1869" customWidth="1"/>
    <col min="23" max="24" width="6.75" style="1869" customWidth="1"/>
    <col min="25" max="25" width="9.62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6" customFormat="1" ht="15.75" thickBot="1">
      <c r="A2" s="1870" t="s">
        <v>1846</v>
      </c>
      <c r="B2" s="1176">
        <f>项目基本情况!D3</f>
        <v>44316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9" t="s">
        <v>1851</v>
      </c>
      <c r="AA4" s="1839"/>
      <c r="AB4" s="1839"/>
      <c r="AC4" s="1839"/>
      <c r="AD4" s="1839"/>
      <c r="AE4" s="1837" t="s">
        <v>1852</v>
      </c>
      <c r="AF4" s="1839"/>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1866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别墅</v>
      </c>
      <c r="B6" s="1900" t="str">
        <f>IF(A6=0,"","经营性")</f>
        <v>经营性</v>
      </c>
      <c r="C6" s="1901" t="s">
        <v>1343</v>
      </c>
      <c r="D6" s="967">
        <f>SUMIF(项目基本情况!D$12:I$12,C6,项目基本情况!D$14:I$14)</f>
        <v>40</v>
      </c>
      <c r="E6" s="966">
        <f>IF(B6="","",SUMIF(项目基本情况!D$12:I$12,C6,项目基本情况!D$13:I$13))</f>
        <v>55712</v>
      </c>
      <c r="F6" s="68">
        <f>SUMIF(项目基本情况!D$12:I$12,C6,项目基本情况!D$15:I$15)</f>
        <v>31.22</v>
      </c>
      <c r="G6" s="69">
        <f t="shared" ref="G6:G13" si="0">IF(ISERROR(ROUND(POWER(1+H6,D6-F6)*(POWER(1+H6,F6)-1)/(POWER(1+H6,D6)-1),3)),0,ROUND(POWER(1+H6,D6-F6)*(POWER(1+H6,F6)-1)/(POWER(1+H6,D6)-1),3))</f>
        <v>0.91100000000000003</v>
      </c>
      <c r="H6" s="741">
        <v>0.05</v>
      </c>
      <c r="I6" s="741">
        <v>5.5E-2</v>
      </c>
      <c r="J6" s="70">
        <v>8.5000000000000006E-2</v>
      </c>
      <c r="K6" s="1161">
        <f>SUMIF('数据-汇总表'!C$19:C$33,A6,'数据-汇总表'!E$19:E$33)</f>
        <v>14226.250000000004</v>
      </c>
      <c r="L6" s="3108">
        <v>7500</v>
      </c>
      <c r="M6" s="71">
        <f t="shared" ref="M6:M14" si="1">ROUND(K6*L6/10000,0)</f>
        <v>10670</v>
      </c>
      <c r="N6" s="740">
        <v>0.95</v>
      </c>
      <c r="O6" s="71">
        <f>IF($N$5="成新度","——",ROUND(M6*N6,0))</f>
        <v>10137</v>
      </c>
      <c r="P6" s="72">
        <f>IF($N$5="成新度","——",M6-O6)</f>
        <v>533</v>
      </c>
      <c r="Q6" s="743">
        <v>0.2</v>
      </c>
      <c r="R6" s="73">
        <f ca="1">SUMIF('数据-汇总表'!C$19:C$33,A6,'数据-汇总表'!R$19:R$27)</f>
        <v>24908.16</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2">IF(A7=0,"","经营性")</f>
        <v>经营性</v>
      </c>
      <c r="C7" s="1901" t="s">
        <v>3472</v>
      </c>
      <c r="D7" s="967">
        <f>SUMIF(项目基本情况!D$12:I$12,C7,项目基本情况!D$14:I$14)</f>
        <v>40</v>
      </c>
      <c r="E7" s="966">
        <f>IF(B7="","",SUMIF(项目基本情况!D$12:I$12,C7,项目基本情况!D$13:I$13))</f>
        <v>55712</v>
      </c>
      <c r="F7" s="68">
        <f>SUMIF(项目基本情况!D$12:I$12,C7,项目基本情况!D$15:I$15)</f>
        <v>31.22</v>
      </c>
      <c r="G7" s="69">
        <f t="shared" si="0"/>
        <v>0.90200000000000002</v>
      </c>
      <c r="H7" s="741">
        <v>4.4999999999999998E-2</v>
      </c>
      <c r="I7" s="741">
        <v>0.05</v>
      </c>
      <c r="J7" s="70">
        <v>8.5000000000000006E-2</v>
      </c>
      <c r="K7" s="1161">
        <f>SUMIF('数据-汇总表'!C$19:C$33,A7,'数据-汇总表'!E$19:E$33)</f>
        <v>6234.45</v>
      </c>
      <c r="L7" s="3108">
        <f>L6</f>
        <v>7500</v>
      </c>
      <c r="M7" s="71">
        <f t="shared" si="1"/>
        <v>4676</v>
      </c>
      <c r="N7" s="740">
        <f>N6</f>
        <v>0.95</v>
      </c>
      <c r="O7" s="71">
        <f t="shared" ref="O7:O14" si="3">IF($N$5="成新度","——",ROUND(M7*N7,0))</f>
        <v>4442</v>
      </c>
      <c r="P7" s="72">
        <f t="shared" ref="P7:P14" si="4">IF($N$5="成新度","——",M7-O7)</f>
        <v>234</v>
      </c>
      <c r="Q7" s="743">
        <v>0.05</v>
      </c>
      <c r="R7" s="73">
        <f ca="1">SUMIF('数据-汇总表'!C$19:C$33,A7,'数据-汇总表'!R$19:R$27)</f>
        <v>10915.64</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f>面积表!G36</f>
        <v>113</v>
      </c>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1"/>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0.90800000000000003</v>
      </c>
      <c r="H16" s="95">
        <f>ROUND(SUMPRODUCT(H6:H13,K6:K13)/SUMPRODUCT((H6:H13&gt;0)*(K6:K13)),3)</f>
        <v>4.8000000000000001E-2</v>
      </c>
      <c r="I16" s="96"/>
      <c r="J16" s="96"/>
      <c r="K16" s="97">
        <f>SUM(K6:K15)</f>
        <v>20460.700000000004</v>
      </c>
      <c r="L16" s="98">
        <f>ROUND(M16*10000/SUM(K6:K14),0)</f>
        <v>7500</v>
      </c>
      <c r="M16" s="98">
        <f>SUM(M6:M14)</f>
        <v>15346</v>
      </c>
      <c r="N16" s="99">
        <f>ROUND(SUMPRODUCT(M6:M14,N6:N14)/M16,3)</f>
        <v>0.95</v>
      </c>
      <c r="O16" s="98">
        <f>SUM(O6:O14)</f>
        <v>14579</v>
      </c>
      <c r="P16" s="98">
        <f>SUM(P6:P14)</f>
        <v>767</v>
      </c>
      <c r="Q16" s="100">
        <f>ROUND(SUMPRODUCT(Q6:Q13,K6:K13)/SUMPRODUCT((Q6:Q13&gt;0)*(K6:K13)),2)</f>
        <v>0.15</v>
      </c>
      <c r="R16" s="1165">
        <f ca="1">SUM(R6:R13)</f>
        <v>35823.800000000003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f>B20*N16</f>
        <v>1.9</v>
      </c>
      <c r="C21" s="2899"/>
      <c r="D21" s="2902"/>
      <c r="E21" s="2899"/>
      <c r="F21" s="2899"/>
      <c r="G21" s="2899"/>
      <c r="H21" s="2899"/>
      <c r="I21" s="2899"/>
      <c r="J21" s="2899"/>
      <c r="K21" s="3093" t="s">
        <v>3510</v>
      </c>
      <c r="L21" s="3093" t="s">
        <v>3511</v>
      </c>
      <c r="M21" s="3094" t="s">
        <v>3512</v>
      </c>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f>K6/2*5+K7+'数据-基础表'!AN14</f>
        <v>43783.165000000001</v>
      </c>
      <c r="L22" s="3107">
        <v>3500</v>
      </c>
      <c r="M22" s="2897">
        <f>ROUND(K22*L22/10000,0)</f>
        <v>15324</v>
      </c>
      <c r="N22" s="2897">
        <f>M22*10000/K16</f>
        <v>7489.4798320683049</v>
      </c>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1.9</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0.10000000000000009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4"/>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0</v>
      </c>
      <c r="C27" s="3029" t="s">
        <v>3047</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160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ROUND(B28*K16/10000,0)</f>
        <v>327</v>
      </c>
      <c r="C29" s="3030" t="s">
        <v>3033</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3036</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10">
        <f ca="1">存贷款利率!G1</f>
        <v>4.7500000000000001E-2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9">
        <f>SUMIF(A54:A63,B53,B54:B63)</f>
        <v>10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10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223" t="s">
        <v>3025</v>
      </c>
      <c r="B1" s="3224"/>
      <c r="C1" s="3224"/>
      <c r="D1" s="3224"/>
      <c r="E1" s="3224"/>
      <c r="F1" s="3224"/>
      <c r="G1" s="322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3020</v>
      </c>
      <c r="D2" s="2685"/>
      <c r="E2" s="2682"/>
      <c r="F2" s="2686"/>
      <c r="G2" s="2684" t="s">
        <v>3021</v>
      </c>
      <c r="H2" s="907"/>
      <c r="I2" s="907"/>
      <c r="J2" s="907"/>
      <c r="K2" s="907"/>
      <c r="L2" s="907"/>
      <c r="M2" s="907"/>
      <c r="N2" s="907"/>
      <c r="O2" s="907"/>
      <c r="P2" s="907"/>
      <c r="Q2" s="907"/>
      <c r="R2" s="907"/>
    </row>
    <row r="3" spans="1:29" ht="48">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6.75">
      <c r="A4" s="2666"/>
      <c r="B4" s="329" t="s">
        <v>2993</v>
      </c>
      <c r="C4" s="2692" t="s">
        <v>2994</v>
      </c>
      <c r="D4" s="2689"/>
      <c r="E4" s="2693"/>
      <c r="F4" s="1559" t="s">
        <v>2995</v>
      </c>
      <c r="G4" s="2694" t="s">
        <v>2996</v>
      </c>
      <c r="H4" s="907"/>
      <c r="I4" s="907"/>
      <c r="J4" s="907"/>
      <c r="K4" s="907"/>
      <c r="L4" s="907"/>
      <c r="M4" s="907"/>
      <c r="N4" s="907"/>
      <c r="O4" s="907"/>
      <c r="P4" s="907"/>
      <c r="Q4" s="907"/>
      <c r="R4" s="907"/>
    </row>
    <row r="5" spans="1:29" ht="36.75">
      <c r="A5" s="2666"/>
      <c r="B5" s="329" t="s">
        <v>2997</v>
      </c>
      <c r="C5" s="2692" t="s">
        <v>2998</v>
      </c>
      <c r="D5" s="2689"/>
      <c r="E5" s="2693"/>
      <c r="F5" s="329" t="s">
        <v>2999</v>
      </c>
      <c r="G5" s="2694" t="s">
        <v>3000</v>
      </c>
      <c r="H5" s="907"/>
      <c r="I5" s="907"/>
      <c r="J5" s="907"/>
      <c r="K5" s="907"/>
      <c r="L5" s="907"/>
      <c r="M5" s="907"/>
      <c r="N5" s="907"/>
      <c r="O5" s="907"/>
      <c r="P5" s="907"/>
      <c r="Q5" s="907"/>
      <c r="R5" s="907"/>
    </row>
    <row r="6" spans="1:29" ht="36">
      <c r="A6" s="2666"/>
      <c r="B6" s="329" t="s">
        <v>3001</v>
      </c>
      <c r="C6" s="2694" t="s">
        <v>2996</v>
      </c>
      <c r="D6" s="2689"/>
      <c r="E6" s="2693"/>
      <c r="F6" s="329" t="s">
        <v>3002</v>
      </c>
      <c r="G6" s="2694" t="s">
        <v>3003</v>
      </c>
      <c r="H6" s="907"/>
      <c r="I6" s="907"/>
      <c r="J6" s="907"/>
      <c r="K6" s="907"/>
      <c r="L6" s="907"/>
      <c r="M6" s="907"/>
      <c r="N6" s="907"/>
      <c r="O6" s="907"/>
      <c r="P6" s="907"/>
      <c r="Q6" s="907"/>
      <c r="R6" s="907"/>
    </row>
    <row r="7" spans="1:29" ht="24.75"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c r="A8" s="2666"/>
      <c r="B8" s="329" t="s">
        <v>3002</v>
      </c>
      <c r="C8" s="2694" t="s">
        <v>3003</v>
      </c>
      <c r="D8" s="2695"/>
      <c r="E8" s="2695"/>
      <c r="F8" s="2699"/>
      <c r="G8" s="2699"/>
      <c r="H8" s="907"/>
      <c r="I8" s="907"/>
      <c r="J8" s="907"/>
      <c r="K8" s="907"/>
      <c r="L8" s="907"/>
      <c r="M8" s="907"/>
      <c r="N8" s="907"/>
      <c r="O8" s="907"/>
      <c r="P8" s="907"/>
      <c r="Q8" s="907"/>
      <c r="R8" s="907"/>
    </row>
    <row r="9" spans="1:29" ht="24">
      <c r="A9" s="2666"/>
      <c r="B9" s="329" t="s">
        <v>3006</v>
      </c>
      <c r="C9" s="2692" t="s">
        <v>3007</v>
      </c>
      <c r="D9" s="2689"/>
      <c r="E9" s="2695"/>
      <c r="F9" s="2699"/>
      <c r="G9" s="2699"/>
      <c r="H9" s="907"/>
      <c r="I9" s="907"/>
      <c r="J9" s="907"/>
      <c r="K9" s="907"/>
      <c r="L9" s="907"/>
      <c r="M9" s="907"/>
      <c r="N9" s="907"/>
      <c r="O9" s="907"/>
      <c r="P9" s="907"/>
      <c r="Q9" s="907"/>
      <c r="R9" s="907"/>
    </row>
    <row r="10" spans="1:29" s="2705" customFormat="1" ht="15"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3026</v>
      </c>
      <c r="B13" s="2708"/>
      <c r="C13" s="2708"/>
      <c r="D13" s="2706"/>
      <c r="E13" s="2708"/>
      <c r="F13" s="2708"/>
      <c r="G13" s="2708"/>
    </row>
    <row r="14" spans="1:29" ht="15" thickBot="1">
      <c r="A14" s="2718"/>
      <c r="B14" s="2718"/>
      <c r="C14" s="2719" t="s">
        <v>3009</v>
      </c>
      <c r="D14" s="2689"/>
      <c r="E14" s="2720"/>
      <c r="F14" s="2720"/>
      <c r="G14" s="2684" t="s">
        <v>3010</v>
      </c>
    </row>
    <row r="15" spans="1:29" ht="51">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8.25">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8.25">
      <c r="A17" s="2670"/>
      <c r="B17" s="2724" t="s">
        <v>2997</v>
      </c>
      <c r="C17" s="2725" t="str">
        <f>C5</f>
        <v>估价对象位于XX商圈，周边办公楼项目较多，入驻率高，办公集聚程度较好</v>
      </c>
      <c r="D17" s="2695"/>
      <c r="E17" s="2671"/>
      <c r="F17" s="2726" t="s">
        <v>3014</v>
      </c>
      <c r="G17" s="2728"/>
    </row>
    <row r="18" spans="1:18" ht="38.25">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5.5">
      <c r="A19" s="2670"/>
      <c r="B19" s="2726" t="s">
        <v>3015</v>
      </c>
      <c r="C19" s="2728"/>
      <c r="D19" s="2689"/>
      <c r="E19" s="2671"/>
      <c r="F19" s="329" t="s">
        <v>2999</v>
      </c>
      <c r="G19" s="2727" t="str">
        <f>G5</f>
        <v>估价对象所在区域公共配套设施齐备情况</v>
      </c>
    </row>
    <row r="20" spans="1:18" ht="25.5">
      <c r="A20" s="2670"/>
      <c r="B20" s="2726" t="s">
        <v>3016</v>
      </c>
      <c r="C20" s="2725" t="str">
        <f>C9</f>
        <v>区域自然环境：；人文环境；综合评价环境状况一般</v>
      </c>
      <c r="D20" s="2695"/>
      <c r="E20" s="2671"/>
      <c r="F20" s="329" t="s">
        <v>3002</v>
      </c>
      <c r="G20" s="2727" t="str">
        <f>G6</f>
        <v>估价对象所在区域基础设施水平</v>
      </c>
    </row>
    <row r="21" spans="1:18" ht="25.5">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5" thickBot="1">
      <c r="A23" s="2670"/>
      <c r="B23" s="2726" t="s">
        <v>3017</v>
      </c>
      <c r="C23" s="2729"/>
      <c r="D23" s="1928"/>
      <c r="E23" s="2672"/>
      <c r="F23" s="2730" t="s">
        <v>3018</v>
      </c>
      <c r="G23" s="2731"/>
      <c r="H23" s="2715"/>
      <c r="I23" s="2716"/>
      <c r="J23" s="2715"/>
      <c r="K23" s="2715"/>
      <c r="L23" s="2716"/>
      <c r="M23" s="2715"/>
      <c r="N23" s="2715"/>
      <c r="O23" s="2716"/>
      <c r="P23" s="2715"/>
      <c r="Q23" s="2715"/>
      <c r="R23" s="2717"/>
    </row>
    <row r="24" spans="1:18" s="907" customFormat="1" ht="15" thickBot="1">
      <c r="A24" s="2673"/>
      <c r="B24" s="2730" t="s">
        <v>3019</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5" sqref="I3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20460.700000000004</v>
      </c>
      <c r="C1" s="2912"/>
      <c r="D1" s="2912"/>
      <c r="E1" s="2912"/>
      <c r="F1" s="2912"/>
      <c r="G1" s="2913"/>
      <c r="H1" s="2914"/>
      <c r="I1" s="2914"/>
      <c r="J1" s="2914"/>
      <c r="K1" s="2914"/>
    </row>
    <row r="2" spans="1:11" ht="16.5">
      <c r="A2" s="2736" t="s">
        <v>1319</v>
      </c>
      <c r="B2" s="2736">
        <f>SUM(C14:C23)</f>
        <v>35823.800000000003</v>
      </c>
      <c r="C2" s="2912"/>
      <c r="D2" s="2912"/>
      <c r="E2" s="2912"/>
      <c r="F2" s="2912"/>
      <c r="G2" s="2913"/>
      <c r="H2" s="2914"/>
      <c r="I2" s="2914"/>
      <c r="J2" s="2914"/>
      <c r="K2" s="2914"/>
    </row>
    <row r="3" spans="1:11" ht="16.5">
      <c r="A3" s="2736" t="s">
        <v>1328</v>
      </c>
      <c r="B3" s="2738">
        <f>项目基本情况!D3</f>
        <v>44316</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63410</v>
      </c>
      <c r="C5" s="2736">
        <f ca="1">ROUND(B5*10000/$B$1,0)</f>
        <v>30991</v>
      </c>
      <c r="D5" s="2736">
        <f ca="1">ROUND(B5*10000/$B$2,0)</f>
        <v>17701</v>
      </c>
      <c r="E5" s="2912"/>
      <c r="F5" s="2913"/>
      <c r="G5" s="2913"/>
      <c r="H5" s="2914"/>
      <c r="I5" s="2914"/>
      <c r="J5" s="2914"/>
      <c r="K5" s="2914"/>
    </row>
    <row r="6" spans="1:11" ht="16.5">
      <c r="A6" s="2736" t="s">
        <v>1322</v>
      </c>
      <c r="B6" s="2736">
        <f ca="1">SUM(G14:G23)</f>
        <v>63410</v>
      </c>
      <c r="C6" s="2736">
        <f ca="1">ROUND(B6*10000/$B$1,0)</f>
        <v>30991</v>
      </c>
      <c r="D6" s="2736">
        <f ca="1">ROUND(B6*10000/$B$2,0)</f>
        <v>17701</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54302</v>
      </c>
      <c r="C8" s="2736">
        <f ca="1">ROUND(B8*10000/$B$1,0)</f>
        <v>26540</v>
      </c>
      <c r="D8" s="2736">
        <f ca="1">ROUND(B8*10000/$B$2,0)</f>
        <v>15158</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20460.700000000004</v>
      </c>
      <c r="C14" s="2742">
        <f>结果表!C118</f>
        <v>35823.800000000003</v>
      </c>
      <c r="D14" s="2742">
        <f ca="1">结果表!H118</f>
        <v>63410</v>
      </c>
      <c r="E14" s="2742">
        <f ca="1">ROUND(D14*10000/B14,0)</f>
        <v>30991</v>
      </c>
      <c r="F14" s="2742">
        <f ca="1">ROUND(D14*10000/C14,0)</f>
        <v>17701</v>
      </c>
      <c r="G14" s="2742">
        <f ca="1">结果表!D122</f>
        <v>63410</v>
      </c>
      <c r="H14" s="2742" t="str">
        <f>结果表!D124</f>
        <v>——</v>
      </c>
      <c r="I14" s="2742">
        <f ca="1">结果表!D126</f>
        <v>54302</v>
      </c>
      <c r="J14" s="2913"/>
      <c r="K14" s="2914"/>
    </row>
    <row r="15" spans="1:11" ht="16.5">
      <c r="A15" s="2741" t="s">
        <v>1315</v>
      </c>
      <c r="B15" s="2743"/>
      <c r="C15" s="2743"/>
      <c r="D15" s="2743"/>
      <c r="E15" s="2742" t="e">
        <f t="shared" ref="E15:E23" si="0">ROUND(D15*10000/B15,0)</f>
        <v>#DIV/0!</v>
      </c>
      <c r="F15" s="2742" t="e">
        <f t="shared" ref="F15:F23" si="1">ROUND(D15*10000/C15,0)</f>
        <v>#DIV/0!</v>
      </c>
      <c r="G15" s="1502"/>
      <c r="H15" s="1502"/>
      <c r="I15" s="2743"/>
      <c r="J15" s="2913"/>
      <c r="K15" s="2914"/>
    </row>
    <row r="16" spans="1:11" ht="16.5">
      <c r="A16" s="2741" t="s">
        <v>1314</v>
      </c>
      <c r="B16" s="2743"/>
      <c r="C16" s="2743"/>
      <c r="D16" s="2743"/>
      <c r="E16" s="2742" t="e">
        <f t="shared" si="0"/>
        <v>#DIV/0!</v>
      </c>
      <c r="F16" s="2742" t="e">
        <f t="shared" si="1"/>
        <v>#DIV/0!</v>
      </c>
      <c r="G16" s="1502"/>
      <c r="H16" s="1502"/>
      <c r="I16" s="2743"/>
      <c r="J16" s="2914"/>
      <c r="K16" s="2914"/>
    </row>
    <row r="17" spans="1:11" ht="16.5">
      <c r="A17" s="2741" t="s">
        <v>1313</v>
      </c>
      <c r="B17" s="2743"/>
      <c r="C17" s="2743"/>
      <c r="D17" s="2743"/>
      <c r="E17" s="2742" t="e">
        <f t="shared" si="0"/>
        <v>#DIV/0!</v>
      </c>
      <c r="F17" s="2742" t="e">
        <f t="shared" si="1"/>
        <v>#DIV/0!</v>
      </c>
      <c r="G17" s="1502"/>
      <c r="H17" s="1502"/>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Normal="100" zoomScaleSheetLayoutView="100" zoomScalePageLayoutView="80" workbookViewId="0">
      <selection activeCell="C88" sqref="C8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t="s">
        <v>3062</v>
      </c>
      <c r="H1" s="1937" t="str">
        <f>IF(G1="现房","——","估价对象范围")</f>
        <v>估价对象范围</v>
      </c>
      <c r="I1" s="1938" t="s">
        <v>3497</v>
      </c>
    </row>
    <row r="2" spans="1:12" ht="21.75" customHeight="1" thickBot="1">
      <c r="A2" s="3295" t="str">
        <f>项目基本情况!S2</f>
        <v>云南省昆明市官渡区官渡街道办事处出让国有建设用地使用权及在建建筑物房地产</v>
      </c>
      <c r="B2" s="3296"/>
      <c r="C2" s="3296"/>
      <c r="D2" s="3296"/>
      <c r="E2" s="3296"/>
      <c r="F2" s="3296"/>
      <c r="G2" s="3296"/>
      <c r="H2" s="3296"/>
      <c r="I2" s="3297"/>
    </row>
    <row r="3" spans="1:12" ht="12.75">
      <c r="A3" s="3299" t="s">
        <v>1951</v>
      </c>
      <c r="B3" s="3300"/>
      <c r="C3" s="3300"/>
      <c r="D3" s="3300"/>
      <c r="E3" s="3300"/>
      <c r="F3" s="3300"/>
      <c r="G3" s="3300"/>
      <c r="H3" s="3300"/>
      <c r="I3" s="3300"/>
    </row>
    <row r="4" spans="1:12" ht="14.25">
      <c r="A4" s="1941" t="s">
        <v>1952</v>
      </c>
      <c r="B4" s="1942" t="s">
        <v>1953</v>
      </c>
      <c r="C4" s="1943" t="s">
        <v>3498</v>
      </c>
      <c r="D4" s="1943" t="s">
        <v>3499</v>
      </c>
      <c r="E4" s="3304" t="s">
        <v>1954</v>
      </c>
      <c r="F4" s="3305"/>
      <c r="G4" s="3305"/>
      <c r="H4" s="3305"/>
      <c r="I4" s="33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40" t="s">
        <v>1955</v>
      </c>
      <c r="B5" s="3298">
        <v>25</v>
      </c>
      <c r="C5" s="3301"/>
      <c r="D5" s="3289"/>
      <c r="E5" s="136" t="s">
        <v>1956</v>
      </c>
      <c r="F5" s="1944"/>
      <c r="G5" s="1944"/>
      <c r="H5" s="1944"/>
      <c r="I5" s="1559"/>
    </row>
    <row r="6" spans="1:12" ht="12.75">
      <c r="A6" s="3240"/>
      <c r="B6" s="3298"/>
      <c r="C6" s="3303"/>
      <c r="D6" s="3289"/>
      <c r="E6" s="136" t="s">
        <v>1957</v>
      </c>
      <c r="F6" s="1944"/>
      <c r="G6" s="1944"/>
      <c r="H6" s="1944"/>
      <c r="I6" s="1559"/>
    </row>
    <row r="7" spans="1:12" ht="12.75">
      <c r="A7" s="3240"/>
      <c r="B7" s="3298"/>
      <c r="C7" s="3302"/>
      <c r="D7" s="3289"/>
      <c r="E7" s="136" t="s">
        <v>1958</v>
      </c>
      <c r="F7" s="1944"/>
      <c r="G7" s="1944"/>
      <c r="H7" s="1944"/>
      <c r="I7" s="1559"/>
    </row>
    <row r="8" spans="1:12" ht="12.75">
      <c r="A8" s="3240" t="s">
        <v>1959</v>
      </c>
      <c r="B8" s="3298">
        <v>15</v>
      </c>
      <c r="C8" s="3301"/>
      <c r="D8" s="3289"/>
      <c r="E8" s="136" t="s">
        <v>1960</v>
      </c>
      <c r="F8" s="1944"/>
      <c r="G8" s="1944"/>
      <c r="H8" s="1944"/>
      <c r="I8" s="1559"/>
    </row>
    <row r="9" spans="1:12" ht="12.75">
      <c r="A9" s="3240"/>
      <c r="B9" s="3298"/>
      <c r="C9" s="3302"/>
      <c r="D9" s="3289"/>
      <c r="E9" s="136" t="s">
        <v>1961</v>
      </c>
      <c r="F9" s="1944"/>
      <c r="G9" s="1944"/>
      <c r="H9" s="1944"/>
      <c r="I9" s="1559"/>
    </row>
    <row r="10" spans="1:12" ht="12.75">
      <c r="A10" s="3240" t="s">
        <v>1962</v>
      </c>
      <c r="B10" s="3298">
        <v>15</v>
      </c>
      <c r="C10" s="3301"/>
      <c r="D10" s="3289"/>
      <c r="E10" s="136" t="s">
        <v>1963</v>
      </c>
      <c r="F10" s="1944"/>
      <c r="G10" s="1944"/>
      <c r="H10" s="1944"/>
      <c r="I10" s="1559"/>
    </row>
    <row r="11" spans="1:12" ht="12.75">
      <c r="A11" s="3240"/>
      <c r="B11" s="3298"/>
      <c r="C11" s="3302"/>
      <c r="D11" s="3289"/>
      <c r="E11" s="136" t="s">
        <v>1964</v>
      </c>
      <c r="F11" s="1944"/>
      <c r="G11" s="1944"/>
      <c r="H11" s="1944"/>
      <c r="I11" s="1559"/>
    </row>
    <row r="12" spans="1:12" ht="12.75">
      <c r="A12" s="3240" t="s">
        <v>1965</v>
      </c>
      <c r="B12" s="3298">
        <v>15</v>
      </c>
      <c r="C12" s="3301"/>
      <c r="D12" s="3289"/>
      <c r="E12" s="136" t="s">
        <v>1966</v>
      </c>
      <c r="F12" s="1944"/>
      <c r="G12" s="1944"/>
      <c r="H12" s="1944"/>
      <c r="I12" s="1559"/>
    </row>
    <row r="13" spans="1:12" ht="12.75">
      <c r="A13" s="3240"/>
      <c r="B13" s="3298"/>
      <c r="C13" s="3302"/>
      <c r="D13" s="3289"/>
      <c r="E13" s="136" t="s">
        <v>1967</v>
      </c>
      <c r="F13" s="1944"/>
      <c r="G13" s="1944"/>
      <c r="H13" s="1944"/>
      <c r="I13" s="1559"/>
    </row>
    <row r="14" spans="1:12" ht="12.75">
      <c r="A14" s="3240" t="s">
        <v>1968</v>
      </c>
      <c r="B14" s="3298">
        <v>30</v>
      </c>
      <c r="C14" s="3301">
        <v>3</v>
      </c>
      <c r="D14" s="3289">
        <v>7</v>
      </c>
      <c r="E14" s="136" t="s">
        <v>1969</v>
      </c>
      <c r="F14" s="1944"/>
      <c r="G14" s="1944"/>
      <c r="H14" s="1944"/>
      <c r="I14" s="1559"/>
    </row>
    <row r="15" spans="1:12" ht="12.75">
      <c r="A15" s="3240"/>
      <c r="B15" s="3298"/>
      <c r="C15" s="3303"/>
      <c r="D15" s="3289"/>
      <c r="E15" s="136" t="s">
        <v>1970</v>
      </c>
      <c r="F15" s="1944"/>
      <c r="G15" s="1944"/>
      <c r="H15" s="1944"/>
      <c r="I15" s="1559"/>
    </row>
    <row r="16" spans="1:12" ht="12.75">
      <c r="A16" s="3240"/>
      <c r="B16" s="3298"/>
      <c r="C16" s="3302"/>
      <c r="D16" s="3289"/>
      <c r="E16" s="136" t="s">
        <v>1971</v>
      </c>
      <c r="F16" s="1944"/>
      <c r="G16" s="1944"/>
      <c r="H16" s="1944"/>
      <c r="I16" s="1559"/>
    </row>
    <row r="17" spans="1:36" ht="15">
      <c r="A17" s="1945" t="s">
        <v>1972</v>
      </c>
      <c r="B17" s="60"/>
      <c r="C17" s="137">
        <f>SUM(C5:C16)</f>
        <v>3</v>
      </c>
      <c r="D17" s="137">
        <f>SUM(D5:D16)</f>
        <v>7</v>
      </c>
      <c r="E17" s="134"/>
      <c r="F17" s="134"/>
      <c r="G17" s="134"/>
      <c r="H17" s="134"/>
      <c r="I17" s="134"/>
      <c r="K17" s="308"/>
      <c r="L17" s="308" t="s">
        <v>1973</v>
      </c>
      <c r="M17" s="308" t="s">
        <v>1974</v>
      </c>
    </row>
    <row r="18" spans="1:36" ht="31.9" customHeight="1" thickBot="1">
      <c r="A18" s="1946" t="s">
        <v>1975</v>
      </c>
      <c r="B18" s="1947"/>
      <c r="C18" s="138">
        <f>ROUND(C17/SUM(C17:D17),2)</f>
        <v>0.3</v>
      </c>
      <c r="D18" s="138">
        <f>1-C18</f>
        <v>0.7</v>
      </c>
      <c r="E18" s="3320" t="s">
        <v>2866</v>
      </c>
      <c r="F18" s="3321"/>
      <c r="G18" s="3321"/>
      <c r="H18" s="3321"/>
      <c r="I18" s="3321"/>
      <c r="K18" s="308" t="s">
        <v>1976</v>
      </c>
      <c r="L18" s="308">
        <f>IF(C1="",'数据-汇总表'!E3,SUMIF(项目类型,C1,'数据-汇总表'!E17:E26)+SUMIF(项目类型,C1,'数据-汇总表'!I17:I26))</f>
        <v>20460.700000000004</v>
      </c>
      <c r="M18" s="308">
        <f>IF(C1="",'数据-汇总表'!E3,SUMIF(项目类型,C1,'数据-汇总表'!E17:E26))</f>
        <v>20460.700000000004</v>
      </c>
    </row>
    <row r="19" spans="1:36" ht="15">
      <c r="A19" s="1948" t="s">
        <v>1977</v>
      </c>
      <c r="B19" s="1949" t="s">
        <v>1978</v>
      </c>
      <c r="C19" s="139">
        <f ca="1">SUMIF(INDIRECT("'"&amp;C4&amp;"'"&amp;"!A:A"),结果表!B19,INDIRECT("'"&amp;C4&amp;"'"&amp;"!B:B"))</f>
        <v>31137</v>
      </c>
      <c r="D19" s="140">
        <f ca="1">SUMIF(INDIRECT("'"&amp;D4&amp;"'"&amp;"!A:A"),结果表!B19,INDIRECT("'"&amp;D4&amp;"'"&amp;"!B:B"))</f>
        <v>77241</v>
      </c>
      <c r="E19" s="1948" t="s">
        <v>1979</v>
      </c>
      <c r="F19" s="1949" t="s">
        <v>1978</v>
      </c>
      <c r="G19" s="141">
        <f ca="1">ROUND(C19*$C$18+D19*$D$18,0)</f>
        <v>63410</v>
      </c>
      <c r="H19" s="1950" t="s">
        <v>1980</v>
      </c>
      <c r="I19" s="134"/>
      <c r="K19" s="308" t="s">
        <v>1981</v>
      </c>
      <c r="L19" s="308">
        <f>IF(C1="",'数据-汇总表'!D3,SUMIF(项目类型,C1,'数据-汇总表'!D17:D26)+SUMIF(项目类型,C1,'数据-汇总表'!H17:H27))</f>
        <v>35823.800000000003</v>
      </c>
      <c r="M19" s="308">
        <f>IF(C1="",'数据-汇总表'!D3,SUMIF(项目类型,C1,'数据-汇总表'!D17:D26))</f>
        <v>35823.800000000003</v>
      </c>
    </row>
    <row r="20" spans="1:36" ht="15">
      <c r="A20" s="1951"/>
      <c r="B20" s="1157" t="s">
        <v>1982</v>
      </c>
      <c r="C20" s="142">
        <f ca="1">SUMIF(INDIRECT("'"&amp;C4&amp;"'"&amp;"!A:A"),结果表!B20,INDIRECT("'"&amp;C4&amp;"'"&amp;"!B:B"))</f>
        <v>15218</v>
      </c>
      <c r="D20" s="143">
        <f ca="1">SUMIF(INDIRECT("'"&amp;D4&amp;"'"&amp;"!A:A"),结果表!B20,INDIRECT("'"&amp;D4&amp;"'"&amp;"!B:B"))</f>
        <v>37751</v>
      </c>
      <c r="E20" s="1951"/>
      <c r="F20" s="1157" t="s">
        <v>1982</v>
      </c>
      <c r="G20" s="144">
        <f ca="1">ROUND(C20*$C$18+D20*$D$18,0)</f>
        <v>30991</v>
      </c>
      <c r="H20" s="917" t="s">
        <v>1983</v>
      </c>
      <c r="I20" s="134"/>
    </row>
    <row r="21" spans="1:36" ht="15" customHeight="1" thickBot="1">
      <c r="A21" s="937"/>
      <c r="B21" s="1952" t="s">
        <v>1984</v>
      </c>
      <c r="C21" s="728">
        <f ca="1">ROUND(C19*10000/L19,0)</f>
        <v>8692</v>
      </c>
      <c r="D21" s="729">
        <f ca="1">ROUND(D19*10000/L19,0)</f>
        <v>21561</v>
      </c>
      <c r="E21" s="937"/>
      <c r="F21" s="1952" t="s">
        <v>1984</v>
      </c>
      <c r="G21" s="145">
        <f ca="1">ROUND(G19*10000/L19,0)</f>
        <v>17701</v>
      </c>
      <c r="H21" s="1953" t="s">
        <v>1983</v>
      </c>
      <c r="I21" s="134"/>
    </row>
    <row r="22" spans="1:36" ht="15" thickBot="1">
      <c r="A22" s="1875" t="s">
        <v>1985</v>
      </c>
      <c r="B22" s="1954"/>
      <c r="C22" s="1955"/>
      <c r="D22" s="730">
        <f ca="1">IF(C19&lt;D19,D19/C19-1,C19/D19-1)</f>
        <v>1.4806821466422586</v>
      </c>
      <c r="E22" s="134"/>
      <c r="F22" s="134"/>
      <c r="G22" s="134"/>
      <c r="H22" s="134"/>
      <c r="I22" s="134"/>
    </row>
    <row r="23" spans="1:36" ht="13.5" thickBot="1">
      <c r="A23" s="1934"/>
      <c r="B23" s="1934"/>
      <c r="C23" s="1934"/>
      <c r="D23" s="1934"/>
      <c r="E23" s="134"/>
      <c r="F23" s="134"/>
      <c r="G23" s="134"/>
      <c r="H23" s="134"/>
      <c r="I23" s="134"/>
    </row>
    <row r="24" spans="1:36" ht="14.25">
      <c r="A24" s="3313" t="s">
        <v>1986</v>
      </c>
      <c r="B24" s="1949" t="s">
        <v>1978</v>
      </c>
      <c r="C24" s="141">
        <f>IF(B30=0,0,D30)</f>
        <v>0</v>
      </c>
      <c r="D24" s="1956"/>
      <c r="E24" s="134"/>
      <c r="F24" s="134"/>
      <c r="G24" s="134"/>
      <c r="H24" s="134"/>
      <c r="I24" s="134"/>
    </row>
    <row r="25" spans="1:36" ht="14.25">
      <c r="A25" s="3314"/>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 ca="1">G19/'数据-汇总表'!F31*10000</f>
        <v>44572.53316931727</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1" t="s">
        <v>2867</v>
      </c>
      <c r="F30" s="134"/>
      <c r="G30" s="134"/>
      <c r="H30" s="134"/>
      <c r="I30" s="134"/>
    </row>
    <row r="31" spans="1:36" s="2527" customFormat="1" ht="26.45" customHeight="1" thickTop="1" thickBot="1">
      <c r="A31" s="2522"/>
      <c r="B31" s="2523"/>
      <c r="C31" s="2523"/>
      <c r="D31" s="2523"/>
      <c r="E31" s="2523"/>
      <c r="F31" s="2523"/>
      <c r="G31" s="2523"/>
      <c r="H31" s="2523"/>
      <c r="I31" s="2524" t="s">
        <v>2868</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1992</v>
      </c>
      <c r="B32" s="1961"/>
      <c r="C32" s="149">
        <f ca="1">IF(D32="总价",G19-C24,G20-C25)</f>
        <v>63410</v>
      </c>
      <c r="D32" s="1962" t="s">
        <v>3500</v>
      </c>
      <c r="E32" s="134"/>
      <c r="F32" s="134"/>
      <c r="G32" s="134"/>
      <c r="H32" s="134"/>
      <c r="I32" s="134"/>
    </row>
    <row r="33" spans="1:15" ht="15">
      <c r="A33" s="894" t="s">
        <v>1993</v>
      </c>
      <c r="B33" s="1963"/>
      <c r="C33" s="1964" t="s">
        <v>3501</v>
      </c>
      <c r="D33" s="1965" t="s">
        <v>3498</v>
      </c>
      <c r="E33" s="1966" t="s">
        <v>1994</v>
      </c>
      <c r="F33" s="1967" t="str">
        <f>IF(D32="楼面单价","取值（单价）","取值（总价）")</f>
        <v>取值（总价）</v>
      </c>
      <c r="G33" s="134"/>
      <c r="H33" s="134"/>
      <c r="I33" s="134"/>
    </row>
    <row r="34" spans="1:15" ht="15">
      <c r="A34" s="1968"/>
      <c r="B34" s="1969" t="s">
        <v>1995</v>
      </c>
      <c r="C34" s="153">
        <f ca="1">IF(C33="自定义",F34,C32-C35)</f>
        <v>20608</v>
      </c>
      <c r="D34" s="970">
        <f ca="1">IF(C33="自定义",ROUND(C34/C32,3),IF(C33="收益比率",SUMIF(INDIRECT("'"&amp;D33&amp;"'"&amp;"!b:b"),"土地收益比率",INDIRECT("'"&amp;D33&amp;"'"&amp;"!c:c")),SUMIF(INDIRECT("'"&amp;D33&amp;"'"&amp;"!b:b"),"土地成本比率",INDIRECT("'"&amp;D33&amp;"'"&amp;"!c:c"))))</f>
        <v>0.32499999999999996</v>
      </c>
      <c r="E34" s="1970" t="s">
        <v>1996</v>
      </c>
      <c r="F34" s="1500"/>
      <c r="G34" s="134"/>
      <c r="H34" s="134"/>
      <c r="I34" s="134"/>
    </row>
    <row r="35" spans="1:15" ht="15.75" thickBot="1">
      <c r="A35" s="1971"/>
      <c r="B35" s="1972" t="s">
        <v>1997</v>
      </c>
      <c r="C35" s="1332">
        <f ca="1">IF(C33="自定义",F35,ROUND(C32*D35,0))</f>
        <v>42802</v>
      </c>
      <c r="D35" s="1333">
        <f ca="1">IF(C33="自定义",ROUND(C35/C32,3),IF(C33="收益比率",SUMIF(INDIRECT("'"&amp;D33&amp;"'"&amp;"!b:b"),"建筑物收益比率",INDIRECT("'"&amp;D33&amp;"'"&amp;"!c:c")),SUMIF(INDIRECT("'"&amp;D33&amp;"'"&amp;"!b:b"),"建筑物成本比率",INDIRECT("'"&amp;D33&amp;"'"&amp;"!c:c"))))</f>
        <v>0.67500000000000004</v>
      </c>
      <c r="E35" s="1973" t="s">
        <v>1998</v>
      </c>
      <c r="F35" s="159"/>
      <c r="G35" s="134"/>
      <c r="H35" s="134"/>
      <c r="I35" s="134"/>
    </row>
    <row r="36" spans="1:15" ht="15.75" thickBot="1">
      <c r="A36" s="3290" t="s">
        <v>1999</v>
      </c>
      <c r="B36" s="1974" t="s">
        <v>2000</v>
      </c>
      <c r="C36" s="150"/>
      <c r="D36" s="1975"/>
      <c r="E36" s="1976"/>
      <c r="F36" s="1977"/>
      <c r="G36" s="134"/>
      <c r="H36" s="134"/>
      <c r="I36" s="134"/>
    </row>
    <row r="37" spans="1:15" ht="15.75" thickBot="1">
      <c r="A37" s="3291"/>
      <c r="B37" s="1861" t="s">
        <v>2001</v>
      </c>
      <c r="C37" s="152"/>
      <c r="D37" s="1301"/>
      <c r="E37" s="1301"/>
      <c r="F37" s="1977"/>
      <c r="G37" s="134"/>
      <c r="H37" s="134"/>
      <c r="I37" s="134"/>
    </row>
    <row r="38" spans="1:15" ht="15.75" thickBot="1">
      <c r="A38" s="3292"/>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310" t="s">
        <v>2013</v>
      </c>
      <c r="B45" s="3311"/>
      <c r="C45" s="3312"/>
      <c r="D45" s="160">
        <f ca="1">ROUND(H101*F45,0)</f>
        <v>63410</v>
      </c>
      <c r="E45" s="161" t="s">
        <v>2014</v>
      </c>
      <c r="F45" s="162">
        <v>1</v>
      </c>
      <c r="G45" s="163" t="s">
        <v>2015</v>
      </c>
      <c r="H45" s="134"/>
      <c r="I45" s="134"/>
      <c r="J45" s="3227" t="s">
        <v>2016</v>
      </c>
      <c r="K45" s="3227"/>
      <c r="L45" s="3227"/>
      <c r="M45" s="3227"/>
      <c r="N45" s="3227"/>
      <c r="O45" s="3227"/>
    </row>
    <row r="46" spans="1:15" ht="14.25" customHeight="1">
      <c r="A46" s="3307" t="s">
        <v>2017</v>
      </c>
      <c r="B46" s="3308"/>
      <c r="C46" s="3308"/>
      <c r="D46" s="3308"/>
      <c r="E46" s="3308"/>
      <c r="F46" s="3308"/>
      <c r="G46" s="3309"/>
      <c r="H46" s="1993"/>
      <c r="I46" s="164"/>
      <c r="J46" s="2747">
        <v>1</v>
      </c>
      <c r="K46" s="3228" t="s">
        <v>2018</v>
      </c>
      <c r="L46" s="3228"/>
      <c r="M46" s="3229"/>
      <c r="N46" s="3229"/>
      <c r="O46" s="3229"/>
    </row>
    <row r="47" spans="1:15" ht="12" customHeight="1">
      <c r="A47" s="165" t="s">
        <v>2019</v>
      </c>
      <c r="B47" s="166"/>
      <c r="C47" s="167"/>
      <c r="D47" s="1247" t="s">
        <v>2020</v>
      </c>
      <c r="E47" s="308" t="s">
        <v>2021</v>
      </c>
      <c r="F47" s="168" t="s">
        <v>2022</v>
      </c>
      <c r="G47" s="2770" t="s">
        <v>2023</v>
      </c>
      <c r="H47" s="2771"/>
      <c r="I47" s="164"/>
      <c r="J47" s="2747">
        <v>2</v>
      </c>
      <c r="K47" s="3228" t="s">
        <v>2024</v>
      </c>
      <c r="L47" s="3228"/>
      <c r="M47" s="3230">
        <f>'数据-取费表'!B2</f>
        <v>44316</v>
      </c>
      <c r="N47" s="3230"/>
      <c r="O47" s="3230"/>
    </row>
    <row r="48" spans="1:15" ht="25.5">
      <c r="A48" s="3293" t="s">
        <v>2025</v>
      </c>
      <c r="B48" s="3294"/>
      <c r="C48" s="3294"/>
      <c r="D48" s="2547">
        <f ca="1">IF(H48="情况1",0,IF(H48="情况2",D52,IF(H48="情况3",D53,IF(H48="情况4",D54))))</f>
        <v>3382</v>
      </c>
      <c r="E48" s="2557" t="str">
        <f>IF(H48="情况4","(销售额-原购置价)×税（费）率","销售额×税（费）率")</f>
        <v>销售额×税（费）率</v>
      </c>
      <c r="F48" s="2772">
        <f>IF(H48="情况1","免征",'数据-取费表'!B41)</f>
        <v>5.6000000000000001E-2</v>
      </c>
      <c r="G48" s="2773" t="s">
        <v>2026</v>
      </c>
      <c r="H48" s="2774" t="s">
        <v>3640</v>
      </c>
      <c r="I48" s="1993"/>
      <c r="J48" s="2747">
        <v>3</v>
      </c>
      <c r="K48" s="3228" t="s">
        <v>2027</v>
      </c>
      <c r="L48" s="3228"/>
      <c r="M48" s="3231">
        <f ca="1">H101</f>
        <v>63410</v>
      </c>
      <c r="N48" s="3231"/>
      <c r="O48" s="3231"/>
    </row>
    <row r="49" spans="1:35" ht="25.5" customHeight="1">
      <c r="A49" s="2556" t="s">
        <v>2028</v>
      </c>
      <c r="B49" s="3276" t="s">
        <v>2029</v>
      </c>
      <c r="C49" s="3276"/>
      <c r="D49" s="1777">
        <v>0</v>
      </c>
      <c r="E49" s="330" t="s">
        <v>2030</v>
      </c>
      <c r="F49" s="2648" t="s">
        <v>34</v>
      </c>
      <c r="G49" s="3259"/>
      <c r="H49" s="2528" t="s">
        <v>2869</v>
      </c>
      <c r="I49" s="2529"/>
      <c r="J49" s="2747">
        <v>4</v>
      </c>
      <c r="K49" s="3228" t="str">
        <f>IF(项目基本情况!E8="房地产抵押价值","房地产抵押价值","抵押担保权已注销时的房地产抵押价值")</f>
        <v>房地产抵押价值</v>
      </c>
      <c r="L49" s="3228"/>
      <c r="M49" s="3231">
        <f ca="1">IF(项目基本情况!E8="房地产抵押价值",H107,H109)</f>
        <v>63410</v>
      </c>
      <c r="N49" s="3231"/>
      <c r="O49" s="3231"/>
    </row>
    <row r="50" spans="1:35" ht="25.5" customHeight="1">
      <c r="A50" s="2775"/>
      <c r="B50" s="3276" t="s">
        <v>2031</v>
      </c>
      <c r="C50" s="3276"/>
      <c r="D50" s="2776"/>
      <c r="E50" s="338"/>
      <c r="F50" s="2648"/>
      <c r="G50" s="3260"/>
      <c r="H50" s="2530" t="s">
        <v>2870</v>
      </c>
      <c r="I50" s="2529"/>
      <c r="J50" s="3227" t="s">
        <v>2032</v>
      </c>
      <c r="K50" s="3227"/>
      <c r="L50" s="3227"/>
      <c r="M50" s="3227"/>
      <c r="N50" s="3227"/>
      <c r="O50" s="3227"/>
    </row>
    <row r="51" spans="1:35" ht="20.45" customHeight="1">
      <c r="A51" s="2777"/>
      <c r="B51" s="3276" t="s">
        <v>2033</v>
      </c>
      <c r="C51" s="3276"/>
      <c r="D51" s="1247"/>
      <c r="E51" s="333"/>
      <c r="F51" s="2648"/>
      <c r="G51" s="3261"/>
      <c r="H51" s="2530" t="s">
        <v>2871</v>
      </c>
      <c r="I51" s="2529"/>
      <c r="J51" s="2748" t="s">
        <v>2034</v>
      </c>
      <c r="K51" s="3228" t="s">
        <v>2035</v>
      </c>
      <c r="L51" s="3228"/>
      <c r="M51" s="2748" t="s">
        <v>2036</v>
      </c>
      <c r="N51" s="2748" t="s">
        <v>2037</v>
      </c>
      <c r="O51" s="2748" t="s">
        <v>2038</v>
      </c>
    </row>
    <row r="52" spans="1:35" ht="24" customHeight="1">
      <c r="A52" s="2558" t="s">
        <v>2039</v>
      </c>
      <c r="B52" s="3276" t="s">
        <v>2040</v>
      </c>
      <c r="C52" s="3276"/>
      <c r="D52" s="1247">
        <f ca="1">ROUND(D45*'数据-取费表'!B41/(1+'数据-取费表'!C42),0)</f>
        <v>3382</v>
      </c>
      <c r="E52" s="2557" t="s">
        <v>2041</v>
      </c>
      <c r="F52" s="2778">
        <f>'数据-取费表'!B41</f>
        <v>5.6000000000000001E-2</v>
      </c>
      <c r="G52" s="2779"/>
      <c r="H52" s="2768"/>
      <c r="I52" s="1994"/>
      <c r="J52" s="2747">
        <v>1</v>
      </c>
      <c r="K52" s="3253" t="s">
        <v>2042</v>
      </c>
      <c r="L52" s="3253"/>
      <c r="M52" s="2749">
        <f ca="1">D48</f>
        <v>3382</v>
      </c>
      <c r="N52" s="2747" t="str">
        <f>E48</f>
        <v>销售额×税（费）率</v>
      </c>
      <c r="O52" s="2750">
        <f>F48</f>
        <v>5.6000000000000001E-2</v>
      </c>
    </row>
    <row r="53" spans="1:35" ht="12" customHeight="1">
      <c r="A53" s="2558" t="s">
        <v>2043</v>
      </c>
      <c r="B53" s="3277" t="s">
        <v>3030</v>
      </c>
      <c r="C53" s="3278"/>
      <c r="D53" s="1247">
        <f ca="1">ROUND(D45*'数据-取费表'!B41/(1+'数据-取费表'!C42),0)</f>
        <v>3382</v>
      </c>
      <c r="E53" s="2557" t="s">
        <v>2041</v>
      </c>
      <c r="F53" s="2778">
        <f>'数据-取费表'!B41</f>
        <v>5.6000000000000001E-2</v>
      </c>
      <c r="G53" s="2779"/>
      <c r="H53" s="2768"/>
      <c r="I53" s="1994"/>
      <c r="J53" s="2747">
        <v>2</v>
      </c>
      <c r="K53" s="3253" t="s">
        <v>2044</v>
      </c>
      <c r="L53" s="3253"/>
      <c r="M53" s="2749">
        <f t="shared" ref="M53:O54" ca="1" si="0">D55</f>
        <v>32</v>
      </c>
      <c r="N53" s="2747" t="str">
        <f t="shared" si="0"/>
        <v>销售额×税（费）率</v>
      </c>
      <c r="O53" s="2750">
        <f t="shared" si="0"/>
        <v>5.0000000000000001E-4</v>
      </c>
    </row>
    <row r="54" spans="1:35" ht="12" customHeight="1">
      <c r="A54" s="2558" t="s">
        <v>2045</v>
      </c>
      <c r="B54" s="3277" t="s">
        <v>3031</v>
      </c>
      <c r="C54" s="3278"/>
      <c r="D54" s="1247">
        <f ca="1">C68</f>
        <v>3382</v>
      </c>
      <c r="E54" s="333" t="s">
        <v>2046</v>
      </c>
      <c r="F54" s="2778">
        <f>'数据-取费表'!B41</f>
        <v>5.6000000000000001E-2</v>
      </c>
      <c r="G54" s="2779"/>
      <c r="H54" s="2780"/>
      <c r="I54" s="1994"/>
      <c r="J54" s="2747">
        <v>3</v>
      </c>
      <c r="K54" s="3253" t="s">
        <v>2047</v>
      </c>
      <c r="L54" s="3253"/>
      <c r="M54" s="2749">
        <f t="shared" ca="1" si="0"/>
        <v>5694</v>
      </c>
      <c r="N54" s="2747" t="str">
        <f t="shared" si="0"/>
        <v>增值额×税（费）率</v>
      </c>
      <c r="O54" s="2751" t="str">
        <f t="shared" si="0"/>
        <v>——</v>
      </c>
    </row>
    <row r="55" spans="1:35" ht="24" customHeight="1">
      <c r="A55" s="3316" t="s">
        <v>2048</v>
      </c>
      <c r="B55" s="3294"/>
      <c r="C55" s="3294"/>
      <c r="D55" s="2547">
        <f ca="1">IF(H55="个人住宅",0,ROUND(D45*I55,0))</f>
        <v>32</v>
      </c>
      <c r="E55" s="2557" t="s">
        <v>2049</v>
      </c>
      <c r="F55" s="2778">
        <f>IF(H55="正常",I55,"免征")</f>
        <v>5.0000000000000001E-4</v>
      </c>
      <c r="G55" s="2779"/>
      <c r="H55" s="2774" t="s">
        <v>3470</v>
      </c>
      <c r="I55" s="170">
        <f>'数据-取费表'!B49</f>
        <v>5.0000000000000001E-4</v>
      </c>
      <c r="J55" s="2747" t="str">
        <f>IF(H59="非个人房产","",4)</f>
        <v/>
      </c>
      <c r="K55" s="3253" t="str">
        <f>IF(H59="非个人房产","——","个人所得税")</f>
        <v>——</v>
      </c>
      <c r="L55" s="3253"/>
      <c r="M55" s="2752" t="str">
        <f>D59</f>
        <v>——</v>
      </c>
      <c r="N55" s="2228" t="str">
        <f>E59</f>
        <v>——</v>
      </c>
      <c r="O55" s="2753" t="str">
        <f>F59</f>
        <v>——</v>
      </c>
    </row>
    <row r="56" spans="1:35" ht="24.75">
      <c r="A56" s="3316" t="s">
        <v>2050</v>
      </c>
      <c r="B56" s="3294"/>
      <c r="C56" s="3294"/>
      <c r="D56" s="2547">
        <f ca="1">IF(H56="个人住宅",D57,D58)</f>
        <v>5694</v>
      </c>
      <c r="E56" s="2557" t="s">
        <v>2051</v>
      </c>
      <c r="F56" s="2778" t="str">
        <f>IF(H56="正常",F58,"免征")</f>
        <v>——</v>
      </c>
      <c r="G56" s="2781" t="s">
        <v>2052</v>
      </c>
      <c r="H56" s="2782" t="s">
        <v>3470</v>
      </c>
      <c r="I56" s="1995"/>
      <c r="J56" s="2747" t="str">
        <f>IF(项目基本情况!K6="上海银行",IF(J55="",4,J55+1),"")</f>
        <v/>
      </c>
      <c r="K56" s="3234" t="str">
        <f>IF(项目基本情况!K6="上海银行","其他处置费用","")</f>
        <v/>
      </c>
      <c r="L56" s="3235"/>
      <c r="M56" s="2749" t="str">
        <f>IF(项目基本情况!K6="上海银行",M69,"")</f>
        <v/>
      </c>
      <c r="N56" s="3234" t="str">
        <f>IF(项目基本情况!K6="上海银行","包含处置中涉及的律师、诉讼、拍卖、评估等费用","")</f>
        <v/>
      </c>
      <c r="O56" s="3237"/>
    </row>
    <row r="57" spans="1:35" ht="12.75">
      <c r="A57" s="2558" t="s">
        <v>2028</v>
      </c>
      <c r="B57" s="3277" t="s">
        <v>2053</v>
      </c>
      <c r="C57" s="3278"/>
      <c r="D57" s="1777">
        <v>0</v>
      </c>
      <c r="E57" s="330" t="s">
        <v>2030</v>
      </c>
      <c r="F57" s="308"/>
      <c r="G57" s="2779"/>
      <c r="H57" s="2783"/>
      <c r="I57" s="1995"/>
      <c r="J57" s="3253">
        <f>IF(AND(J55="",J56=""),4,IF(项目基本情况!K6="上海银行",结果表!J56+1,结果表!J55+1))</f>
        <v>4</v>
      </c>
      <c r="K57" s="3253" t="s">
        <v>2054</v>
      </c>
      <c r="L57" s="2754" t="s">
        <v>2055</v>
      </c>
      <c r="M57" s="2755"/>
      <c r="N57" s="2756">
        <f ca="1">SUMIF(M52:M56,"&lt;9e307")</f>
        <v>9108</v>
      </c>
      <c r="O57" s="2757"/>
      <c r="P57" s="2916">
        <f ca="1">N57/M49</f>
        <v>0.143636650370604</v>
      </c>
    </row>
    <row r="58" spans="1:35" ht="24.75">
      <c r="A58" s="2558" t="s">
        <v>2039</v>
      </c>
      <c r="B58" s="3277" t="s">
        <v>2056</v>
      </c>
      <c r="C58" s="3276"/>
      <c r="D58" s="2547">
        <f ca="1">IF(H58="转让取得",C81,C97)</f>
        <v>5694</v>
      </c>
      <c r="E58" s="2557" t="s">
        <v>2051</v>
      </c>
      <c r="F58" s="308" t="s">
        <v>34</v>
      </c>
      <c r="G58" s="2779"/>
      <c r="H58" s="2782" t="s">
        <v>3641</v>
      </c>
      <c r="I58" s="1995"/>
      <c r="J58" s="3253"/>
      <c r="K58" s="3253"/>
      <c r="L58" s="2754" t="s">
        <v>2057</v>
      </c>
      <c r="M58" s="2758"/>
      <c r="N58" s="2759" t="str">
        <f ca="1">NUMBERSTRING(INT(N57*10000),2)&amp;"元整"</f>
        <v>玖仟壹佰零捌万元整</v>
      </c>
      <c r="O58" s="2760"/>
    </row>
    <row r="59" spans="1:35" ht="24.75" thickBot="1">
      <c r="A59" s="3257" t="s">
        <v>2058</v>
      </c>
      <c r="B59" s="3258"/>
      <c r="C59" s="3258"/>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2" t="s">
        <v>3645</v>
      </c>
      <c r="I59" s="2531" t="s">
        <v>2872</v>
      </c>
      <c r="J59" s="3255">
        <f>J57+1</f>
        <v>5</v>
      </c>
      <c r="K59" s="3253" t="s">
        <v>2059</v>
      </c>
      <c r="L59" s="2747" t="s">
        <v>2055</v>
      </c>
      <c r="M59" s="2761"/>
      <c r="N59" s="2762">
        <f ca="1">M49-N57</f>
        <v>54302</v>
      </c>
      <c r="O59" s="2763"/>
    </row>
    <row r="60" spans="1:35" ht="12" customHeight="1">
      <c r="A60" s="1996"/>
      <c r="B60" s="1934"/>
      <c r="C60" s="1934"/>
      <c r="D60" s="1934"/>
      <c r="E60" s="1765"/>
      <c r="F60" s="1995"/>
      <c r="G60" s="1995"/>
      <c r="H60" s="1997"/>
      <c r="I60" s="134"/>
      <c r="J60" s="3256"/>
      <c r="K60" s="3253"/>
      <c r="L60" s="2754" t="s">
        <v>2057</v>
      </c>
      <c r="M60" s="2758"/>
      <c r="N60" s="2759" t="str">
        <f ca="1">NUMBERSTRING(INT(N59*10000),2)&amp;"元整"</f>
        <v>伍亿肆仟叁佰零贰万元整</v>
      </c>
      <c r="O60" s="2760"/>
    </row>
    <row r="61" spans="1:35" ht="13.5" thickBot="1">
      <c r="A61" s="3315" t="s">
        <v>2060</v>
      </c>
      <c r="B61" s="3315"/>
      <c r="C61" s="3315"/>
      <c r="D61" s="3315"/>
      <c r="E61" s="3315"/>
      <c r="F61" s="1995"/>
      <c r="G61" s="1995"/>
      <c r="H61" s="1997"/>
      <c r="I61" s="134"/>
      <c r="J61" s="2747">
        <f>J59+1</f>
        <v>6</v>
      </c>
      <c r="K61" s="3253" t="s">
        <v>2061</v>
      </c>
      <c r="L61" s="3253"/>
      <c r="M61" s="2764"/>
      <c r="N61" s="2765">
        <f ca="1">ROUND(N59*10000/'数据-汇总表'!E3,0)</f>
        <v>26540</v>
      </c>
      <c r="O61" s="2766"/>
    </row>
    <row r="62" spans="1:35" ht="12.75">
      <c r="A62" s="3272" t="s">
        <v>2062</v>
      </c>
      <c r="B62" s="3273"/>
      <c r="C62" s="2209"/>
      <c r="D62" s="2209" t="s">
        <v>2063</v>
      </c>
      <c r="E62" s="171" t="s">
        <v>2064</v>
      </c>
      <c r="F62" s="1995"/>
      <c r="G62" s="1995"/>
      <c r="H62" s="1997"/>
      <c r="I62" s="134"/>
    </row>
    <row r="63" spans="1:35" ht="12.75">
      <c r="A63" s="178" t="s">
        <v>775</v>
      </c>
      <c r="B63" s="172" t="s">
        <v>2065</v>
      </c>
      <c r="C63" s="2788">
        <f ca="1">ROUND((C64+C65)/(1+'数据-取费表'!C42),0)</f>
        <v>60390</v>
      </c>
      <c r="D63" s="172"/>
      <c r="E63" s="173"/>
      <c r="F63" s="1995"/>
      <c r="G63" s="1995"/>
      <c r="H63" s="1997"/>
      <c r="I63" s="134"/>
      <c r="J63" s="3236" t="s">
        <v>2066</v>
      </c>
      <c r="K63" s="1503" t="s">
        <v>2067</v>
      </c>
      <c r="L63" s="1503">
        <f ca="1">IF(M49&gt;10000,M49*0.5%,IF(AND(M49&gt;1000,M49&lt;=10000),M49*1%,IF(AND(M49&gt;100,M49&lt;=1000),M49*3%,IF(AND(M49&gt;10,M49&lt;=100),M49*5%,M49*8%))))</f>
        <v>317.05</v>
      </c>
      <c r="M63" s="308">
        <f ca="1">ROUND(L63,1)</f>
        <v>317.10000000000002</v>
      </c>
      <c r="N63" s="2767"/>
      <c r="Z63" s="1939"/>
      <c r="AI63" s="1940"/>
    </row>
    <row r="64" spans="1:35" ht="14.25" customHeight="1">
      <c r="A64" s="174" t="s">
        <v>770</v>
      </c>
      <c r="B64" s="175" t="s">
        <v>2068</v>
      </c>
      <c r="C64" s="2789">
        <f ca="1">D45</f>
        <v>63410</v>
      </c>
      <c r="D64" s="175" t="s">
        <v>32</v>
      </c>
      <c r="E64" s="177"/>
      <c r="F64" s="1995"/>
      <c r="G64" s="1995"/>
      <c r="H64" s="1997"/>
      <c r="I64" s="134"/>
      <c r="J64" s="3236"/>
      <c r="K64" s="1503" t="s">
        <v>2069</v>
      </c>
      <c r="L64" s="1503">
        <f ca="1">IF(M49&gt;2000,M49*0.5%,IF(AND(M49&gt;1000,M49&lt;=2000),M49*0.6%,IF(AND(M49&gt;500,M49&lt;=1000),M49*0.7%,IF(AND(M49&gt;200,M49&lt;=500),M49*0.8%,IF(AND(M49&gt;100,M49&lt;=200),M49*0.9%,IF(AND(M49&gt;50,M49&lt;=100),M49*1%,IF(AND(M49&gt;20,M49&lt;=50),M49*1.5%,IF(AND(M49&gt;10,M49&lt;=20),M49*2%,IF(AND(M49&gt;1,M49&lt;=10),M49*2.5%)))))))))</f>
        <v>317.05</v>
      </c>
      <c r="M64" s="308">
        <f ca="1">ROUND(L64,1)</f>
        <v>317.10000000000002</v>
      </c>
      <c r="N64" s="2768" t="s">
        <v>2070</v>
      </c>
      <c r="Z64" s="1939"/>
      <c r="AI64" s="1940"/>
    </row>
    <row r="65" spans="1:35" ht="14.25" customHeight="1">
      <c r="A65" s="174" t="s">
        <v>771</v>
      </c>
      <c r="B65" s="175" t="s">
        <v>2071</v>
      </c>
      <c r="C65" s="2790"/>
      <c r="D65" s="175"/>
      <c r="E65" s="177"/>
      <c r="F65" s="1995"/>
      <c r="G65" s="1995"/>
      <c r="H65" s="1997"/>
      <c r="I65" s="134"/>
      <c r="J65" s="3236"/>
      <c r="K65" s="1503" t="s">
        <v>2072</v>
      </c>
      <c r="L65" s="1503">
        <f ca="1">IF(M49&gt;1000,M49*0.1%,IF(AND(M49&gt;500,M49&lt;=1000),M49*0.5%,IF(AND(M49&gt;50,M49&lt;=500),M49*1%,IF(AND(M49&gt;1,M49&lt;=50),M49*1.5%))))</f>
        <v>63.410000000000004</v>
      </c>
      <c r="M65" s="308">
        <f ca="1">ROUND(L65,1)</f>
        <v>63.4</v>
      </c>
      <c r="N65" s="2768" t="s">
        <v>2070</v>
      </c>
      <c r="Z65" s="1939"/>
      <c r="AI65" s="1940"/>
    </row>
    <row r="66" spans="1:35" ht="14.25" customHeight="1">
      <c r="A66" s="178" t="s">
        <v>772</v>
      </c>
      <c r="B66" s="179" t="s">
        <v>2073</v>
      </c>
      <c r="C66" s="2791"/>
      <c r="D66" s="179" t="s">
        <v>32</v>
      </c>
      <c r="E66" s="1511" t="s">
        <v>1337</v>
      </c>
      <c r="F66" s="1995"/>
      <c r="G66" s="1995"/>
      <c r="H66" s="1997"/>
      <c r="I66" s="134"/>
      <c r="J66" s="3236"/>
      <c r="K66" s="1503" t="s">
        <v>2074</v>
      </c>
      <c r="L66" s="1503">
        <f ca="1">M49*0.5%</f>
        <v>317.05</v>
      </c>
      <c r="M66" s="308">
        <f ca="1">IF(L66&gt;0.5,0.5,ROUND(L66,0))</f>
        <v>0.5</v>
      </c>
      <c r="N66" s="2768" t="s">
        <v>2075</v>
      </c>
      <c r="Z66" s="1939"/>
      <c r="AI66" s="1940"/>
    </row>
    <row r="67" spans="1:35" ht="14.25" customHeight="1">
      <c r="A67" s="178" t="s">
        <v>773</v>
      </c>
      <c r="B67" s="179" t="s">
        <v>2076</v>
      </c>
      <c r="C67" s="2792">
        <f ca="1">C63-C66</f>
        <v>60390</v>
      </c>
      <c r="D67" s="175" t="s">
        <v>32</v>
      </c>
      <c r="E67" s="177"/>
      <c r="F67" s="1995"/>
      <c r="G67" s="1995"/>
      <c r="H67" s="1997"/>
      <c r="I67" s="134"/>
      <c r="J67" s="3236"/>
      <c r="K67" s="1503" t="s">
        <v>2077</v>
      </c>
      <c r="L67" s="1503">
        <f ca="1">IF(M49&gt;=10000,(8.25+(M49-10000)*0.01%),IF(AND(M49&gt;=8000,M49&lt;10000),(7.85+(M49-8000)*0.02%),IF(AND(M49&gt;=5000,M49&lt;8000),(6.65+(M49-5000)*0.04%),IF(AND(M49&gt;=2000,M49&lt;5000),(4.25+(PM49-2000)*0.08%),IF(AND(M49&gt;=1000,M49&lt;2000),(2.75+(M49-1000)*0.15%),IF(AND(M49&gt;=100,M49&lt;1000),(0.5+(M49-100)*0.25%),IF(AND(M49&gt;0,M49&lt;100),M49*0.5%)))))))</f>
        <v>13.591000000000001</v>
      </c>
      <c r="M67" s="308">
        <f ca="1">ROUND(L67*0.9,1)</f>
        <v>12.2</v>
      </c>
      <c r="N67" s="2767"/>
      <c r="Z67" s="1939"/>
      <c r="AI67" s="1940"/>
    </row>
    <row r="68" spans="1:35" ht="14.25" customHeight="1" thickBot="1">
      <c r="A68" s="181" t="s">
        <v>774</v>
      </c>
      <c r="B68" s="182" t="s">
        <v>2078</v>
      </c>
      <c r="C68" s="2793">
        <f ca="1">IF(C67&lt;=0,0,ROUND(C67*D68,0))</f>
        <v>3382</v>
      </c>
      <c r="D68" s="2794">
        <f>'数据-取费表'!B41</f>
        <v>5.6000000000000001E-2</v>
      </c>
      <c r="E68" s="184"/>
      <c r="F68" s="1995"/>
      <c r="G68" s="1995"/>
      <c r="H68" s="1997"/>
      <c r="I68" s="134"/>
      <c r="J68" s="3236"/>
      <c r="K68" s="1503" t="s">
        <v>2079</v>
      </c>
      <c r="L68" s="1503">
        <f ca="1">IF(M49&gt;10000,M49*0.5%,IF(AND(M49&gt;5000,M49&lt;=10000),M49*1%,IF(AND(M49&gt;1000,M49&lt;=5000),M49*2%,IF(AND(M49&gt;200,M49&lt;=1000),M49*3%,M49*5%))))</f>
        <v>317.05</v>
      </c>
      <c r="M68" s="308">
        <f ca="1">ROUND(L68,1)</f>
        <v>317.10000000000002</v>
      </c>
      <c r="N68" s="2767"/>
      <c r="Z68" s="1939"/>
      <c r="AI68" s="1940"/>
    </row>
    <row r="69" spans="1:35" s="1959" customFormat="1" ht="16.5" customHeight="1">
      <c r="A69" s="1998"/>
      <c r="B69" s="1999"/>
      <c r="C69" s="2000"/>
      <c r="D69" s="2001"/>
      <c r="E69" s="2002"/>
      <c r="F69" s="1765"/>
      <c r="G69" s="1765"/>
      <c r="H69" s="1764"/>
      <c r="I69" s="1934"/>
      <c r="J69" s="3236"/>
      <c r="K69" s="1503" t="s">
        <v>2080</v>
      </c>
      <c r="L69" s="1503"/>
      <c r="M69" s="308">
        <f ca="1">ROUND(SUM(M63:M68),0)</f>
        <v>1027</v>
      </c>
      <c r="N69" s="2769">
        <f ca="1">M69/M49</f>
        <v>1.6196183567260686E-2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80" t="s">
        <v>2081</v>
      </c>
      <c r="B70" s="3281"/>
      <c r="C70" s="3281"/>
      <c r="D70" s="3281"/>
      <c r="E70" s="3281"/>
      <c r="F70" s="3281"/>
      <c r="G70" s="3281"/>
      <c r="H70" s="3281"/>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72" t="s">
        <v>2062</v>
      </c>
      <c r="B71" s="3273"/>
      <c r="C71" s="2209"/>
      <c r="D71" s="2209" t="s">
        <v>2063</v>
      </c>
      <c r="E71" s="185" t="s">
        <v>2064</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2">
        <f ca="1">ROUND(D45/(1+'数据-取费表'!C42),0)</f>
        <v>60390</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2">
        <f ca="1">C74+C78</f>
        <v>362</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5"/>
      <c r="D75" s="175" t="s">
        <v>32</v>
      </c>
      <c r="E75" s="190" t="s">
        <v>2086</v>
      </c>
      <c r="F75" s="2796"/>
      <c r="G75" s="190" t="s">
        <v>2087</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8">
        <v>0.05</v>
      </c>
      <c r="E76" s="3277" t="s">
        <v>2089</v>
      </c>
      <c r="F76" s="3276"/>
      <c r="G76" s="3276"/>
      <c r="H76" s="327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0">
        <f ca="1">ROUND(D45*D78/(1+'数据-取费表'!C42),0)</f>
        <v>362</v>
      </c>
      <c r="D78" s="2801">
        <f>'数据-取费表'!B43</f>
        <v>6.000000000000001E-3</v>
      </c>
      <c r="E78" s="3269" t="s">
        <v>2093</v>
      </c>
      <c r="F78" s="3270"/>
      <c r="G78" s="3270"/>
      <c r="H78" s="327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2">
        <f ca="1">C72-C73</f>
        <v>60028</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2">
        <f ca="1">IF(C79&lt;=0,0,C79/C73)</f>
        <v>165.82320441988949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3">
        <f ca="1">ROUND(IF(C79&lt;=0,0,IF(C80&gt;=200%,C79*60%-C73*35%,IF(C80&gt;=100%,C79*50%-C73*15%,IF(C80&gt;=50%,C79*40%-C73*5%,IF(C80&lt;50%,C79*30%,0))))),0)</f>
        <v>35890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3122" t="s">
        <v>3642</v>
      </c>
      <c r="K82" s="3122" t="s">
        <v>3643</v>
      </c>
      <c r="L82" s="3122" t="s">
        <v>3644</v>
      </c>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80" t="s">
        <v>2097</v>
      </c>
      <c r="B83" s="3281"/>
      <c r="C83" s="3281"/>
      <c r="D83" s="3281"/>
      <c r="E83" s="3281"/>
      <c r="F83" s="3281"/>
      <c r="G83" s="3281"/>
      <c r="H83" s="3281"/>
      <c r="I83" s="2008"/>
      <c r="J83" s="2005">
        <v>25000</v>
      </c>
      <c r="K83" s="2005">
        <v>79998.84</v>
      </c>
      <c r="L83" s="2005">
        <f>ROUND(J83/K83*10000,0)</f>
        <v>3125</v>
      </c>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72" t="s">
        <v>2062</v>
      </c>
      <c r="B84" s="3273"/>
      <c r="C84" s="2209"/>
      <c r="D84" s="2209"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2">
        <f ca="1">ROUND(D45/(1+'数据-取费表'!C42),0)</f>
        <v>60390</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2">
        <f ca="1">IF(H88="仅含出让金",C87+C90+C91+C92+C93+C94,C87+C91+C92+C93+C94)</f>
        <v>41410.78</v>
      </c>
      <c r="D86" s="2805"/>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0">
        <f>C88+C89</f>
        <v>4582</v>
      </c>
      <c r="D87" s="2801"/>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6">
        <f>ROUND(L83*'数据-汇总表'!F19/10000,0)</f>
        <v>4446</v>
      </c>
      <c r="D88" s="2801"/>
      <c r="E88" s="199" t="s">
        <v>2100</v>
      </c>
      <c r="F88" s="2550"/>
      <c r="G88" s="200" t="s">
        <v>2101</v>
      </c>
      <c r="H88" s="2011" t="s">
        <v>3653</v>
      </c>
      <c r="I88" s="2008"/>
      <c r="J88" s="2745"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0">
        <f>ROUND(C88*D89,0)</f>
        <v>136</v>
      </c>
      <c r="D89" s="2801">
        <f>'数据-取费表'!B48+'数据-取费表'!B49</f>
        <v>3.0499999999999999E-2</v>
      </c>
      <c r="E89" s="199" t="s">
        <v>2102</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6">
        <f>面积表!AG26</f>
        <v>11077.78</v>
      </c>
      <c r="D90" s="2801"/>
      <c r="E90" s="199" t="str">
        <f>IF(H88="-","土地取得成本中已包含该笔费用"," ")</f>
        <v xml:space="preserve"> </v>
      </c>
      <c r="F90" s="2550"/>
      <c r="G90" s="3238" t="s">
        <v>2864</v>
      </c>
      <c r="H90" s="3239"/>
      <c r="I90" s="2008"/>
      <c r="J90" s="2745"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0">
        <f ca="1">IF(H91="——",成本法!C33,I91)</f>
        <v>15916</v>
      </c>
      <c r="D91" s="2801"/>
      <c r="E91" s="3269" t="s">
        <v>2106</v>
      </c>
      <c r="F91" s="3270"/>
      <c r="G91" s="3270"/>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0">
        <f ca="1">ROUND((C87+C90+C91)*D92,0)</f>
        <v>3158</v>
      </c>
      <c r="D92" s="2807">
        <v>0.1</v>
      </c>
      <c r="E92" s="3269" t="s">
        <v>2109</v>
      </c>
      <c r="F92" s="3270"/>
      <c r="G92" s="3270"/>
      <c r="H92" s="3271"/>
      <c r="I92" s="2008"/>
      <c r="J92" s="2746"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0">
        <f ca="1">ROUND(D45*D93/(1+'数据-取费表'!C42),0)</f>
        <v>362</v>
      </c>
      <c r="D93" s="2801">
        <f>'数据-取费表'!B43</f>
        <v>6.000000000000001E-3</v>
      </c>
      <c r="E93" s="3269" t="s">
        <v>2093</v>
      </c>
      <c r="F93" s="3270"/>
      <c r="G93" s="3270"/>
      <c r="H93" s="327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6">
        <f ca="1">ROUND((C87+C90+C91)*D94,0)</f>
        <v>6315</v>
      </c>
      <c r="D94" s="2801">
        <v>0.2</v>
      </c>
      <c r="E94" s="3317" t="s">
        <v>2113</v>
      </c>
      <c r="F94" s="3318"/>
      <c r="G94" s="3318"/>
      <c r="H94" s="3319"/>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2">
        <f ca="1">ROUND(C85-C86,0)</f>
        <v>18979</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2">
        <f ca="1">IF(C95&lt;=0,0,C95/C86)</f>
        <v>0.45831061380635674</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3">
        <f ca="1">ROUND(IF(C95&lt;=0,0,IF(C96&gt;=200%,C95*60%-C86*35%,IF(C96&gt;=100%,C95*50%-C86*15%,IF(C96&gt;=50%,C95*40%-C86*5%,IF(C96&lt;50%,C95*30%,0))))),0)</f>
        <v>5694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219" t="s">
        <v>2115</v>
      </c>
      <c r="B100" s="3220"/>
      <c r="C100" s="3220"/>
      <c r="D100" s="3254"/>
      <c r="E100" s="3220" t="s">
        <v>2116</v>
      </c>
      <c r="F100" s="3220"/>
      <c r="G100" s="3220"/>
      <c r="H100" s="3254"/>
      <c r="I100" s="134"/>
    </row>
    <row r="101" spans="1:35" ht="18.75" customHeight="1">
      <c r="A101" s="3262" t="s">
        <v>2117</v>
      </c>
      <c r="B101" s="3263"/>
      <c r="C101" s="2809" t="str">
        <f>C4</f>
        <v>成本法</v>
      </c>
      <c r="D101" s="2810" t="str">
        <f>D4</f>
        <v>假设开发法</v>
      </c>
      <c r="E101" s="3232" t="s">
        <v>2118</v>
      </c>
      <c r="F101" s="3233"/>
      <c r="G101" s="2014" t="s">
        <v>2119</v>
      </c>
      <c r="H101" s="2819">
        <f ca="1">H118</f>
        <v>63410</v>
      </c>
      <c r="I101" s="134"/>
    </row>
    <row r="102" spans="1:35" ht="18.75" customHeight="1">
      <c r="A102" s="3264" t="s">
        <v>2120</v>
      </c>
      <c r="B102" s="2808" t="s">
        <v>2119</v>
      </c>
      <c r="C102" s="2809">
        <f ca="1">C19</f>
        <v>31137</v>
      </c>
      <c r="D102" s="2810">
        <f ca="1">D19</f>
        <v>77241</v>
      </c>
      <c r="E102" s="3232"/>
      <c r="F102" s="3233"/>
      <c r="G102" s="2014" t="s">
        <v>2121</v>
      </c>
      <c r="H102" s="2779">
        <f ca="1">I118</f>
        <v>30991</v>
      </c>
      <c r="I102" s="134"/>
    </row>
    <row r="103" spans="1:35" ht="42.75" customHeight="1">
      <c r="A103" s="3264"/>
      <c r="B103" s="2808" t="s">
        <v>2121</v>
      </c>
      <c r="C103" s="2811">
        <f ca="1">C20</f>
        <v>15218</v>
      </c>
      <c r="D103" s="2812">
        <f ca="1">D20</f>
        <v>37751</v>
      </c>
      <c r="E103" s="3225" t="s">
        <v>2122</v>
      </c>
      <c r="F103" s="3226"/>
      <c r="G103" s="2015" t="s">
        <v>2123</v>
      </c>
      <c r="H103" s="2819">
        <f>IF(D36="正常操作",H104+H105+H106,H105+H106)</f>
        <v>0</v>
      </c>
      <c r="I103" s="134"/>
    </row>
    <row r="104" spans="1:35" ht="18.75" customHeight="1">
      <c r="A104" s="3264" t="s">
        <v>2124</v>
      </c>
      <c r="B104" s="2813" t="s">
        <v>2119</v>
      </c>
      <c r="C104" s="2814">
        <f ca="1">H118</f>
        <v>63410</v>
      </c>
      <c r="D104" s="2815"/>
      <c r="E104" s="1861" t="s">
        <v>2125</v>
      </c>
      <c r="F104" s="1853"/>
      <c r="G104" s="2015" t="s">
        <v>2123</v>
      </c>
      <c r="H104" s="2820">
        <f>IF(D36="同一抵押权人同一抵押物续贷",C36&amp;"（续贷，未扣减，详见特别提示）",C36)</f>
        <v>0</v>
      </c>
      <c r="I104" s="134"/>
    </row>
    <row r="105" spans="1:35" ht="18.75" customHeight="1" thickBot="1">
      <c r="A105" s="3274"/>
      <c r="B105" s="2816" t="s">
        <v>2121</v>
      </c>
      <c r="C105" s="2817">
        <f ca="1">I118</f>
        <v>30991</v>
      </c>
      <c r="D105" s="2818"/>
      <c r="E105" s="1861" t="s">
        <v>2126</v>
      </c>
      <c r="F105" s="1853"/>
      <c r="G105" s="2015" t="s">
        <v>2123</v>
      </c>
      <c r="H105" s="2821">
        <f>C37</f>
        <v>0</v>
      </c>
      <c r="I105" s="134"/>
    </row>
    <row r="106" spans="1:35" ht="18.75" customHeight="1">
      <c r="A106" s="1934" t="s">
        <v>2127</v>
      </c>
      <c r="B106" s="1934"/>
      <c r="C106" s="1934"/>
      <c r="D106" s="1934"/>
      <c r="E106" s="2016" t="s">
        <v>2128</v>
      </c>
      <c r="F106" s="1853"/>
      <c r="G106" s="2015" t="s">
        <v>2123</v>
      </c>
      <c r="H106" s="2821">
        <f>C38</f>
        <v>0</v>
      </c>
      <c r="I106" s="134"/>
    </row>
    <row r="107" spans="1:35" ht="18.75" customHeight="1">
      <c r="A107" s="134"/>
      <c r="B107" s="134"/>
      <c r="C107" s="134"/>
      <c r="D107" s="134"/>
      <c r="E107" s="3265" t="str">
        <f>IF(项目基本情况!E8="已注销","——","3.房地产抵押价值")</f>
        <v>3.房地产抵押价值</v>
      </c>
      <c r="F107" s="3233"/>
      <c r="G107" s="2014" t="s">
        <v>2119</v>
      </c>
      <c r="H107" s="2819">
        <f ca="1">IF(E107="——","——",H101-H103)</f>
        <v>63410</v>
      </c>
      <c r="I107" s="134"/>
    </row>
    <row r="108" spans="1:35" ht="18.75" customHeight="1">
      <c r="A108" s="134"/>
      <c r="B108" s="134"/>
      <c r="C108" s="134"/>
      <c r="D108" s="134"/>
      <c r="E108" s="3265"/>
      <c r="F108" s="3233"/>
      <c r="G108" s="2014" t="s">
        <v>2121</v>
      </c>
      <c r="H108" s="2779">
        <f ca="1">ROUND(H107*10000/'数据-汇总表'!E3,0)</f>
        <v>30991</v>
      </c>
      <c r="I108" s="134"/>
    </row>
    <row r="109" spans="1:35" ht="18.75" customHeight="1">
      <c r="A109" s="134"/>
      <c r="B109" s="134"/>
      <c r="C109" s="134"/>
      <c r="D109" s="134"/>
      <c r="E109" s="3265" t="str">
        <f>IF(项目基本情况!E8="已注销及未注销","4.抵押担保权已注销时的房地产抵押价值",IF(项目基本情况!E8="已注销","3.抵押担保权已注销时的房地产抵押价值","——"))</f>
        <v>——</v>
      </c>
      <c r="F109" s="3233"/>
      <c r="G109" s="2014" t="s">
        <v>2119</v>
      </c>
      <c r="H109" s="2822" t="str">
        <f>IF(E109="——","——",H101-H105-H106)</f>
        <v>——</v>
      </c>
      <c r="I109" s="134"/>
    </row>
    <row r="110" spans="1:35" ht="18.75" customHeight="1">
      <c r="A110" s="134"/>
      <c r="B110" s="134"/>
      <c r="C110" s="134"/>
      <c r="D110" s="134"/>
      <c r="E110" s="3265"/>
      <c r="F110" s="3233"/>
      <c r="G110" s="2014" t="s">
        <v>2121</v>
      </c>
      <c r="H110" s="2779" t="str">
        <f>IF(H109="——","——",ROUND(H109*10000/'数据-汇总表'!E3,0))</f>
        <v>——</v>
      </c>
      <c r="I110" s="134"/>
    </row>
    <row r="111" spans="1:35" ht="18.75" customHeight="1">
      <c r="A111" s="134"/>
      <c r="B111" s="134"/>
      <c r="C111" s="134"/>
      <c r="D111" s="134"/>
      <c r="E111" s="3266" t="str">
        <f>IF(项目基本情况!E9="抵押净值",IF(OR(项目基本情况!E8="已注销",项目基本情况!E8="房地产抵押价值"),"4.抵押净值","5.抵押净值"),"——")</f>
        <v>4.抵押净值</v>
      </c>
      <c r="F111" s="3252"/>
      <c r="G111" s="2014" t="s">
        <v>2119</v>
      </c>
      <c r="H111" s="2819">
        <f ca="1">IF(E111="——","——",N59)</f>
        <v>54302</v>
      </c>
      <c r="I111" s="134"/>
    </row>
    <row r="112" spans="1:35" ht="18.75" customHeight="1" thickBot="1">
      <c r="A112" s="134"/>
      <c r="B112" s="134"/>
      <c r="C112" s="134"/>
      <c r="D112" s="134"/>
      <c r="E112" s="3267"/>
      <c r="F112" s="3268"/>
      <c r="G112" s="2017" t="s">
        <v>2121</v>
      </c>
      <c r="H112" s="2823">
        <f ca="1">IF(E111="——","——",N61)</f>
        <v>26540</v>
      </c>
      <c r="I112" s="134"/>
    </row>
    <row r="113" spans="1:27" ht="18.75" customHeight="1">
      <c r="A113" s="134"/>
      <c r="B113" s="134"/>
      <c r="C113" s="134"/>
      <c r="D113" s="134"/>
      <c r="E113" s="3275" t="s">
        <v>2127</v>
      </c>
      <c r="F113" s="3275"/>
      <c r="G113" s="3275"/>
      <c r="H113" s="3275"/>
      <c r="I113" s="134"/>
    </row>
    <row r="114" spans="1:27" ht="3.75" customHeight="1">
      <c r="A114" s="1934"/>
      <c r="B114" s="1934"/>
      <c r="C114" s="1934"/>
      <c r="D114" s="1934"/>
      <c r="E114" s="1996"/>
      <c r="F114" s="1996"/>
      <c r="G114" s="1996"/>
      <c r="H114" s="1996"/>
      <c r="I114" s="1934"/>
    </row>
    <row r="115" spans="1:27" ht="18.75" customHeight="1">
      <c r="A115" s="3286" t="s">
        <v>2129</v>
      </c>
      <c r="B115" s="3287"/>
      <c r="C115" s="3287"/>
      <c r="D115" s="3287"/>
      <c r="E115" s="3287"/>
      <c r="F115" s="3287"/>
      <c r="G115" s="3287"/>
      <c r="H115" s="3287"/>
      <c r="I115" s="3288"/>
    </row>
    <row r="116" spans="1:27" ht="27" customHeight="1">
      <c r="A116" s="3240" t="s">
        <v>2130</v>
      </c>
      <c r="B116" s="3244" t="s">
        <v>2131</v>
      </c>
      <c r="C116" s="3244" t="s">
        <v>2132</v>
      </c>
      <c r="D116" s="3250" t="s">
        <v>2133</v>
      </c>
      <c r="E116" s="3251"/>
      <c r="F116" s="3282" t="s">
        <v>2134</v>
      </c>
      <c r="G116" s="3282"/>
      <c r="H116" s="3240" t="s">
        <v>2135</v>
      </c>
      <c r="I116" s="3240"/>
    </row>
    <row r="117" spans="1:27" ht="18.75" customHeight="1">
      <c r="A117" s="3240"/>
      <c r="B117" s="3245"/>
      <c r="C117" s="3245"/>
      <c r="D117" s="2552" t="s">
        <v>2136</v>
      </c>
      <c r="E117" s="2552" t="s">
        <v>2137</v>
      </c>
      <c r="F117" s="2552" t="s">
        <v>2136</v>
      </c>
      <c r="G117" s="2552" t="s">
        <v>2138</v>
      </c>
      <c r="H117" s="2552" t="s">
        <v>2136</v>
      </c>
      <c r="I117" s="2552" t="s">
        <v>2138</v>
      </c>
    </row>
    <row r="118" spans="1:27" ht="24.75" customHeight="1">
      <c r="A118" s="2824" t="str">
        <f>项目基本情况!S2</f>
        <v>云南省昆明市官渡区官渡街道办事处出让国有建设用地使用权及在建建筑物房地产</v>
      </c>
      <c r="B118" s="2552">
        <f>M18</f>
        <v>20460.700000000004</v>
      </c>
      <c r="C118" s="2552">
        <f>M19</f>
        <v>35823.800000000003</v>
      </c>
      <c r="D118" s="2552">
        <f ca="1">ROUND(IF(D32="总价",C34,E118*B118/10000),0)</f>
        <v>20608</v>
      </c>
      <c r="E118" s="2552">
        <f ca="1">ROUND(IF(C33="自定义",IF(D32="楼面单价",C34,D118*10000/B118),I118-G118),0)</f>
        <v>10072</v>
      </c>
      <c r="F118" s="2552">
        <f ca="1">ROUND(IF(D32="总价",C35,G118*B118/10000),0)</f>
        <v>42802</v>
      </c>
      <c r="G118" s="2552">
        <f ca="1">ROUND(IF(D32="楼面单价",C35,F118*10000/B118),0)</f>
        <v>20919</v>
      </c>
      <c r="H118" s="2552">
        <f ca="1">ROUND(IF(D32="总价",C32,I118*B118/10000),0)</f>
        <v>63410</v>
      </c>
      <c r="I118" s="2552">
        <f ca="1">ROUND(IF(D32="楼面单价",C32,H118*10000/B118),0)</f>
        <v>30991</v>
      </c>
    </row>
    <row r="119" spans="1:27" ht="18.75" customHeight="1">
      <c r="A119" s="3240" t="s">
        <v>2139</v>
      </c>
      <c r="B119" s="3240"/>
      <c r="C119" s="3240"/>
      <c r="D119" s="3246" t="str">
        <f ca="1">NUMBERSTRING(INT(D118*10000),2)&amp;"元整"</f>
        <v>贰亿零陆佰零捌万元整</v>
      </c>
      <c r="E119" s="3247"/>
      <c r="F119" s="3246" t="str">
        <f ca="1">NUMBERSTRING(INT(F118*10000),2)&amp;"元整"</f>
        <v>肆亿贰仟捌佰零贰万元整</v>
      </c>
      <c r="G119" s="3247"/>
      <c r="H119" s="3246" t="str">
        <f ca="1">NUMBERSTRING(INT(H118*10000),2)&amp;"元整"</f>
        <v>陆亿叁仟肆佰壹拾万元整</v>
      </c>
      <c r="I119" s="3247"/>
    </row>
    <row r="120" spans="1:27" ht="18.75" customHeight="1">
      <c r="A120" s="3241" t="str">
        <f>IF(项目基本情况!B9="房地产市场价值","",MID(E103,3,LEN(E103)-2))</f>
        <v>估价师知悉的法定优先受偿款</v>
      </c>
      <c r="B120" s="3242"/>
      <c r="C120" s="3243"/>
      <c r="D120" s="3241">
        <f>H103</f>
        <v>0</v>
      </c>
      <c r="E120" s="3242"/>
      <c r="F120" s="3242"/>
      <c r="G120" s="3242"/>
      <c r="H120" s="3242"/>
      <c r="I120" s="324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83" t="s">
        <v>2139</v>
      </c>
      <c r="B121" s="3284"/>
      <c r="C121" s="3285"/>
      <c r="D121" s="3246" t="str">
        <f>IF(D120=0,"零元整",NUMBERSTRING(INT(D120*10000),2)&amp;"元整")</f>
        <v>零元整</v>
      </c>
      <c r="E121" s="3248"/>
      <c r="F121" s="3248"/>
      <c r="G121" s="3248"/>
      <c r="H121" s="3248"/>
      <c r="I121" s="3247"/>
      <c r="AA121" s="734"/>
    </row>
    <row r="122" spans="1:27" ht="18.75" customHeight="1">
      <c r="A122" s="3252" t="str">
        <f>IF(项目基本情况!B9="房地产市场价值","",MID(E107,3,LEN(E107)-2))</f>
        <v>房地产抵押价值</v>
      </c>
      <c r="B122" s="3252"/>
      <c r="C122" s="3252"/>
      <c r="D122" s="3241">
        <f ca="1">H107</f>
        <v>63410</v>
      </c>
      <c r="E122" s="3242"/>
      <c r="F122" s="3242"/>
      <c r="G122" s="3242"/>
      <c r="H122" s="3242"/>
      <c r="I122" s="3243"/>
      <c r="AA122" s="734"/>
    </row>
    <row r="123" spans="1:27" ht="18.75" customHeight="1">
      <c r="A123" s="3240" t="s">
        <v>2139</v>
      </c>
      <c r="B123" s="3240"/>
      <c r="C123" s="3240"/>
      <c r="D123" s="3246" t="str">
        <f ca="1">NUMBERSTRING(INT(D122*10000),2)&amp;"元整"</f>
        <v>陆亿叁仟肆佰壹拾万元整</v>
      </c>
      <c r="E123" s="3248"/>
      <c r="F123" s="3248"/>
      <c r="G123" s="3248"/>
      <c r="H123" s="3248"/>
      <c r="I123" s="3247"/>
      <c r="AA123" s="734"/>
    </row>
    <row r="124" spans="1:27" ht="18.75" customHeight="1">
      <c r="A124" s="3252" t="str">
        <f>IF(项目基本情况!B9="房地产市场价值","",MID(E109,3,LEN(E109)-2))</f>
        <v/>
      </c>
      <c r="B124" s="3252"/>
      <c r="C124" s="3252"/>
      <c r="D124" s="3241" t="str">
        <f>H109</f>
        <v>——</v>
      </c>
      <c r="E124" s="3242"/>
      <c r="F124" s="3242"/>
      <c r="G124" s="3242"/>
      <c r="H124" s="3242"/>
      <c r="I124" s="3243"/>
      <c r="AA124" s="734"/>
    </row>
    <row r="125" spans="1:27" ht="18.75" customHeight="1">
      <c r="A125" s="3240" t="s">
        <v>2139</v>
      </c>
      <c r="B125" s="3240"/>
      <c r="C125" s="3240"/>
      <c r="D125" s="3246" t="e">
        <f>NUMBERSTRING(INT(D124*10000),2)&amp;"元整"</f>
        <v>#VALUE!</v>
      </c>
      <c r="E125" s="3248"/>
      <c r="F125" s="3248"/>
      <c r="G125" s="3248"/>
      <c r="H125" s="3248"/>
      <c r="I125" s="3247"/>
      <c r="AA125" s="734"/>
    </row>
    <row r="126" spans="1:27" ht="18.75" customHeight="1">
      <c r="A126" s="3252" t="str">
        <f>IF(项目基本情况!B9="房地产市场价值","",MID(E111,3,LEN(E111)-2))</f>
        <v>抵押净值</v>
      </c>
      <c r="B126" s="3252"/>
      <c r="C126" s="3252"/>
      <c r="D126" s="3241">
        <f ca="1">H111</f>
        <v>54302</v>
      </c>
      <c r="E126" s="3242"/>
      <c r="F126" s="3242"/>
      <c r="G126" s="3242"/>
      <c r="H126" s="3242"/>
      <c r="I126" s="3243"/>
      <c r="AA126" s="734"/>
    </row>
    <row r="127" spans="1:27" ht="18.75" customHeight="1">
      <c r="A127" s="3240" t="s">
        <v>2139</v>
      </c>
      <c r="B127" s="3240"/>
      <c r="C127" s="3240"/>
      <c r="D127" s="3246" t="str">
        <f ca="1">NUMBERSTRING(INT(D126*10000),2)&amp;"元整"</f>
        <v>伍亿肆仟叁佰零贰万元整</v>
      </c>
      <c r="E127" s="3248"/>
      <c r="F127" s="3248"/>
      <c r="G127" s="3248"/>
      <c r="H127" s="3248"/>
      <c r="I127" s="3247"/>
      <c r="AA127" s="734"/>
    </row>
    <row r="128" spans="1:27" ht="21.75" customHeight="1">
      <c r="A128" s="3249" t="s">
        <v>2140</v>
      </c>
      <c r="B128" s="3249"/>
      <c r="C128" s="3249"/>
      <c r="D128" s="3249"/>
      <c r="E128" s="3249"/>
      <c r="F128" s="3249"/>
      <c r="G128" s="3249"/>
      <c r="H128" s="3249"/>
      <c r="I128" s="3249"/>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4" t="str">
        <f>项目基本情况!B1</f>
        <v>云南省昆明市官渡区官渡街道办事处出让国有建设用地使用权及在建建筑物房地产抵押价值预评估</v>
      </c>
      <c r="C37" s="3124"/>
      <c r="D37" s="3124"/>
      <c r="E37" s="3124"/>
      <c r="F37" s="3124"/>
      <c r="G37" s="3124"/>
      <c r="H37" s="3124"/>
      <c r="I37" s="3124"/>
    </row>
    <row r="38" spans="1:9">
      <c r="A38" s="953"/>
      <c r="B38" s="953"/>
    </row>
    <row r="39" spans="1:9">
      <c r="A39" s="951" t="s">
        <v>818</v>
      </c>
      <c r="B39" s="951" t="s">
        <v>820</v>
      </c>
    </row>
    <row r="40" spans="1:9">
      <c r="A40" s="951"/>
      <c r="B40" s="1661" t="str">
        <f>项目基本情况!B5</f>
        <v>云南俊贤旅游开发有限公司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O47" sqref="O4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31137</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15218</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7417</v>
      </c>
      <c r="D5" s="217" t="s">
        <v>2156</v>
      </c>
      <c r="E5" s="218" t="s">
        <v>2157</v>
      </c>
      <c r="F5" s="218" t="s">
        <v>2158</v>
      </c>
      <c r="G5" s="219"/>
    </row>
    <row r="6" spans="1:9" s="220" customFormat="1" ht="13.5" customHeight="1">
      <c r="A6" s="886" t="s">
        <v>2159</v>
      </c>
      <c r="B6" s="221" t="s">
        <v>2160</v>
      </c>
      <c r="C6" s="222">
        <f>'土地比较法-住宅、综合'!B2</f>
        <v>6880</v>
      </c>
      <c r="D6" s="223"/>
      <c r="E6" s="224"/>
      <c r="F6" s="224"/>
      <c r="G6" s="225"/>
    </row>
    <row r="7" spans="1:9" s="220" customFormat="1" ht="13.5" customHeight="1">
      <c r="A7" s="886" t="s">
        <v>2161</v>
      </c>
      <c r="B7" s="221" t="s">
        <v>2162</v>
      </c>
      <c r="C7" s="226">
        <f>ROUND(C6*F7,0)</f>
        <v>210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327</v>
      </c>
      <c r="D8" s="228"/>
      <c r="E8" s="226"/>
      <c r="F8" s="227"/>
      <c r="G8" s="2043" t="s">
        <v>3477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3478</v>
      </c>
      <c r="H9" s="1299"/>
      <c r="I9" s="2045" t="s">
        <v>2166</v>
      </c>
    </row>
    <row r="10" spans="1:9" s="220" customFormat="1" ht="13.5" customHeight="1">
      <c r="A10" s="887" t="s">
        <v>801</v>
      </c>
      <c r="B10" s="230" t="s">
        <v>2167</v>
      </c>
      <c r="C10" s="231">
        <f ca="1">ROUND(D10*E10/10000,0)</f>
        <v>327</v>
      </c>
      <c r="D10" s="954">
        <f ca="1">IF(B1="",'数据-汇总表'!E6,IF(INDIRECT("'数据-取费表'!c"&amp;$G$1)="住宅",INDIRECT("'数据-取费表'!s"&amp;$G$1),INDIRECT("'数据-取费表'!k"&amp;$G$1)+INDIRECT("'数据-取费表'!s"&amp;$G$1)))</f>
        <v>20460.700000000004</v>
      </c>
      <c r="E10" s="231">
        <f>'数据-取费表'!B28</f>
        <v>160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20460.700000000004</v>
      </c>
      <c r="E19" s="217">
        <f>'数据-取费表'!B31</f>
        <v>200</v>
      </c>
      <c r="F19" s="237"/>
      <c r="G19" s="2043" t="s">
        <v>3479</v>
      </c>
    </row>
    <row r="20" spans="1:7" s="220" customFormat="1" ht="13.5" customHeight="1">
      <c r="A20" s="261" t="s">
        <v>2180</v>
      </c>
      <c r="B20" s="216" t="s">
        <v>2181</v>
      </c>
      <c r="C20" s="238">
        <f>ROUND((C5+C19)*F20,0)</f>
        <v>148</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691</v>
      </c>
      <c r="D22" s="241">
        <f ca="1">C26</f>
        <v>8.9999999999999998E-4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684</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v>
      </c>
      <c r="D25" s="244"/>
      <c r="E25" s="247"/>
      <c r="F25" s="245"/>
      <c r="G25" s="248" t="s">
        <v>2197</v>
      </c>
    </row>
    <row r="26" spans="1:7" s="220" customFormat="1">
      <c r="A26" s="888" t="s">
        <v>795</v>
      </c>
      <c r="B26" s="221" t="s">
        <v>2198</v>
      </c>
      <c r="C26" s="244">
        <f ca="1">ROUND(IF('数据-取费表'!B22&lt;=1,F21*F22*'数据-取费表'!B23/2,F21*(POWER((1+F22),'数据-取费表'!B23/2)-1)),4)</f>
        <v>8.9999999999999998E-4</v>
      </c>
      <c r="D26" s="244"/>
      <c r="E26" s="247"/>
      <c r="F26" s="245"/>
      <c r="G26" s="249"/>
    </row>
    <row r="27" spans="1:7" s="220" customFormat="1" ht="24.75">
      <c r="A27" s="261" t="s">
        <v>2199</v>
      </c>
      <c r="B27" s="250" t="s">
        <v>2200</v>
      </c>
      <c r="C27" s="251">
        <f ca="1">C28</f>
        <v>1078</v>
      </c>
      <c r="D27" s="241">
        <f ca="1">C29</f>
        <v>2.8999999999999998E-3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1078</v>
      </c>
      <c r="D28" s="241"/>
      <c r="E28" s="242"/>
      <c r="F28" s="252"/>
      <c r="G28" s="253"/>
    </row>
    <row r="29" spans="1:7" s="220" customFormat="1" ht="13.5" customHeight="1">
      <c r="A29" s="888" t="s">
        <v>792</v>
      </c>
      <c r="B29" s="254" t="s">
        <v>2204</v>
      </c>
      <c r="C29" s="244">
        <f ca="1">ROUND(C21*F27*'数据-取费表'!B21/'数据-取费表'!B20,4)</f>
        <v>2.8999999999999998E-3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10114</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15916</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14579</v>
      </c>
      <c r="D34" s="223"/>
      <c r="E34" s="226"/>
      <c r="F34" s="263">
        <f ca="1">IF('数据-取费表'!B24=0,1,IF(B1="",'数据-取费表'!N16,INDIRECT("'数据-取费表'!n"&amp;$G$1)))</f>
        <v>0.95</v>
      </c>
      <c r="G34" s="225" t="s">
        <v>2213</v>
      </c>
    </row>
    <row r="35" spans="1:7" ht="13.5" customHeight="1">
      <c r="A35" s="888" t="s">
        <v>796</v>
      </c>
      <c r="B35" s="221" t="s">
        <v>2214</v>
      </c>
      <c r="C35" s="226">
        <f ca="1">ROUND(C34*F35,0)</f>
        <v>729</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389</v>
      </c>
      <c r="D37" s="223">
        <f ca="1">D19</f>
        <v>20460.700000000004</v>
      </c>
      <c r="E37" s="255">
        <f>'数据-取费表'!B35</f>
        <v>200</v>
      </c>
      <c r="F37" s="265"/>
      <c r="G37" s="267" t="s">
        <v>2219</v>
      </c>
    </row>
    <row r="38" spans="1:7" ht="13.5" customHeight="1">
      <c r="A38" s="888" t="s">
        <v>799</v>
      </c>
      <c r="B38" s="221" t="s">
        <v>2220</v>
      </c>
      <c r="C38" s="226">
        <f ca="1">ROUND(C34*F38,0)</f>
        <v>219</v>
      </c>
      <c r="D38" s="226"/>
      <c r="E38" s="226"/>
      <c r="F38" s="265">
        <f>'数据-取费表'!B36</f>
        <v>1.4999999999999999E-2</v>
      </c>
      <c r="G38" s="225" t="s">
        <v>2215</v>
      </c>
    </row>
    <row r="39" spans="1:7" s="220" customFormat="1" ht="13.5" customHeight="1">
      <c r="A39" s="261" t="s">
        <v>2221</v>
      </c>
      <c r="B39" s="216" t="s">
        <v>2222</v>
      </c>
      <c r="C39" s="238">
        <f ca="1">ROUND(C33*F20,0)</f>
        <v>318</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731</v>
      </c>
      <c r="D41" s="241">
        <f ca="1">C44</f>
        <v>8.9999999999999998E-4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717</v>
      </c>
      <c r="D42" s="244"/>
      <c r="E42" s="244"/>
      <c r="F42" s="245"/>
      <c r="G42" s="3322" t="s">
        <v>2231</v>
      </c>
    </row>
    <row r="43" spans="1:7" ht="13.5" customHeight="1">
      <c r="A43" s="888" t="s">
        <v>792</v>
      </c>
      <c r="B43" s="221" t="s">
        <v>2232</v>
      </c>
      <c r="C43" s="244">
        <f ca="1">ROUND(IF('数据-取费表'!B22&lt;=1,C39*F22*'数据-取费表'!B21/2,C39*(POWER((1+F22),'数据-取费表'!B21/2)-1)),0)</f>
        <v>14</v>
      </c>
      <c r="D43" s="244"/>
      <c r="E43" s="244"/>
      <c r="F43" s="245"/>
      <c r="G43" s="3323"/>
    </row>
    <row r="44" spans="1:7" ht="13.5" customHeight="1">
      <c r="A44" s="888" t="s">
        <v>793</v>
      </c>
      <c r="B44" s="221" t="s">
        <v>2233</v>
      </c>
      <c r="C44" s="244">
        <f ca="1">ROUND(IF('数据-取费表'!B22&lt;=1,C40*F22*'数据-取费表'!B21/2,C40*(POWER((1+F22),'数据-取费表'!B21/2)-1)),4)</f>
        <v>8.9999999999999998E-4</v>
      </c>
      <c r="D44" s="244"/>
      <c r="E44" s="244"/>
      <c r="F44" s="245"/>
      <c r="G44" s="3324"/>
    </row>
    <row r="45" spans="1:7" s="220" customFormat="1" ht="13.5" customHeight="1">
      <c r="A45" s="261" t="s">
        <v>2234</v>
      </c>
      <c r="B45" s="250" t="s">
        <v>2200</v>
      </c>
      <c r="C45" s="251">
        <f ca="1">C46</f>
        <v>2435</v>
      </c>
      <c r="D45" s="241">
        <f ca="1">C47</f>
        <v>3.0000000000000001E-3</v>
      </c>
      <c r="E45" s="242" t="s">
        <v>2226</v>
      </c>
      <c r="F45" s="2537">
        <f ca="1">F27</f>
        <v>0.15</v>
      </c>
      <c r="G45" s="253" t="s">
        <v>2235</v>
      </c>
    </row>
    <row r="46" spans="1:7" s="220" customFormat="1" ht="13.5" customHeight="1">
      <c r="A46" s="888" t="s">
        <v>791</v>
      </c>
      <c r="B46" s="254" t="s">
        <v>2236</v>
      </c>
      <c r="C46" s="255">
        <f ca="1">ROUND((C33+C39)*F27,0)</f>
        <v>2435</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21023</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21023</v>
      </c>
      <c r="D51" s="238"/>
      <c r="E51" s="238"/>
      <c r="F51" s="270"/>
      <c r="G51" s="240" t="s">
        <v>2247</v>
      </c>
    </row>
    <row r="52" spans="1:7" s="214" customFormat="1" ht="16.5" thickBot="1">
      <c r="A52" s="271" t="s">
        <v>2248</v>
      </c>
      <c r="B52" s="272"/>
      <c r="C52" s="273">
        <f ca="1">C31+C51</f>
        <v>31137</v>
      </c>
      <c r="D52" s="272"/>
      <c r="E52" s="272"/>
      <c r="F52" s="272"/>
      <c r="G52" s="274"/>
    </row>
    <row r="55" spans="1:7" ht="15">
      <c r="B55" s="276" t="s">
        <v>2249</v>
      </c>
      <c r="C55" s="277"/>
    </row>
    <row r="56" spans="1:7">
      <c r="B56" s="279" t="s">
        <v>1478</v>
      </c>
      <c r="C56" s="281">
        <f ca="1">1-C57</f>
        <v>0.32499999999999996</v>
      </c>
    </row>
    <row r="57" spans="1:7">
      <c r="B57" s="279" t="s">
        <v>1479</v>
      </c>
      <c r="C57" s="280">
        <f ca="1">ROUND(C51/C52,3)</f>
        <v>0.67500000000000004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23191</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11334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3273712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3273712</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3273712</v>
      </c>
      <c r="D10" s="954">
        <f ca="1">IF(B1="",'数据-汇总表'!E6,IF(INDIRECT("'数据-取费表'!c"&amp;$G$1)="住宅",INDIRECT("'数据-取费表'!s"&amp;$G$1),INDIRECT("'数据-取费表'!k"&amp;$G$1)+INDIRECT("'数据-取费表'!s"&amp;$G$1)))</f>
        <v>20460.700000000004</v>
      </c>
      <c r="E10" s="231">
        <f>'数据-取费表'!B28</f>
        <v>160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4092140</v>
      </c>
      <c r="D19" s="958">
        <f ca="1">D9+D10</f>
        <v>20460.700000000004</v>
      </c>
      <c r="E19" s="217">
        <f>'数据-取费表'!B31</f>
        <v>200</v>
      </c>
      <c r="F19" s="237"/>
      <c r="G19" s="2043"/>
    </row>
    <row r="20" spans="1:7" s="220" customFormat="1" ht="13.5" customHeight="1">
      <c r="A20" s="261" t="s">
        <v>2261</v>
      </c>
      <c r="B20" s="216" t="s">
        <v>2262</v>
      </c>
      <c r="C20" s="238">
        <f ca="1">ROUND((C5+C19)*F20,0)</f>
        <v>147317</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723373</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318389</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397986</v>
      </c>
      <c r="D24" s="244"/>
      <c r="E24" s="244"/>
      <c r="F24" s="245"/>
      <c r="G24" s="246" t="s">
        <v>2273</v>
      </c>
    </row>
    <row r="25" spans="1:7" s="220" customFormat="1" ht="24">
      <c r="A25" s="888" t="s">
        <v>2163</v>
      </c>
      <c r="B25" s="221" t="s">
        <v>2274</v>
      </c>
      <c r="C25" s="1290">
        <f ca="1">ROUND(IF('数据-取费表'!B22&lt;=1,C20*F22*'数据-取费表'!B22/2,C20*(POWER((1+F22),'数据-取费表'!B22/2)-1)),0)</f>
        <v>6998</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1126975</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1126975</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10147954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167521982</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153455250</v>
      </c>
      <c r="D34" s="223"/>
      <c r="E34" s="226"/>
      <c r="F34" s="263"/>
      <c r="G34" s="225"/>
    </row>
    <row r="35" spans="1:7" ht="13.5" customHeight="1">
      <c r="A35" s="888" t="s">
        <v>796</v>
      </c>
      <c r="B35" s="221" t="s">
        <v>2214</v>
      </c>
      <c r="C35" s="226">
        <f ca="1">ROUND(C34*F35,0)</f>
        <v>7672763</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4092140</v>
      </c>
      <c r="D37" s="223">
        <f ca="1">D19</f>
        <v>20460.700000000004</v>
      </c>
      <c r="E37" s="255">
        <f>'数据-取费表'!B35</f>
        <v>200</v>
      </c>
      <c r="F37" s="265"/>
      <c r="G37" s="267"/>
    </row>
    <row r="38" spans="1:7" ht="13.5" customHeight="1">
      <c r="A38" s="888" t="s">
        <v>799</v>
      </c>
      <c r="B38" s="221" t="s">
        <v>2220</v>
      </c>
      <c r="C38" s="226">
        <f ca="1">ROUND(C34*F38,0)</f>
        <v>2301829</v>
      </c>
      <c r="D38" s="226"/>
      <c r="E38" s="226"/>
      <c r="F38" s="265">
        <f>'数据-取费表'!B36</f>
        <v>1.4999999999999999E-2</v>
      </c>
      <c r="G38" s="225" t="s">
        <v>2215</v>
      </c>
    </row>
    <row r="39" spans="1:7" s="220" customFormat="1" ht="13.5" customHeight="1">
      <c r="A39" s="261" t="s">
        <v>2221</v>
      </c>
      <c r="B39" s="216" t="s">
        <v>2222</v>
      </c>
      <c r="C39" s="238">
        <f ca="1">ROUND(C33*F20,0)</f>
        <v>3350440</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8116440</v>
      </c>
      <c r="D41" s="241">
        <f ca="1">C44</f>
        <v>1E-3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7957294</v>
      </c>
      <c r="D42" s="244"/>
      <c r="E42" s="244"/>
      <c r="F42" s="245"/>
      <c r="G42" s="3322" t="s">
        <v>2278</v>
      </c>
    </row>
    <row r="43" spans="1:7" ht="13.5" customHeight="1">
      <c r="A43" s="888" t="s">
        <v>792</v>
      </c>
      <c r="B43" s="221" t="s">
        <v>2232</v>
      </c>
      <c r="C43" s="244">
        <f ca="1">ROUND(IF('数据-取费表'!B22&lt;=1,C39*F22*'数据-取费表'!B20/2,C39*(POWER((1+F22),'数据-取费表'!B20/2)-1)),0)</f>
        <v>159146</v>
      </c>
      <c r="D43" s="244"/>
      <c r="E43" s="244"/>
      <c r="F43" s="245"/>
      <c r="G43" s="3323"/>
    </row>
    <row r="44" spans="1:7" ht="13.5" customHeight="1">
      <c r="A44" s="888" t="s">
        <v>793</v>
      </c>
      <c r="B44" s="221" t="s">
        <v>2233</v>
      </c>
      <c r="C44" s="244">
        <f ca="1">ROUND(IF('数据-取费表'!B22&lt;=1,C40*F22*'数据-取费表'!B20/2,C40*(POWER((1+F22),'数据-取费表'!B20/2)-1)),4)</f>
        <v>1E-3</v>
      </c>
      <c r="D44" s="244"/>
      <c r="E44" s="244"/>
      <c r="F44" s="245"/>
      <c r="G44" s="3324"/>
    </row>
    <row r="45" spans="1:7" s="220" customFormat="1" ht="13.5" customHeight="1">
      <c r="A45" s="261" t="s">
        <v>2234</v>
      </c>
      <c r="B45" s="250" t="s">
        <v>2200</v>
      </c>
      <c r="C45" s="251">
        <f ca="1">C46</f>
        <v>25630863</v>
      </c>
      <c r="D45" s="241">
        <f ca="1">C47</f>
        <v>3.0000000000000001E-3</v>
      </c>
      <c r="E45" s="242" t="s">
        <v>2226</v>
      </c>
      <c r="F45" s="2537">
        <f ca="1">F27</f>
        <v>0.15</v>
      </c>
      <c r="G45" s="253" t="s">
        <v>2235</v>
      </c>
    </row>
    <row r="46" spans="1:7" s="220" customFormat="1" ht="13.5" customHeight="1">
      <c r="A46" s="888" t="s">
        <v>791</v>
      </c>
      <c r="B46" s="254" t="s">
        <v>2236</v>
      </c>
      <c r="C46" s="255">
        <f ca="1">ROUND((C33+C39)*F27,0)</f>
        <v>25630863</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221761922</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221761922</v>
      </c>
      <c r="D51" s="238"/>
      <c r="E51" s="238"/>
      <c r="F51" s="270"/>
      <c r="G51" s="240" t="s">
        <v>2247</v>
      </c>
    </row>
    <row r="52" spans="1:7" s="214" customFormat="1" ht="16.5" thickBot="1">
      <c r="A52" s="271" t="s">
        <v>2248</v>
      </c>
      <c r="B52" s="272"/>
      <c r="C52" s="273">
        <f ca="1">C31+C51</f>
        <v>231909876</v>
      </c>
      <c r="D52" s="272"/>
      <c r="E52" s="272"/>
      <c r="F52" s="272"/>
      <c r="G52" s="274"/>
    </row>
    <row r="55" spans="1:7" ht="15">
      <c r="B55" s="276" t="s">
        <v>2249</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8" sqref="C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4"/>
      <c r="F1" s="3034"/>
      <c r="G1" s="2897"/>
      <c r="H1" s="3034"/>
      <c r="I1" s="3034"/>
      <c r="J1" s="3034"/>
      <c r="K1" s="3035">
        <f>MATCH(C1,'数据-取费表'!A6:A16,0)+5</f>
        <v>8</v>
      </c>
    </row>
    <row r="2" spans="1:33" ht="18" customHeight="1">
      <c r="A2" s="207" t="s">
        <v>2149</v>
      </c>
      <c r="B2" s="210">
        <f ca="1">C32</f>
        <v>77241</v>
      </c>
      <c r="C2" s="282" t="s">
        <v>2282</v>
      </c>
      <c r="D2" s="282"/>
      <c r="E2" s="3034"/>
      <c r="F2" s="3034"/>
      <c r="G2" s="3034"/>
      <c r="H2" s="3034"/>
      <c r="I2" s="3034"/>
      <c r="J2" s="3034"/>
      <c r="K2" s="3034"/>
    </row>
    <row r="3" spans="1:33" ht="18" customHeight="1" thickBot="1">
      <c r="A3" s="209" t="s">
        <v>2151</v>
      </c>
      <c r="B3" s="210">
        <f ca="1">ROUND(B2*10000/IF(C1="",'数据-汇总表'!E3,INDIRECT("'数据-取费表'!K"&amp;$K$1)),0)</f>
        <v>37751</v>
      </c>
      <c r="C3" s="282" t="s">
        <v>2283</v>
      </c>
      <c r="D3" s="282"/>
      <c r="E3" s="3034"/>
      <c r="F3" s="3034"/>
      <c r="G3" s="3034"/>
      <c r="H3" s="3034"/>
      <c r="I3" s="3034"/>
      <c r="J3" s="3034"/>
      <c r="K3" s="3034"/>
    </row>
    <row r="4" spans="1:33" s="893" customFormat="1" ht="16.5" customHeight="1">
      <c r="A4" s="890" t="s">
        <v>2284</v>
      </c>
      <c r="B4" s="891"/>
      <c r="C4" s="933">
        <f>SUM(C8:K8)</f>
        <v>86122</v>
      </c>
      <c r="D4" s="891"/>
      <c r="E4" s="891"/>
      <c r="F4" s="891"/>
      <c r="G4" s="891"/>
      <c r="H4" s="891"/>
      <c r="I4" s="891"/>
      <c r="J4" s="891"/>
      <c r="K4" s="892"/>
    </row>
    <row r="5" spans="1:33" s="897" customFormat="1" ht="15">
      <c r="A5" s="894" t="s">
        <v>2285</v>
      </c>
      <c r="B5" s="895" t="s">
        <v>2286</v>
      </c>
      <c r="C5" s="2047" t="s">
        <v>3503</v>
      </c>
      <c r="D5" s="2047" t="s">
        <v>48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典型户型修正!R22</f>
        <v>59254</v>
      </c>
      <c r="D6" s="899">
        <f>'比较法-车位'!B3</f>
        <v>2929</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14226.250000000004</v>
      </c>
      <c r="D7" s="283">
        <f>SUMIF('数据-汇总表'!$C19:$C33,假设开发法!D5,'数据-汇总表'!$E19:$E33)</f>
        <v>6234.45</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典型户型修正!S22</f>
        <v>84296</v>
      </c>
      <c r="D8" s="934">
        <f>'比较法-车位'!B2</f>
        <v>1826</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767</v>
      </c>
      <c r="D11" s="910"/>
      <c r="E11" s="335"/>
      <c r="F11" s="911">
        <f ca="1">1-IF('数据-取费表'!B24=0,1,IF(C1="",'数据-取费表'!N16,INDIRECT("'数据-取费表'!n"&amp;$K$1)))</f>
        <v>5.0000000000000044E-2</v>
      </c>
      <c r="G11" s="8"/>
      <c r="H11" s="905"/>
      <c r="I11" s="905"/>
      <c r="J11" s="905"/>
      <c r="K11" s="906"/>
    </row>
    <row r="12" spans="1:33" s="912" customFormat="1" ht="13.5" customHeight="1">
      <c r="A12" s="908" t="s">
        <v>1301</v>
      </c>
      <c r="B12" s="909" t="s">
        <v>2300</v>
      </c>
      <c r="C12" s="24">
        <f ca="1">ROUND(C11*F12,0)</f>
        <v>38</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20</v>
      </c>
      <c r="D14" s="955">
        <f ca="1">IF(C1="",'数据-汇总表'!E3,INDIRECT("'数据-取费表'!K"&amp;$K$1)+INDIRECT("'数据-取费表'!S"&amp;$K$1))</f>
        <v>20460.700000000004</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12</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837</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20460.700000000004</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t="s">
        <v>3480</v>
      </c>
      <c r="H18" s="1349">
        <f>'数据-取费表'!B29</f>
        <v>327</v>
      </c>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327</v>
      </c>
      <c r="D20" s="955">
        <f ca="1">IF(C1="",'数据-汇总表'!E6,IF(INDIRECT("'数据-取费表'!c"&amp;$K$1)="住宅",INDIRECT("'数据-取费表'!s"&amp;$K$1),INDIRECT("'数据-取费表'!k"&amp;$K$1)+INDIRECT("'数据-取费表'!s"&amp;$K$1)))</f>
        <v>20460.700000000004</v>
      </c>
      <c r="E20" s="24">
        <f>'数据-取费表'!B28</f>
        <v>160</v>
      </c>
      <c r="F20" s="913"/>
      <c r="G20" s="15"/>
      <c r="H20" s="918"/>
      <c r="I20" s="918"/>
      <c r="J20" s="918"/>
      <c r="K20" s="919"/>
    </row>
    <row r="21" spans="1:33" s="912" customFormat="1" ht="13.5" customHeight="1">
      <c r="A21" s="898" t="s">
        <v>802</v>
      </c>
      <c r="B21" s="922" t="s">
        <v>2315</v>
      </c>
      <c r="C21" s="923">
        <f ca="1">C16+C17+C18</f>
        <v>837</v>
      </c>
      <c r="D21" s="924"/>
      <c r="E21" s="287"/>
      <c r="F21" s="287"/>
      <c r="G21" s="136" t="s">
        <v>2316</v>
      </c>
      <c r="H21" s="916"/>
      <c r="I21" s="916"/>
      <c r="J21" s="916"/>
      <c r="K21" s="917"/>
    </row>
    <row r="22" spans="1:33" s="912" customFormat="1" ht="13.5" customHeight="1">
      <c r="A22" s="898" t="s">
        <v>2288</v>
      </c>
      <c r="B22" s="922" t="s">
        <v>2317</v>
      </c>
      <c r="C22" s="923">
        <f ca="1">ROUND(C21*F22,0)</f>
        <v>17</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86</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2</v>
      </c>
      <c r="D25" s="286">
        <f ca="1">C26</f>
        <v>4.7999999999999996E-3</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4.7999999999999996E-3</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141</v>
      </c>
      <c r="D28" s="286">
        <f ca="1">C29</f>
        <v>7.7000000000000002E-3</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7.7000000000000002E-3</v>
      </c>
      <c r="D29" s="290"/>
      <c r="E29" s="291"/>
      <c r="F29" s="296"/>
      <c r="G29" s="136" t="s">
        <v>2331</v>
      </c>
      <c r="H29" s="916"/>
      <c r="I29" s="916"/>
      <c r="J29" s="916"/>
      <c r="K29" s="917"/>
    </row>
    <row r="30" spans="1:33" s="297" customFormat="1" ht="13.5" customHeight="1">
      <c r="A30" s="908" t="s">
        <v>804</v>
      </c>
      <c r="B30" s="931" t="s">
        <v>2332</v>
      </c>
      <c r="C30" s="298">
        <f ca="1">ROUND((C21+C22+C23)*F28,0)</f>
        <v>141</v>
      </c>
      <c r="D30" s="290"/>
      <c r="E30" s="291"/>
      <c r="F30" s="296"/>
      <c r="G30" s="136"/>
      <c r="H30" s="916"/>
      <c r="I30" s="916"/>
      <c r="J30" s="916"/>
      <c r="K30" s="917"/>
    </row>
    <row r="31" spans="1:33" s="912" customFormat="1" ht="13.5" customHeight="1" thickBot="1">
      <c r="A31" s="2053" t="s">
        <v>2333</v>
      </c>
      <c r="B31" s="942" t="s">
        <v>2334</v>
      </c>
      <c r="C31" s="943">
        <f>ROUND(C4*F31/(1+'数据-取费表'!C42),0)</f>
        <v>4593</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77241</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31" sqref="C31: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3155</v>
      </c>
      <c r="D1" s="1548" t="s">
        <v>3473</v>
      </c>
      <c r="E1" s="1549" t="s">
        <v>1352</v>
      </c>
      <c r="F1" s="1193" t="e">
        <f ca="1">J53</f>
        <v>#N/A</v>
      </c>
      <c r="G1" s="1564"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2"/>
      <c r="H2" s="2921"/>
      <c r="I2" s="2921"/>
      <c r="J2" s="2921"/>
      <c r="K2" s="2922"/>
      <c r="L2" s="2921"/>
      <c r="M2" s="2921"/>
    </row>
    <row r="3" spans="1:37" ht="18" customHeight="1" thickBot="1">
      <c r="A3" s="1576" t="s">
        <v>1482</v>
      </c>
      <c r="B3" s="1577">
        <f ca="1">IF(ISERROR(B2*10000/F43),0,ROUND(B2*10000/F43,0))</f>
        <v>0</v>
      </c>
      <c r="C3" s="1573" t="s">
        <v>1483</v>
      </c>
      <c r="D3" s="1573"/>
      <c r="E3" s="1574"/>
      <c r="F3" s="1575"/>
      <c r="G3" s="2932"/>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327" t="s">
        <v>1368</v>
      </c>
      <c r="C6" s="1206" t="e">
        <f ca="1">ROUND(F6*F8*F7*(1-F9)/10000,0)</f>
        <v>#N/A</v>
      </c>
      <c r="D6" s="160" t="s">
        <v>2843</v>
      </c>
      <c r="E6" s="308" t="s">
        <v>1370</v>
      </c>
      <c r="F6" s="309" t="e">
        <f ca="1">INDIRECT("'数据-取费表'!u"&amp;$G$1)</f>
        <v>#N/A</v>
      </c>
      <c r="G6" s="1570"/>
      <c r="H6" s="1201" t="s">
        <v>1003</v>
      </c>
      <c r="I6" s="3327" t="s">
        <v>1368</v>
      </c>
      <c r="J6" s="307" t="e">
        <f ca="1">ROUND(M6*M8*M7*(1-M9)/10000,0)</f>
        <v>#N/A</v>
      </c>
      <c r="K6" s="160" t="s">
        <v>2842</v>
      </c>
      <c r="L6" s="308" t="s">
        <v>1370</v>
      </c>
      <c r="M6" s="309" t="e">
        <f ca="1">INDIRECT("'数据-取费表'!z"&amp;$G$1)</f>
        <v>#N/A</v>
      </c>
    </row>
    <row r="7" spans="1:37" ht="18" customHeight="1">
      <c r="A7" s="1205"/>
      <c r="B7" s="3328"/>
      <c r="C7" s="1207"/>
      <c r="D7" s="313"/>
      <c r="E7" s="1208" t="s">
        <v>1371</v>
      </c>
      <c r="F7" s="309" t="e">
        <f ca="1">IF(INDIRECT("'数据-取费表'!ah"&amp;$G$1)="",INDIRECT("'数据-取费表'!k"&amp;$G$1),INDIRECT("'数据-取费表'!ah"&amp;$G$1))</f>
        <v>#N/A</v>
      </c>
      <c r="G7" s="1570"/>
      <c r="H7" s="310"/>
      <c r="I7" s="3328"/>
      <c r="J7" s="312"/>
      <c r="K7" s="313"/>
      <c r="L7" s="308" t="s">
        <v>1371</v>
      </c>
      <c r="M7" s="309" t="e">
        <f ca="1">F7</f>
        <v>#N/A</v>
      </c>
    </row>
    <row r="8" spans="1:37" ht="18" customHeight="1">
      <c r="A8" s="310"/>
      <c r="B8" s="3328"/>
      <c r="C8" s="312"/>
      <c r="D8" s="313"/>
      <c r="E8" s="308" t="s">
        <v>1372</v>
      </c>
      <c r="F8" s="309" t="e">
        <f ca="1">INDIRECT("'数据-取费表'!ai"&amp;$G$1)</f>
        <v>#N/A</v>
      </c>
      <c r="G8" s="1570"/>
      <c r="H8" s="310"/>
      <c r="I8" s="3328"/>
      <c r="J8" s="312"/>
      <c r="K8" s="313"/>
      <c r="L8" s="308" t="s">
        <v>1372</v>
      </c>
      <c r="M8" s="309" t="e">
        <f ca="1">INDIRECT("'数据-取费表'!ai"&amp;$G$1)</f>
        <v>#N/A</v>
      </c>
    </row>
    <row r="9" spans="1:37" ht="18" customHeight="1">
      <c r="A9" s="310"/>
      <c r="B9" s="3329"/>
      <c r="C9" s="312"/>
      <c r="D9" s="313"/>
      <c r="E9" s="308" t="s">
        <v>1373</v>
      </c>
      <c r="F9" s="318" t="e">
        <f ca="1">INDIRECT("'数据-取费表'!w"&amp;$G$1)</f>
        <v>#N/A</v>
      </c>
      <c r="G9" s="1570"/>
      <c r="H9" s="310"/>
      <c r="I9" s="3329"/>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2851</v>
      </c>
      <c r="E10" s="319" t="s">
        <v>1375</v>
      </c>
      <c r="F10" s="1276" t="s">
        <v>3474</v>
      </c>
      <c r="G10" s="1570"/>
      <c r="H10" s="1201" t="s">
        <v>1007</v>
      </c>
      <c r="I10" s="1551" t="s">
        <v>1374</v>
      </c>
      <c r="J10" s="307" t="e">
        <f ca="1">ROUND(IF(M10="押一",J6/12*M11,IF(M10="押二",J6/12*2*M11,IF(M10="押三",J6/12*3*M11,J11*M11))),0)</f>
        <v>#N/A</v>
      </c>
      <c r="K10" s="1552" t="s">
        <v>2850</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1531" t="s">
        <v>1383</v>
      </c>
      <c r="E14" s="1528"/>
      <c r="F14" s="325"/>
      <c r="G14" s="1570"/>
      <c r="H14" s="1113" t="s">
        <v>1003</v>
      </c>
      <c r="I14" s="308" t="s">
        <v>1384</v>
      </c>
      <c r="J14" s="24" t="e">
        <f ca="1">C29</f>
        <v>#N/A</v>
      </c>
      <c r="K14" s="15"/>
      <c r="L14" s="916"/>
      <c r="M14" s="917"/>
    </row>
    <row r="15" spans="1:37" s="1583" customFormat="1" ht="18" customHeight="1" thickBot="1">
      <c r="A15" s="1113" t="s">
        <v>1004</v>
      </c>
      <c r="B15" s="308" t="s">
        <v>1385</v>
      </c>
      <c r="C15" s="24" t="e">
        <f ca="1">ROUND(C14*F15,0)</f>
        <v>#N/A</v>
      </c>
      <c r="D15" s="326" t="s">
        <v>1386</v>
      </c>
      <c r="E15" s="326" t="s">
        <v>1387</v>
      </c>
      <c r="F15" s="327">
        <f>'数据-取费表'!B33</f>
        <v>0.05</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1248"/>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4" t="e">
        <f ca="1">ROUND(IF(AND(项目基本情况!B11="自然人",项目基本情况!B10="北京市"),J6*M17/(1+'数据-取费表'!C42),J18+J19+J20),0)</f>
        <v>#N/A</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1546"/>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t="e">
        <f ca="1">ROUND(J14*M22,1)</f>
        <v>#N/A</v>
      </c>
      <c r="K22" s="1530"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t="e">
        <f ca="1">ROUND(J13*M23,1)</f>
        <v>#N/A</v>
      </c>
      <c r="K23" s="1530" t="s">
        <v>1419</v>
      </c>
      <c r="L23" s="308" t="s">
        <v>1420</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t="e">
        <f ca="1">ROUND(J5*M24,1)</f>
        <v>#N/A</v>
      </c>
      <c r="K24" s="1252" t="s">
        <v>1424</v>
      </c>
      <c r="L24" s="1250" t="s">
        <v>1420</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1248"/>
      <c r="F30" s="1204"/>
      <c r="G30" s="1570"/>
      <c r="H30" s="2923"/>
      <c r="I30" s="1584"/>
      <c r="J30" s="1585"/>
      <c r="K30" s="2699"/>
      <c r="L30" s="2924"/>
      <c r="M30" s="2925"/>
    </row>
    <row r="31" spans="1:37" ht="18" customHeight="1">
      <c r="A31" s="1113" t="s">
        <v>1003</v>
      </c>
      <c r="B31" s="308" t="s">
        <v>1394</v>
      </c>
      <c r="C31" s="2534" t="e">
        <f ca="1">ROUND(IF(AND(项目基本情况!B11="自然人",项目基本情况!B10="北京市"),C6*F31/(1+'数据-取费表'!C42),C32+C33+C34),0)</f>
        <v>#N/A</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t="e">
        <f ca="1">IF(项目基本情况!B11="自然人","——",ROUND(C6*F32/(1+'数据-取费表'!C42),2))</f>
        <v>#N/A</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t="e">
        <f ca="1">INDIRECT("'数据-取费表'!r"&amp;$G$1)</f>
        <v>#N/A</v>
      </c>
      <c r="G35" s="1570"/>
      <c r="H35" s="2923"/>
      <c r="I35" s="1584"/>
      <c r="J35" s="1585"/>
      <c r="K35" s="2927"/>
      <c r="L35" s="2926"/>
      <c r="M35" s="2926"/>
    </row>
    <row r="36" spans="1:18" ht="18" customHeight="1">
      <c r="A36" s="1262" t="s">
        <v>1007</v>
      </c>
      <c r="B36" s="308" t="s">
        <v>1414</v>
      </c>
      <c r="C36" s="24" t="e">
        <f ca="1">ROUND(C29*F36,1)</f>
        <v>#N/A</v>
      </c>
      <c r="D36" s="1530" t="s">
        <v>1447</v>
      </c>
      <c r="E36" s="308" t="s">
        <v>1387</v>
      </c>
      <c r="F36" s="334" t="e">
        <f ca="1">INDIRECT("'数据-取费表'!Ak"&amp;$G$1)</f>
        <v>#N/A</v>
      </c>
      <c r="G36" s="1570"/>
      <c r="H36" s="2926"/>
      <c r="I36" s="1584"/>
      <c r="J36" s="1585"/>
      <c r="K36" s="2768"/>
      <c r="L36" s="2926"/>
      <c r="M36" s="2926"/>
    </row>
    <row r="37" spans="1:18" ht="18" customHeight="1">
      <c r="A37" s="1113" t="s">
        <v>1043</v>
      </c>
      <c r="B37" s="308" t="s">
        <v>1418</v>
      </c>
      <c r="C37" s="24" t="e">
        <f ca="1">ROUND(C13*F37,1)</f>
        <v>#N/A</v>
      </c>
      <c r="D37" s="1530" t="s">
        <v>1419</v>
      </c>
      <c r="E37" s="308" t="s">
        <v>1420</v>
      </c>
      <c r="F37" s="336" t="e">
        <f ca="1">INDIRECT("'数据-取费表'!Al"&amp;$G$1)</f>
        <v>#N/A</v>
      </c>
      <c r="G37" s="1570"/>
      <c r="H37" s="2926"/>
      <c r="I37" s="1584"/>
      <c r="J37" s="1585"/>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70"/>
      <c r="H38" s="2926"/>
      <c r="I38" s="1584"/>
      <c r="J38" s="1585"/>
      <c r="K38" s="2930"/>
      <c r="L38" s="2926"/>
      <c r="M38" s="2926"/>
    </row>
    <row r="39" spans="1:18" ht="24.6" customHeight="1" thickTop="1">
      <c r="A39" s="1239" t="s">
        <v>999</v>
      </c>
      <c r="B39" s="1254" t="s">
        <v>1448</v>
      </c>
      <c r="C39" s="316" t="e">
        <f ca="1">C5-C30</f>
        <v>#N/A</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0"/>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68"/>
      <c r="L41" s="1353"/>
      <c r="M41" s="1353"/>
    </row>
    <row r="42" spans="1:18" ht="18" customHeight="1">
      <c r="A42" s="314"/>
      <c r="B42" s="315"/>
      <c r="C42" s="316"/>
      <c r="D42" s="333"/>
      <c r="E42" s="308" t="s">
        <v>1442</v>
      </c>
      <c r="F42" s="318" t="e">
        <f ca="1">INDIRECT("'数据-取费表'!v"&amp;$G$1)</f>
        <v>#N/A</v>
      </c>
      <c r="G42" s="1570"/>
      <c r="H42" s="1353"/>
      <c r="I42" s="1584"/>
      <c r="J42" s="1585"/>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1" t="s">
        <v>1484</v>
      </c>
      <c r="P45" s="1647"/>
      <c r="Q45" s="1647"/>
      <c r="R45" s="1647"/>
    </row>
    <row r="46" spans="1:18" s="1570" customFormat="1" ht="13.5"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3475</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28.5" thickBot="1">
      <c r="A48" s="1270" t="s">
        <v>1103</v>
      </c>
      <c r="B48" s="306" t="s">
        <v>1366</v>
      </c>
      <c r="C48" s="1545" t="e">
        <f ca="1">C49+C53+C55</f>
        <v>#N/A</v>
      </c>
      <c r="D48" s="1272"/>
      <c r="E48" s="1273"/>
      <c r="F48" s="1093"/>
      <c r="G48" s="731"/>
      <c r="H48" s="732"/>
      <c r="I48" s="1607" t="s">
        <v>1495</v>
      </c>
      <c r="J48" s="1608" t="s">
        <v>3476</v>
      </c>
      <c r="K48" s="1609" t="s">
        <v>1496</v>
      </c>
      <c r="L48" s="1610" t="e">
        <f ca="1">INDIRECT("'数据-取费表'!f"&amp;$G$1)</f>
        <v>#N/A</v>
      </c>
      <c r="O48" s="1604" t="s">
        <v>1009</v>
      </c>
      <c r="P48" s="1605" t="s">
        <v>1497</v>
      </c>
      <c r="Q48" s="1606" t="e">
        <f ca="1">J60</f>
        <v>#N/A</v>
      </c>
      <c r="R48" s="1606" t="s">
        <v>1498</v>
      </c>
    </row>
    <row r="49" spans="1:18" s="1570" customFormat="1" ht="13.5" thickBot="1">
      <c r="A49" s="1106" t="s">
        <v>1104</v>
      </c>
      <c r="B49" s="1557" t="s">
        <v>1455</v>
      </c>
      <c r="C49" s="1274" t="e">
        <f ca="1">ROUND(F49*F51*F50*(1-F52)/10000,0)</f>
        <v>#N/A</v>
      </c>
      <c r="D49" s="1186" t="s">
        <v>2844</v>
      </c>
      <c r="E49" s="1558" t="s">
        <v>1456</v>
      </c>
      <c r="F49" s="1191"/>
      <c r="G49" s="1611"/>
      <c r="H49" s="732"/>
      <c r="I49" s="1607" t="s">
        <v>1499</v>
      </c>
      <c r="J49" s="1612">
        <v>2021</v>
      </c>
      <c r="K49" s="1609" t="s">
        <v>1500</v>
      </c>
      <c r="L49" s="1613"/>
      <c r="O49" s="1614" t="s">
        <v>1010</v>
      </c>
      <c r="P49" s="1605" t="s">
        <v>1501</v>
      </c>
      <c r="Q49" s="1606" t="e">
        <f ca="1">C29</f>
        <v>#N/A</v>
      </c>
      <c r="R49" s="1606" t="s">
        <v>1494</v>
      </c>
    </row>
    <row r="50" spans="1:18" s="1570" customFormat="1" ht="13.5"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3.5" thickBot="1">
      <c r="A51" s="1108"/>
      <c r="B51" s="1110"/>
      <c r="C51" s="1111"/>
      <c r="D51" s="1084"/>
      <c r="E51" s="1112" t="s">
        <v>1372</v>
      </c>
      <c r="F51" s="309" t="e">
        <f ca="1">F8</f>
        <v>#N/A</v>
      </c>
      <c r="I51" s="1618" t="s">
        <v>1505</v>
      </c>
      <c r="J51" s="1619">
        <f>IF(J49="",J50,J49+J50-YEAR('数据-取费表'!B2))</f>
        <v>60</v>
      </c>
      <c r="K51" s="1620" t="s">
        <v>1506</v>
      </c>
      <c r="L51" s="1621" t="e">
        <f ca="1">ROUND(-PV(INDIRECT("'数据-取费表'!h"&amp;$G$1),J51,(C39-C13*C76),0),0)</f>
        <v>#N/A</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t="e">
        <f ca="1">J53</f>
        <v>#N/A</v>
      </c>
      <c r="R52" s="1606" t="s">
        <v>1511</v>
      </c>
    </row>
    <row r="53" spans="1:18" s="1570" customFormat="1" ht="24.75" thickBot="1">
      <c r="A53" s="1314" t="s">
        <v>1105</v>
      </c>
      <c r="B53" s="1559" t="s">
        <v>1374</v>
      </c>
      <c r="C53" s="322">
        <f ca="1">ROUND(IF(F53="押一",C49/12*F11,IF(F53="押二",C49/12*2*F11,IF(F53="押三",C49/12*3*F11,C54*F11))),0)</f>
        <v>0</v>
      </c>
      <c r="D53" s="1552" t="s">
        <v>2850</v>
      </c>
      <c r="E53" s="319" t="s">
        <v>1375</v>
      </c>
      <c r="F53" s="1276"/>
      <c r="I53" s="1625" t="s">
        <v>1512</v>
      </c>
      <c r="J53" s="2386" t="e">
        <f ca="1">IF(M47="住宅",IF(D1="——",MAX(J51,L48),MAX(J51,L48-'数据-取费表'!B24)),IF(D1="——",MIN(J51,L48),MIN(J51,L48-'数据-取费表'!B24)))</f>
        <v>#N/A</v>
      </c>
      <c r="K53" s="3325" t="s">
        <v>1513</v>
      </c>
      <c r="L53" s="3326"/>
      <c r="O53" s="1604" t="s">
        <v>1014</v>
      </c>
      <c r="P53" s="1605" t="s">
        <v>1514</v>
      </c>
      <c r="Q53" s="1606" t="e">
        <f ca="1">Q47+Q48</f>
        <v>#N/A</v>
      </c>
      <c r="R53" s="1606" t="s">
        <v>1015</v>
      </c>
    </row>
    <row r="54" spans="1:18" s="1570" customFormat="1" ht="13.5" thickBot="1">
      <c r="A54" s="1315"/>
      <c r="B54" s="1553" t="s">
        <v>1353</v>
      </c>
      <c r="C54" s="1090"/>
      <c r="D54" s="1552"/>
      <c r="E54" s="1560"/>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25.5" thickTop="1" thickBot="1">
      <c r="A56" s="1088">
        <v>2</v>
      </c>
      <c r="B56" s="1089" t="s">
        <v>1379</v>
      </c>
      <c r="C56" s="238" t="e">
        <f ca="1">C13</f>
        <v>#N/A</v>
      </c>
      <c r="D56" s="1633"/>
      <c r="E56" s="1634"/>
      <c r="F56" s="1626"/>
      <c r="I56" s="1635" t="s">
        <v>1519</v>
      </c>
      <c r="J56" s="1636" t="s">
        <v>3156</v>
      </c>
      <c r="K56" s="1607" t="s">
        <v>1520</v>
      </c>
      <c r="L56" s="1610" t="e">
        <f ca="1">IF(L48&lt;J51,"——",L48-J53)</f>
        <v>#N/A</v>
      </c>
      <c r="O56" s="1604" t="s">
        <v>1008</v>
      </c>
      <c r="P56" s="1605" t="s">
        <v>1493</v>
      </c>
      <c r="Q56" s="1606" t="e">
        <f ca="1">C40+J29</f>
        <v>#N/A</v>
      </c>
      <c r="R56" s="1606" t="s">
        <v>1494</v>
      </c>
    </row>
    <row r="57" spans="1:18" s="1570" customFormat="1" ht="24.75"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4.75"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5" thickBot="1">
      <c r="A61" s="1113" t="s">
        <v>1457</v>
      </c>
      <c r="B61" s="1081" t="s">
        <v>1458</v>
      </c>
      <c r="C61" s="24" t="e">
        <f ca="1">IF(项目基本情况!B11="自然人","——",IF(D61="按租金收入计税",ROUND(C48*F61,2),IF(D61="按房产原值计税",ROUND(C57*F61*0.7,2),INDIRECT("'数据-取费表'!Aj"&amp;$G$1))))</f>
        <v>#N/A</v>
      </c>
      <c r="D61" s="1556" t="s">
        <v>1403</v>
      </c>
      <c r="E61" s="1081" t="s">
        <v>1459</v>
      </c>
      <c r="F61" s="328">
        <f t="shared" si="0"/>
        <v>1.2E-2</v>
      </c>
      <c r="I61" s="1647"/>
      <c r="J61" s="1647"/>
      <c r="K61" s="1647"/>
      <c r="L61" s="1647"/>
      <c r="O61" s="1614" t="s">
        <v>1013</v>
      </c>
      <c r="P61" s="1605" t="str">
        <f>K59</f>
        <v>续建工期及建筑物耐用年限下的土地年期修正系数Kn</v>
      </c>
      <c r="Q61" s="1606" t="e">
        <f ca="1">L59</f>
        <v>#N/A</v>
      </c>
      <c r="R61" s="1606" t="s">
        <v>1534</v>
      </c>
    </row>
    <row r="62" spans="1:18" s="1570" customFormat="1" ht="13.5" thickBot="1">
      <c r="A62" s="1113" t="s">
        <v>1460</v>
      </c>
      <c r="B62" s="1080" t="s">
        <v>1461</v>
      </c>
      <c r="C62" s="25" t="e">
        <f ca="1">IF(项目基本情况!B11="自然人","——",ROUND(F62*F63/10000,2))</f>
        <v>#N/A</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#N/A</v>
      </c>
      <c r="R62" s="1606" t="s">
        <v>1015</v>
      </c>
    </row>
    <row r="63" spans="1:18" s="1570" customFormat="1" ht="13.5" thickBot="1">
      <c r="A63" s="332"/>
      <c r="B63" s="1087"/>
      <c r="C63" s="29"/>
      <c r="D63" s="1097"/>
      <c r="E63" s="1081" t="s">
        <v>1464</v>
      </c>
      <c r="F63" s="309" t="e">
        <f t="shared" ca="1" si="0"/>
        <v>#N/A</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t="e">
        <f ca="1">ROUND(C57*F64,1)</f>
        <v>#N/A</v>
      </c>
      <c r="D64" s="1095" t="s">
        <v>1467</v>
      </c>
      <c r="E64" s="1081" t="s">
        <v>1459</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ROUND(C56*F65,1)</f>
        <v>#N/A</v>
      </c>
      <c r="D65" s="1095" t="s">
        <v>1419</v>
      </c>
      <c r="E65" s="1081" t="s">
        <v>1420</v>
      </c>
      <c r="F65" s="336" t="e">
        <f t="shared" ca="1" si="0"/>
        <v>#N/A</v>
      </c>
      <c r="I65" s="1648" t="s">
        <v>1544</v>
      </c>
      <c r="J65" s="1649">
        <v>40</v>
      </c>
      <c r="K65" s="1649">
        <v>30</v>
      </c>
      <c r="L65" s="1649">
        <v>50</v>
      </c>
      <c r="M65" s="1651">
        <v>0.02</v>
      </c>
      <c r="O65" s="1604" t="s">
        <v>1008</v>
      </c>
      <c r="P65" s="1605" t="s">
        <v>1545</v>
      </c>
      <c r="Q65" s="1606" t="e">
        <f ca="1">C40+J29</f>
        <v>#N/A</v>
      </c>
      <c r="R65" s="1606" t="s">
        <v>1494</v>
      </c>
    </row>
    <row r="66" spans="1:18" s="1570" customFormat="1" ht="16.5" thickBot="1">
      <c r="A66" s="1113" t="s">
        <v>1469</v>
      </c>
      <c r="B66" s="1081" t="s">
        <v>1404</v>
      </c>
      <c r="C66" s="24" t="e">
        <f ca="1">ROUND(C48*F66,1)</f>
        <v>#N/A</v>
      </c>
      <c r="D66" s="1095" t="s">
        <v>1470</v>
      </c>
      <c r="E66" s="1081" t="s">
        <v>1387</v>
      </c>
      <c r="F66" s="318" t="e">
        <f t="shared" ca="1" si="0"/>
        <v>#N/A</v>
      </c>
      <c r="O66" s="1604" t="s">
        <v>1009</v>
      </c>
      <c r="P66" s="1605" t="s">
        <v>1523</v>
      </c>
      <c r="Q66" s="1606" t="e">
        <f ca="1">L60</f>
        <v>#N/A</v>
      </c>
      <c r="R66" s="1606" t="s">
        <v>1546</v>
      </c>
    </row>
    <row r="67" spans="1:18" s="1570" customFormat="1" ht="16.5"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6.5"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5"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3.5" thickBot="1">
      <c r="A70" s="1085"/>
      <c r="B70" s="1086"/>
      <c r="C70" s="316"/>
      <c r="D70" s="1097"/>
      <c r="E70" s="1081" t="s">
        <v>1442</v>
      </c>
      <c r="F70" s="1185"/>
      <c r="O70" s="1614" t="s">
        <v>1017</v>
      </c>
      <c r="P70" s="1653" t="s">
        <v>1550</v>
      </c>
      <c r="Q70" s="1606" t="e">
        <f ca="1">C13</f>
        <v>#N/A</v>
      </c>
      <c r="R70" s="1606" t="s">
        <v>1494</v>
      </c>
    </row>
    <row r="71" spans="1:18" s="1570" customFormat="1" ht="13.5"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#N/A</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#N/A</v>
      </c>
      <c r="R74" s="1606" t="s">
        <v>1534</v>
      </c>
    </row>
    <row r="75" spans="1:18" ht="13.5"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-0.10000000000000009</v>
      </c>
      <c r="G1" s="1564">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2"/>
      <c r="H2" s="2921"/>
      <c r="I2" s="2921"/>
      <c r="J2" s="2921"/>
      <c r="K2" s="2922"/>
      <c r="L2" s="2921"/>
      <c r="M2" s="2921"/>
    </row>
    <row r="3" spans="1:37" ht="18" customHeight="1" thickBot="1">
      <c r="A3" s="1576" t="s">
        <v>1558</v>
      </c>
      <c r="B3" s="1577">
        <f ca="1">IF(ISERROR(D2/F43),0,ROUND(D2/F43,0))</f>
        <v>0</v>
      </c>
      <c r="C3" s="1573" t="s">
        <v>1559</v>
      </c>
      <c r="D3" s="1573"/>
      <c r="E3" s="1574"/>
      <c r="F3" s="1575"/>
      <c r="G3" s="2932"/>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27" t="s">
        <v>1368</v>
      </c>
      <c r="C6" s="1206">
        <f ca="1">ROUND(F6*F8*F7*(1-F9),0)</f>
        <v>0</v>
      </c>
      <c r="D6" s="160" t="s">
        <v>2840</v>
      </c>
      <c r="E6" s="308" t="s">
        <v>1370</v>
      </c>
      <c r="F6" s="309">
        <f ca="1">INDIRECT("'数据-取费表'!u"&amp;$G$1)</f>
        <v>0</v>
      </c>
      <c r="G6" s="1570"/>
      <c r="H6" s="1201" t="s">
        <v>1003</v>
      </c>
      <c r="I6" s="3327" t="s">
        <v>1368</v>
      </c>
      <c r="J6" s="307">
        <f ca="1">ROUND(M6*M8*M7*(1-M9),0)</f>
        <v>0</v>
      </c>
      <c r="K6" s="1562" t="s">
        <v>2841</v>
      </c>
      <c r="L6" s="308" t="s">
        <v>1370</v>
      </c>
      <c r="M6" s="309">
        <f ca="1">INDIRECT("'数据-取费表'!z"&amp;$G$1)</f>
        <v>0</v>
      </c>
    </row>
    <row r="7" spans="1:37" ht="18" customHeight="1">
      <c r="A7" s="1205"/>
      <c r="B7" s="3328"/>
      <c r="C7" s="1207"/>
      <c r="D7" s="313"/>
      <c r="E7" s="1208" t="s">
        <v>1371</v>
      </c>
      <c r="F7" s="309">
        <f ca="1">IF(INDIRECT("'数据-取费表'!ah"&amp;$G$1)="",INDIRECT("'数据-取费表'!k"&amp;$G$1),INDIRECT("'数据-取费表'!ah"&amp;$G$1))</f>
        <v>0</v>
      </c>
      <c r="G7" s="1570"/>
      <c r="H7" s="310"/>
      <c r="I7" s="3328"/>
      <c r="J7" s="312"/>
      <c r="K7" s="313"/>
      <c r="L7" s="308" t="s">
        <v>1371</v>
      </c>
      <c r="M7" s="309">
        <f ca="1">F7</f>
        <v>0</v>
      </c>
    </row>
    <row r="8" spans="1:37" ht="18" customHeight="1">
      <c r="A8" s="310"/>
      <c r="B8" s="3328"/>
      <c r="C8" s="312"/>
      <c r="D8" s="313"/>
      <c r="E8" s="308" t="s">
        <v>1372</v>
      </c>
      <c r="F8" s="309">
        <f ca="1">INDIRECT("'数据-取费表'!ai"&amp;$G$1)</f>
        <v>0</v>
      </c>
      <c r="G8" s="1570"/>
      <c r="H8" s="310"/>
      <c r="I8" s="3328"/>
      <c r="J8" s="312"/>
      <c r="K8" s="313"/>
      <c r="L8" s="308" t="s">
        <v>1372</v>
      </c>
      <c r="M8" s="309">
        <f ca="1">INDIRECT("'数据-取费表'!ai"&amp;$G$1)</f>
        <v>0</v>
      </c>
    </row>
    <row r="9" spans="1:37" ht="18" customHeight="1">
      <c r="A9" s="310"/>
      <c r="B9" s="3329"/>
      <c r="C9" s="312"/>
      <c r="D9" s="313"/>
      <c r="E9" s="308" t="s">
        <v>1373</v>
      </c>
      <c r="F9" s="318">
        <f ca="1">INDIRECT("'数据-取费表'!w"&amp;$G$1)</f>
        <v>0</v>
      </c>
      <c r="G9" s="1570"/>
      <c r="H9" s="310"/>
      <c r="I9" s="332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2850</v>
      </c>
      <c r="E10" s="319" t="s">
        <v>1375</v>
      </c>
      <c r="F10" s="1276"/>
      <c r="G10" s="1570"/>
      <c r="H10" s="1201" t="s">
        <v>1007</v>
      </c>
      <c r="I10" s="1551" t="s">
        <v>1374</v>
      </c>
      <c r="J10" s="307">
        <f ca="1">ROUND(IF(M10="押一",J6/12*M11,IF(M10="押二",J6/12*2*M11,IF(M10="押三",J6/12*3*M11,J11*M11))),0)</f>
        <v>0</v>
      </c>
      <c r="K10" s="1563" t="s">
        <v>2852</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4">
        <f ca="1">ROUND(IF(AND(项目基本情况!B11="自然人",项目基本情况!B10="北京市"),J6*M17/(1+'数据-取费表'!C42),J18+J19+J20),0)</f>
        <v>0</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3"/>
      <c r="I30" s="1584"/>
      <c r="J30" s="1585"/>
      <c r="K30" s="2699"/>
      <c r="L30" s="2924"/>
      <c r="M30" s="2925"/>
    </row>
    <row r="31" spans="1:37" ht="18" customHeight="1">
      <c r="A31" s="1113" t="s">
        <v>1003</v>
      </c>
      <c r="B31" s="308" t="s">
        <v>1394</v>
      </c>
      <c r="C31" s="2534">
        <f ca="1">ROUND(IF(AND(项目基本情况!B11="自然人",项目基本情况!B10="北京市"),C6*F31/(1+'数据-取费表'!C42),C32+C33+C34),0)</f>
        <v>0</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f ca="1">IF(项目基本情况!B11="自然人","——",ROUND(F34*F35,))</f>
        <v>0</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f ca="1">INDIRECT("'数据-取费表'!r"&amp;$G$1)</f>
        <v>0</v>
      </c>
      <c r="G35" s="1570"/>
      <c r="H35" s="2923"/>
      <c r="I35" s="1584"/>
      <c r="J35" s="1585"/>
      <c r="K35" s="2927"/>
      <c r="L35" s="2926"/>
      <c r="M35" s="2926"/>
    </row>
    <row r="36" spans="1:18" ht="18" customHeight="1">
      <c r="A36" s="1262" t="s">
        <v>1007</v>
      </c>
      <c r="B36" s="308" t="s">
        <v>1414</v>
      </c>
      <c r="C36" s="24">
        <f ca="1">ROUND(C29*F36,0)</f>
        <v>0</v>
      </c>
      <c r="D36" s="1530" t="s">
        <v>1447</v>
      </c>
      <c r="E36" s="308" t="s">
        <v>1387</v>
      </c>
      <c r="F36" s="334">
        <f ca="1">INDIRECT("'数据-取费表'!Ak"&amp;$G$1)</f>
        <v>0</v>
      </c>
      <c r="G36" s="1570"/>
      <c r="H36" s="2926"/>
      <c r="I36" s="1584"/>
      <c r="J36" s="1585"/>
      <c r="K36" s="2768"/>
      <c r="L36" s="2926"/>
      <c r="M36" s="2926"/>
    </row>
    <row r="37" spans="1:18" ht="18" customHeight="1">
      <c r="A37" s="1113" t="s">
        <v>1043</v>
      </c>
      <c r="B37" s="308" t="s">
        <v>1418</v>
      </c>
      <c r="C37" s="24">
        <f ca="1">ROUND(C13*F37,0)</f>
        <v>0</v>
      </c>
      <c r="D37" s="1530" t="s">
        <v>1419</v>
      </c>
      <c r="E37" s="308" t="s">
        <v>1420</v>
      </c>
      <c r="F37" s="336">
        <f ca="1">INDIRECT("'数据-取费表'!Al"&amp;$G$1)</f>
        <v>0</v>
      </c>
      <c r="G37" s="1570"/>
      <c r="H37" s="2926"/>
      <c r="I37" s="1584"/>
      <c r="J37" s="1585"/>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70"/>
      <c r="H38" s="2926"/>
      <c r="I38" s="1584"/>
      <c r="J38" s="1585"/>
      <c r="K38" s="2930"/>
      <c r="L38" s="2926"/>
      <c r="M38" s="2926"/>
    </row>
    <row r="39" spans="1:18" ht="24.6" customHeight="1" thickTop="1">
      <c r="A39" s="1239" t="s">
        <v>999</v>
      </c>
      <c r="B39" s="1254" t="s">
        <v>1448</v>
      </c>
      <c r="C39" s="316">
        <f ca="1">C5-C30</f>
        <v>0</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0"/>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-0.10000000000000009</v>
      </c>
      <c r="R52" s="1606" t="s">
        <v>1511</v>
      </c>
    </row>
    <row r="53" spans="1:18" s="1570" customFormat="1" ht="30.75" customHeight="1" thickBot="1">
      <c r="A53" s="1271" t="s">
        <v>1105</v>
      </c>
      <c r="B53" s="329" t="s">
        <v>1374</v>
      </c>
      <c r="C53" s="322">
        <f ca="1">ROUND(IF(F53="押一",C49/12*F11,IF(F53="押二",C49/12*2*F11,IF(F53="押三",C49/12*3*F11,C54*F11))),0)</f>
        <v>0</v>
      </c>
      <c r="D53" s="1552" t="s">
        <v>2853</v>
      </c>
      <c r="E53" s="319" t="s">
        <v>1375</v>
      </c>
      <c r="F53" s="1276"/>
      <c r="I53" s="1625" t="s">
        <v>1512</v>
      </c>
      <c r="J53" s="2386">
        <f ca="1">IF(M47="住宅",IF(D1="——",MAX(J51,L48),MAX(J51,L48-'数据-取费表'!B24)),IF(D1="——",MIN(J51,L48),MIN(J51,L48-'数据-取费表'!B24)))</f>
        <v>-0.10000000000000009</v>
      </c>
      <c r="K53" s="3325" t="s">
        <v>1513</v>
      </c>
      <c r="L53" s="3326"/>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2345</v>
      </c>
      <c r="B1" s="2055"/>
      <c r="C1" s="2055"/>
      <c r="D1" s="2055"/>
      <c r="E1" s="2056"/>
      <c r="F1" s="2933"/>
      <c r="G1" s="1676"/>
      <c r="H1" s="1676"/>
      <c r="I1" s="1676"/>
      <c r="J1" s="1676"/>
      <c r="K1" s="1676"/>
      <c r="L1" s="1676"/>
      <c r="M1" s="1676"/>
      <c r="N1" s="1676"/>
      <c r="O1" s="1676"/>
      <c r="P1" s="1676"/>
      <c r="Q1" s="1676"/>
      <c r="R1" s="1676"/>
      <c r="S1" s="1676"/>
    </row>
    <row r="2" spans="1:22" ht="15.75">
      <c r="A2" s="2057" t="s">
        <v>2149</v>
      </c>
      <c r="B2" s="2058">
        <f ca="1">SUMIF(B6:B13,"&lt;&gt;#ref!",B6:B13)</f>
        <v>0</v>
      </c>
      <c r="C2" s="2059" t="s">
        <v>2338</v>
      </c>
      <c r="D2" s="2060" t="s">
        <v>2339</v>
      </c>
      <c r="E2" s="2831">
        <f>SUM(E6:E13)</f>
        <v>0</v>
      </c>
      <c r="F2" s="2933"/>
      <c r="G2" s="1676"/>
      <c r="H2" s="1676"/>
      <c r="I2" s="1676"/>
      <c r="J2" s="1676"/>
      <c r="K2" s="1676"/>
      <c r="L2" s="1676"/>
      <c r="M2" s="1676"/>
      <c r="N2" s="1676"/>
      <c r="O2" s="1676"/>
      <c r="P2" s="1676"/>
      <c r="Q2" s="1676"/>
      <c r="R2" s="1676"/>
      <c r="S2" s="1676"/>
    </row>
    <row r="3" spans="1:22" ht="15.75">
      <c r="A3" s="2057" t="s">
        <v>1360</v>
      </c>
      <c r="B3" s="2825" t="e">
        <f ca="1">ROUND(B2*10000/E2,0)</f>
        <v>#DIV/0!</v>
      </c>
      <c r="C3" s="2059" t="s">
        <v>2346</v>
      </c>
      <c r="D3" s="2935"/>
      <c r="E3" s="2937"/>
      <c r="F3" s="2933"/>
      <c r="G3" s="1676"/>
      <c r="H3" s="1676"/>
      <c r="I3" s="1676"/>
      <c r="J3" s="1676"/>
      <c r="K3" s="1676"/>
      <c r="L3" s="1676"/>
      <c r="M3" s="1676"/>
      <c r="N3" s="1676"/>
      <c r="O3" s="1676"/>
      <c r="P3" s="1676"/>
      <c r="Q3" s="1676"/>
      <c r="R3" s="1676"/>
      <c r="S3" s="1676"/>
    </row>
    <row r="4" spans="1:22" ht="15.75">
      <c r="A4" s="2938"/>
      <c r="B4" s="2935"/>
      <c r="C4" s="2935"/>
      <c r="D4" s="2935"/>
      <c r="E4" s="2937"/>
      <c r="F4" s="2933"/>
      <c r="G4" s="1676"/>
      <c r="H4" s="1676"/>
      <c r="I4" s="1676"/>
      <c r="J4" s="1676"/>
      <c r="K4" s="1676"/>
      <c r="L4" s="1676"/>
      <c r="M4" s="1676"/>
      <c r="N4" s="1676"/>
      <c r="O4" s="1676"/>
      <c r="P4" s="1676"/>
      <c r="Q4" s="1676"/>
      <c r="R4" s="1676"/>
      <c r="S4" s="1676"/>
    </row>
    <row r="5" spans="1:22" ht="15">
      <c r="A5" s="2827" t="s">
        <v>2340</v>
      </c>
      <c r="B5" s="3330" t="s">
        <v>2341</v>
      </c>
      <c r="C5" s="3331"/>
      <c r="D5" s="2934"/>
      <c r="E5" s="2061" t="s">
        <v>2342</v>
      </c>
      <c r="F5" s="2062" t="s">
        <v>2343</v>
      </c>
      <c r="G5" s="1676"/>
      <c r="H5" s="1676"/>
      <c r="I5" s="1676"/>
      <c r="J5" s="1676"/>
      <c r="K5" s="1676"/>
      <c r="L5" s="1676"/>
      <c r="M5" s="1676"/>
      <c r="N5" s="1676"/>
      <c r="O5" s="1676"/>
      <c r="P5" s="1676"/>
      <c r="Q5" s="1676"/>
      <c r="R5" s="1676"/>
      <c r="S5" s="1676"/>
    </row>
    <row r="6" spans="1:22">
      <c r="A6" s="2828">
        <f>'数据-取费表'!AN6</f>
        <v>0</v>
      </c>
      <c r="B6" s="2826" t="e">
        <f ca="1">IF(F6="是",'数据-取费表'!AO6,0)</f>
        <v>#REF!</v>
      </c>
      <c r="C6" s="2059" t="s">
        <v>2338</v>
      </c>
      <c r="D6" s="2935"/>
      <c r="E6" s="2830">
        <f>IF(OR(A6=0,F6="否"),0,'数据-取费表'!K6+'数据-取费表'!S6)</f>
        <v>0</v>
      </c>
      <c r="F6" s="2063" t="s">
        <v>2344</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59" t="s">
        <v>2338</v>
      </c>
      <c r="D7" s="2935"/>
      <c r="E7" s="2830">
        <f>IF(OR(A7=0,F7="否"),0,'数据-取费表'!K7+'数据-取费表'!S7)</f>
        <v>0</v>
      </c>
      <c r="F7" s="2063" t="s">
        <v>2344</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59" t="s">
        <v>2338</v>
      </c>
      <c r="D8" s="2935"/>
      <c r="E8" s="2830">
        <f>IF(OR(A8=0,F8="否"),0,'数据-取费表'!K8+'数据-取费表'!S8)</f>
        <v>0</v>
      </c>
      <c r="F8" s="2063" t="s">
        <v>2344</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59" t="s">
        <v>2338</v>
      </c>
      <c r="D9" s="2935"/>
      <c r="E9" s="2830">
        <f>IF(OR(A9=0,F9="否"),0,'数据-取费表'!K9+'数据-取费表'!S9)</f>
        <v>0</v>
      </c>
      <c r="F9" s="2063" t="s">
        <v>2344</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59" t="s">
        <v>2338</v>
      </c>
      <c r="D10" s="2935"/>
      <c r="E10" s="2830">
        <f>IF(OR(A10=0,F10="否"),0,'数据-取费表'!K10+'数据-取费表'!S10)</f>
        <v>0</v>
      </c>
      <c r="F10" s="2063" t="s">
        <v>2344</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59" t="s">
        <v>2338</v>
      </c>
      <c r="D11" s="2935"/>
      <c r="E11" s="2830">
        <f>IF(OR(A11=0,F11="否"),0,'数据-取费表'!K11+'数据-取费表'!S11)</f>
        <v>0</v>
      </c>
      <c r="F11" s="2063" t="s">
        <v>2344</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59" t="s">
        <v>2338</v>
      </c>
      <c r="D12" s="2935"/>
      <c r="E12" s="2830">
        <f>IF(OR(A12=0,F12="否"),0,'数据-取费表'!K12+'数据-取费表'!S12)</f>
        <v>0</v>
      </c>
      <c r="F12" s="2063" t="s">
        <v>2344</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4" t="s">
        <v>2338</v>
      </c>
      <c r="D13" s="2936"/>
      <c r="E13" s="2830">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9" sqref="K49"/>
    </sheetView>
  </sheetViews>
  <sheetFormatPr defaultRowHeight="13.5"/>
  <cols>
    <col min="1" max="1" width="10.5" customWidth="1"/>
    <col min="2" max="2" width="12.875" customWidth="1"/>
    <col min="3" max="3" width="8.75" customWidth="1"/>
  </cols>
  <sheetData>
    <row r="1" spans="1:9" ht="14.25">
      <c r="A1" s="3332" t="s">
        <v>1044</v>
      </c>
      <c r="B1" s="3333"/>
      <c r="C1" s="3334"/>
      <c r="D1" s="3335">
        <f>SUM(I10,I15,I20,I21,I23)</f>
        <v>10569</v>
      </c>
      <c r="E1" s="3335"/>
      <c r="F1" s="3335"/>
      <c r="G1" s="3335"/>
      <c r="H1" s="3335"/>
      <c r="I1" s="3336"/>
    </row>
    <row r="2" spans="1:9">
      <c r="A2" s="3337" t="s">
        <v>1045</v>
      </c>
      <c r="B2" s="3338" t="s">
        <v>1046</v>
      </c>
      <c r="C2" s="3338"/>
      <c r="D2" s="1211" t="s">
        <v>1047</v>
      </c>
      <c r="E2" s="1211" t="s">
        <v>1048</v>
      </c>
      <c r="F2" s="1211" t="s">
        <v>1049</v>
      </c>
      <c r="G2" s="1211" t="s">
        <v>1050</v>
      </c>
      <c r="H2" s="1211" t="s">
        <v>1051</v>
      </c>
      <c r="I2" s="1212" t="s">
        <v>1052</v>
      </c>
    </row>
    <row r="3" spans="1:9">
      <c r="A3" s="3337"/>
      <c r="B3" s="3338" t="s">
        <v>1053</v>
      </c>
      <c r="C3" s="3338"/>
      <c r="D3" s="1213"/>
      <c r="E3" s="1211"/>
      <c r="F3" s="1214"/>
      <c r="G3" s="1214"/>
      <c r="H3" s="1215"/>
      <c r="I3" s="1216">
        <f>ROUND(D3*E3*F3*G3*H3/10000,0)</f>
        <v>0</v>
      </c>
    </row>
    <row r="4" spans="1:9">
      <c r="A4" s="3337"/>
      <c r="B4" s="3338" t="s">
        <v>1054</v>
      </c>
      <c r="C4" s="3338"/>
      <c r="D4" s="1213"/>
      <c r="E4" s="1211"/>
      <c r="F4" s="1214"/>
      <c r="G4" s="1214"/>
      <c r="H4" s="1215"/>
      <c r="I4" s="1216">
        <f t="shared" ref="I4:I9" si="0">ROUND(D4*E4*F4*G4*H4/10000,0)</f>
        <v>0</v>
      </c>
    </row>
    <row r="5" spans="1:9">
      <c r="A5" s="3337"/>
      <c r="B5" s="3338" t="s">
        <v>1055</v>
      </c>
      <c r="C5" s="3338"/>
      <c r="D5" s="1213"/>
      <c r="E5" s="1211"/>
      <c r="F5" s="1214"/>
      <c r="G5" s="1214"/>
      <c r="H5" s="1215"/>
      <c r="I5" s="1216">
        <f t="shared" si="0"/>
        <v>0</v>
      </c>
    </row>
    <row r="6" spans="1:9">
      <c r="A6" s="3337"/>
      <c r="B6" s="3338" t="s">
        <v>1056</v>
      </c>
      <c r="C6" s="3338"/>
      <c r="D6" s="1213">
        <v>314</v>
      </c>
      <c r="E6" s="1211">
        <v>850</v>
      </c>
      <c r="F6" s="1214">
        <v>1</v>
      </c>
      <c r="G6" s="1214">
        <v>0.7</v>
      </c>
      <c r="H6" s="1215">
        <v>365</v>
      </c>
      <c r="I6" s="1216">
        <f t="shared" si="0"/>
        <v>6819</v>
      </c>
    </row>
    <row r="7" spans="1:9">
      <c r="A7" s="3337"/>
      <c r="B7" s="3338" t="s">
        <v>1057</v>
      </c>
      <c r="C7" s="3338"/>
      <c r="D7" s="1213"/>
      <c r="E7" s="1211"/>
      <c r="F7" s="1214"/>
      <c r="G7" s="1214"/>
      <c r="H7" s="1215"/>
      <c r="I7" s="1216">
        <f t="shared" si="0"/>
        <v>0</v>
      </c>
    </row>
    <row r="8" spans="1:9">
      <c r="A8" s="3337"/>
      <c r="B8" s="3338" t="s">
        <v>1058</v>
      </c>
      <c r="C8" s="3338"/>
      <c r="D8" s="1213"/>
      <c r="E8" s="1211"/>
      <c r="F8" s="1214"/>
      <c r="G8" s="1214"/>
      <c r="H8" s="1215"/>
      <c r="I8" s="1216">
        <f t="shared" si="0"/>
        <v>0</v>
      </c>
    </row>
    <row r="9" spans="1:9">
      <c r="A9" s="3337"/>
      <c r="B9" s="3338" t="s">
        <v>1059</v>
      </c>
      <c r="C9" s="3338"/>
      <c r="D9" s="1213"/>
      <c r="E9" s="1211"/>
      <c r="F9" s="1214"/>
      <c r="G9" s="1214"/>
      <c r="H9" s="1215"/>
      <c r="I9" s="1216">
        <f t="shared" si="0"/>
        <v>0</v>
      </c>
    </row>
    <row r="10" spans="1:9">
      <c r="A10" s="3337"/>
      <c r="B10" s="3339" t="s">
        <v>1060</v>
      </c>
      <c r="C10" s="3339"/>
      <c r="D10" s="1217"/>
      <c r="E10" s="1217" t="e">
        <f>ROUND(D1*10000/D10/H9,0)</f>
        <v>#DIV/0!</v>
      </c>
      <c r="F10" s="1218"/>
      <c r="G10" s="1218"/>
      <c r="H10" s="1219"/>
      <c r="I10" s="1220">
        <f>SUM(I3:I9)</f>
        <v>6819</v>
      </c>
    </row>
    <row r="11" spans="1:9" ht="14.25">
      <c r="A11" s="3337" t="s">
        <v>1061</v>
      </c>
      <c r="B11" s="3338" t="s">
        <v>1062</v>
      </c>
      <c r="C11" s="3338"/>
      <c r="D11" s="1213" t="s">
        <v>1063</v>
      </c>
      <c r="E11" s="1213" t="s">
        <v>1064</v>
      </c>
      <c r="F11" s="1214" t="s">
        <v>1065</v>
      </c>
      <c r="G11" s="1214" t="s">
        <v>1051</v>
      </c>
      <c r="H11" s="1221" t="s">
        <v>1066</v>
      </c>
      <c r="I11" s="1212" t="s">
        <v>1052</v>
      </c>
    </row>
    <row r="12" spans="1:9">
      <c r="A12" s="3337"/>
      <c r="B12" s="3338" t="s">
        <v>1067</v>
      </c>
      <c r="C12" s="3338"/>
      <c r="D12" s="1213"/>
      <c r="E12" s="1213"/>
      <c r="F12" s="1214"/>
      <c r="G12" s="1215"/>
      <c r="H12" s="1222"/>
      <c r="I12" s="1212">
        <f>ROUND(D12*E12*F12*G12/10000,0)</f>
        <v>0</v>
      </c>
    </row>
    <row r="13" spans="1:9">
      <c r="A13" s="3337"/>
      <c r="B13" s="3338" t="s">
        <v>1068</v>
      </c>
      <c r="C13" s="3338"/>
      <c r="D13" s="1213"/>
      <c r="E13" s="1213"/>
      <c r="F13" s="1214"/>
      <c r="G13" s="1215"/>
      <c r="H13" s="1222"/>
      <c r="I13" s="1212">
        <f>ROUND(D13*E13*F13*G13/10000,0)</f>
        <v>0</v>
      </c>
    </row>
    <row r="14" spans="1:9">
      <c r="A14" s="3337"/>
      <c r="B14" s="3338" t="s">
        <v>1069</v>
      </c>
      <c r="C14" s="3338"/>
      <c r="D14" s="1213"/>
      <c r="E14" s="1213"/>
      <c r="F14" s="1214"/>
      <c r="G14" s="1215"/>
      <c r="H14" s="1222"/>
      <c r="I14" s="1212">
        <f>ROUND(D14*E14*F14*G14/10000,0)</f>
        <v>0</v>
      </c>
    </row>
    <row r="15" spans="1:9">
      <c r="A15" s="3337"/>
      <c r="B15" s="3339" t="s">
        <v>1060</v>
      </c>
      <c r="C15" s="3339"/>
      <c r="D15" s="1217"/>
      <c r="E15" s="1217">
        <f>SUM(E12:E14)</f>
        <v>0</v>
      </c>
      <c r="F15" s="1218"/>
      <c r="G15" s="1215"/>
      <c r="H15" s="1222"/>
      <c r="I15" s="1223">
        <f>SUM(I12:I14)</f>
        <v>0</v>
      </c>
    </row>
    <row r="16" spans="1:9" ht="24">
      <c r="A16" s="3337" t="s">
        <v>1070</v>
      </c>
      <c r="B16" s="3338" t="s">
        <v>1071</v>
      </c>
      <c r="C16" s="3338"/>
      <c r="D16" s="1213" t="s">
        <v>1047</v>
      </c>
      <c r="E16" s="1224" t="s">
        <v>1072</v>
      </c>
      <c r="F16" s="1214" t="s">
        <v>1073</v>
      </c>
      <c r="G16" s="1215" t="s">
        <v>1051</v>
      </c>
      <c r="H16" s="1221" t="s">
        <v>1066</v>
      </c>
      <c r="I16" s="1212" t="s">
        <v>1052</v>
      </c>
    </row>
    <row r="17" spans="1:9" ht="14.25">
      <c r="A17" s="3337"/>
      <c r="B17" s="3338" t="s">
        <v>1074</v>
      </c>
      <c r="C17" s="3338"/>
      <c r="D17" s="1213"/>
      <c r="E17" s="1213"/>
      <c r="F17" s="1214"/>
      <c r="G17" s="1215"/>
      <c r="H17" s="1225"/>
      <c r="I17" s="1226">
        <f>ROUND(D17*E17*F17*G17/10000,0)</f>
        <v>0</v>
      </c>
    </row>
    <row r="18" spans="1:9" ht="14.25">
      <c r="A18" s="3337"/>
      <c r="B18" s="3338" t="s">
        <v>1075</v>
      </c>
      <c r="C18" s="3338"/>
      <c r="D18" s="1213"/>
      <c r="E18" s="1213"/>
      <c r="F18" s="1214"/>
      <c r="G18" s="1215"/>
      <c r="H18" s="1225"/>
      <c r="I18" s="1226">
        <f>ROUND(D18*E18*F18*G18/10000,0)</f>
        <v>0</v>
      </c>
    </row>
    <row r="19" spans="1:9" ht="14.25">
      <c r="A19" s="3337"/>
      <c r="B19" s="3338" t="s">
        <v>1076</v>
      </c>
      <c r="C19" s="3338"/>
      <c r="D19" s="1213"/>
      <c r="E19" s="1213"/>
      <c r="F19" s="1214"/>
      <c r="G19" s="1215"/>
      <c r="H19" s="1225"/>
      <c r="I19" s="1226">
        <f>ROUND(D19*E19*F19*G19/10000,0)</f>
        <v>0</v>
      </c>
    </row>
    <row r="20" spans="1:9">
      <c r="A20" s="3337"/>
      <c r="B20" s="3339" t="s">
        <v>1060</v>
      </c>
      <c r="C20" s="3339"/>
      <c r="D20" s="1217">
        <f>SUM(D17:D19)</f>
        <v>0</v>
      </c>
      <c r="E20" s="1217"/>
      <c r="F20" s="1218"/>
      <c r="G20" s="1215"/>
      <c r="H20" s="1222"/>
      <c r="I20" s="1223">
        <f>SUM(I17:I19)</f>
        <v>0</v>
      </c>
    </row>
    <row r="21" spans="1:9">
      <c r="A21" s="3337" t="s">
        <v>1077</v>
      </c>
      <c r="B21" s="3341"/>
      <c r="C21" s="3341"/>
      <c r="D21" s="3341"/>
      <c r="E21" s="3341"/>
      <c r="F21" s="3341"/>
      <c r="G21" s="3341"/>
      <c r="H21" s="1504">
        <v>0.55000000000000004</v>
      </c>
      <c r="I21" s="1220">
        <f>ROUND(I10*H21,0)</f>
        <v>3750</v>
      </c>
    </row>
    <row r="22" spans="1:9" ht="14.25">
      <c r="A22" s="3342" t="s">
        <v>1078</v>
      </c>
      <c r="B22" s="3343"/>
      <c r="C22" s="3344"/>
      <c r="D22" s="1227" t="s">
        <v>1079</v>
      </c>
      <c r="E22" s="1227" t="s">
        <v>1080</v>
      </c>
      <c r="F22" s="1228" t="s">
        <v>1081</v>
      </c>
      <c r="G22" s="1228" t="s">
        <v>1082</v>
      </c>
      <c r="H22" s="1221" t="s">
        <v>1083</v>
      </c>
      <c r="I22" s="1212" t="s">
        <v>1084</v>
      </c>
    </row>
    <row r="23" spans="1:9" ht="14.25" thickBot="1">
      <c r="A23" s="3345"/>
      <c r="B23" s="3346"/>
      <c r="C23" s="3347"/>
      <c r="D23" s="1229"/>
      <c r="E23" s="1229"/>
      <c r="F23" s="1229"/>
      <c r="G23" s="1230"/>
      <c r="H23" s="1231"/>
      <c r="I23" s="1232">
        <f>ROUND(E23*D23*F23*(1-G23)/10000,0)</f>
        <v>0</v>
      </c>
    </row>
    <row r="26" spans="1:9">
      <c r="A26" s="1233" t="s">
        <v>1085</v>
      </c>
      <c r="B26" s="1233"/>
      <c r="C26" s="1233"/>
      <c r="D26" s="1233"/>
      <c r="E26" s="3348">
        <f>C27-C30-C31-C32</f>
        <v>5812.9500000000007</v>
      </c>
      <c r="F26" s="3348"/>
      <c r="G26" s="3348"/>
      <c r="H26" s="1501" t="s">
        <v>1306</v>
      </c>
    </row>
    <row r="27" spans="1:9">
      <c r="A27" s="1234">
        <v>1</v>
      </c>
      <c r="B27" s="1235" t="s">
        <v>1086</v>
      </c>
      <c r="C27" s="1235">
        <f>C28+C29</f>
        <v>10569</v>
      </c>
      <c r="D27" s="1235"/>
      <c r="E27" s="3349"/>
      <c r="F27" s="3349"/>
      <c r="G27" s="3349"/>
    </row>
    <row r="28" spans="1:9">
      <c r="A28" s="1236" t="s">
        <v>1087</v>
      </c>
      <c r="B28" s="1235" t="s">
        <v>1088</v>
      </c>
      <c r="C28" s="1235">
        <f>I10</f>
        <v>6819</v>
      </c>
      <c r="D28" s="1235"/>
      <c r="E28" s="3349"/>
      <c r="F28" s="3349"/>
      <c r="G28" s="3349"/>
    </row>
    <row r="29" spans="1:9">
      <c r="A29" s="1236" t="s">
        <v>1089</v>
      </c>
      <c r="B29" s="1235" t="s">
        <v>1090</v>
      </c>
      <c r="C29" s="1235">
        <f>I21</f>
        <v>3750</v>
      </c>
      <c r="D29" s="1235"/>
      <c r="E29" s="1235" t="s">
        <v>1091</v>
      </c>
      <c r="F29" s="1235"/>
      <c r="G29" s="1235"/>
    </row>
    <row r="30" spans="1:9">
      <c r="A30" s="1234">
        <v>2</v>
      </c>
      <c r="B30" s="1235" t="s">
        <v>1092</v>
      </c>
      <c r="C30" s="1235">
        <f>C27*D30</f>
        <v>2113.8000000000002</v>
      </c>
      <c r="D30" s="1237">
        <v>0.2</v>
      </c>
      <c r="E30" s="1235" t="s">
        <v>1093</v>
      </c>
      <c r="F30" s="1235"/>
      <c r="G30" s="1235"/>
    </row>
    <row r="31" spans="1:9">
      <c r="A31" s="1234">
        <v>3</v>
      </c>
      <c r="B31" s="1235" t="s">
        <v>1094</v>
      </c>
      <c r="C31" s="1235">
        <f>C27*D31</f>
        <v>1585.35</v>
      </c>
      <c r="D31" s="1237">
        <v>0.15</v>
      </c>
      <c r="E31" s="1235" t="s">
        <v>1095</v>
      </c>
      <c r="F31" s="1235"/>
      <c r="G31" s="1235"/>
    </row>
    <row r="32" spans="1:9">
      <c r="A32" s="1234">
        <v>4</v>
      </c>
      <c r="B32" s="1235" t="s">
        <v>1096</v>
      </c>
      <c r="C32" s="1235">
        <f>C27*D32</f>
        <v>1056.9000000000001</v>
      </c>
      <c r="D32" s="1237">
        <v>0.1</v>
      </c>
      <c r="E32" s="3340"/>
      <c r="F32" s="3340"/>
      <c r="G32" s="3340"/>
    </row>
    <row r="33" spans="1:7" hidden="1">
      <c r="A33" s="3350" t="s">
        <v>1097</v>
      </c>
      <c r="B33" s="3351"/>
      <c r="C33" s="3351"/>
      <c r="D33" s="3352"/>
      <c r="E33" s="3348"/>
      <c r="F33" s="3348"/>
      <c r="G33" s="3348"/>
    </row>
    <row r="34" spans="1:7" hidden="1">
      <c r="A34" s="1238">
        <v>1</v>
      </c>
      <c r="B34" s="1235" t="s">
        <v>1098</v>
      </c>
      <c r="C34" s="1235"/>
      <c r="D34" s="1235"/>
      <c r="E34" s="3349"/>
      <c r="F34" s="3349"/>
      <c r="G34" s="3349"/>
    </row>
    <row r="35" spans="1:7" hidden="1">
      <c r="A35" s="1238">
        <v>2</v>
      </c>
      <c r="B35" s="1235" t="s">
        <v>1099</v>
      </c>
      <c r="C35" s="1235"/>
      <c r="D35" s="1235"/>
      <c r="E35" s="3349"/>
      <c r="F35" s="3349"/>
      <c r="G35" s="3349"/>
    </row>
    <row r="36" spans="1:7" hidden="1">
      <c r="A36" s="1238">
        <v>3</v>
      </c>
      <c r="B36" s="1235" t="s">
        <v>1100</v>
      </c>
      <c r="C36" s="1235"/>
      <c r="D36" s="1235"/>
      <c r="E36" s="3349"/>
      <c r="F36" s="3349"/>
      <c r="G36" s="3349"/>
    </row>
    <row r="37" spans="1:7" hidden="1">
      <c r="A37" s="1238">
        <v>4</v>
      </c>
      <c r="B37" s="1235" t="s">
        <v>1101</v>
      </c>
      <c r="C37" s="1235"/>
      <c r="D37" s="1235"/>
      <c r="E37" s="3349"/>
      <c r="F37" s="3349"/>
      <c r="G37" s="3349"/>
    </row>
    <row r="38" spans="1:7" hidden="1">
      <c r="A38" s="3350" t="s">
        <v>1102</v>
      </c>
      <c r="B38" s="3351"/>
      <c r="C38" s="3351"/>
      <c r="D38" s="3352"/>
      <c r="E38" s="3348"/>
      <c r="F38" s="3348"/>
      <c r="G38" s="33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70" zoomScaleNormal="60" zoomScaleSheetLayoutView="70" workbookViewId="0">
      <selection activeCell="C50" sqref="C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2348</v>
      </c>
      <c r="C1" s="1406" t="s">
        <v>2349</v>
      </c>
      <c r="D1" s="1393" t="s">
        <v>3503</v>
      </c>
      <c r="E1" s="2544"/>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29652</v>
      </c>
      <c r="C2" s="2068" t="s">
        <v>70</v>
      </c>
      <c r="D2" s="1275" t="e">
        <f ca="1">SUMIF(INDIRECT("'"&amp;F2&amp;"'"&amp;"!A:A"),"承租人权益价值",INDIRECT("'"&amp;F2&amp;"'"&amp;"!c:c"))</f>
        <v>#REF!</v>
      </c>
      <c r="E2" s="2069" t="s">
        <v>2352</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20843</v>
      </c>
      <c r="C3" s="360" t="s">
        <v>2353</v>
      </c>
      <c r="D3" s="359">
        <f>IF(D1="",'数据-汇总表'!E3,SUMIF('数据-汇总表'!$C19:$C33,D1,'数据-汇总表'!$E19:$E33))</f>
        <v>14226.250000000004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2354</v>
      </c>
      <c r="B4" s="362"/>
      <c r="C4" s="3369" t="s">
        <v>2355</v>
      </c>
      <c r="D4" s="3370"/>
      <c r="E4" s="3371" t="s">
        <v>2356</v>
      </c>
      <c r="F4" s="3372"/>
      <c r="G4" s="3369" t="s">
        <v>2357</v>
      </c>
      <c r="H4" s="3370"/>
      <c r="I4" s="3369" t="s">
        <v>2358</v>
      </c>
      <c r="J4" s="3370"/>
      <c r="K4" s="2076" t="s">
        <v>2359</v>
      </c>
      <c r="L4" s="2941"/>
      <c r="M4" s="2942"/>
      <c r="N4" s="2942"/>
      <c r="O4" s="2942"/>
      <c r="P4" s="3373" t="s">
        <v>2360</v>
      </c>
      <c r="Q4" s="3374"/>
      <c r="R4" s="3358" t="s">
        <v>2356</v>
      </c>
      <c r="S4" s="3359"/>
      <c r="T4" s="3358" t="s">
        <v>2357</v>
      </c>
      <c r="U4" s="3359"/>
      <c r="V4" s="3381" t="s">
        <v>2358</v>
      </c>
      <c r="W4" s="3381"/>
      <c r="X4" s="1541"/>
      <c r="Y4" s="3358" t="s">
        <v>2360</v>
      </c>
      <c r="Z4" s="3359"/>
      <c r="AA4" s="3353" t="s">
        <v>2356</v>
      </c>
      <c r="AB4" s="3353" t="s">
        <v>2357</v>
      </c>
      <c r="AC4" s="3353" t="s">
        <v>2358</v>
      </c>
    </row>
    <row r="5" spans="1:29" ht="15">
      <c r="A5" s="364"/>
      <c r="B5" s="365"/>
      <c r="C5" s="3364" t="s">
        <v>3531</v>
      </c>
      <c r="D5" s="3365"/>
      <c r="E5" s="3362" t="s">
        <v>3532</v>
      </c>
      <c r="F5" s="3363"/>
      <c r="G5" s="3364" t="s">
        <v>3557</v>
      </c>
      <c r="H5" s="3365"/>
      <c r="I5" s="3364" t="s">
        <v>3536</v>
      </c>
      <c r="J5" s="3365"/>
      <c r="K5" s="2077"/>
      <c r="L5" s="2941"/>
      <c r="M5" s="2942"/>
      <c r="N5" s="2942"/>
      <c r="O5" s="2942"/>
      <c r="P5" s="3375"/>
      <c r="Q5" s="3376"/>
      <c r="R5" s="3360"/>
      <c r="S5" s="3361"/>
      <c r="T5" s="3360"/>
      <c r="U5" s="3361"/>
      <c r="V5" s="3381"/>
      <c r="W5" s="3381"/>
      <c r="X5" s="1541"/>
      <c r="Y5" s="3360"/>
      <c r="Z5" s="3361"/>
      <c r="AA5" s="3354"/>
      <c r="AB5" s="3354"/>
      <c r="AC5" s="3354"/>
    </row>
    <row r="6" spans="1:29" ht="15.75" thickBot="1">
      <c r="A6" s="366"/>
      <c r="B6" s="367"/>
      <c r="C6" s="3366" t="s">
        <v>3159</v>
      </c>
      <c r="D6" s="3367"/>
      <c r="E6" s="3366" t="s">
        <v>3159</v>
      </c>
      <c r="F6" s="3367"/>
      <c r="G6" s="3366" t="s">
        <v>3159</v>
      </c>
      <c r="H6" s="3367"/>
      <c r="I6" s="3366" t="s">
        <v>3159</v>
      </c>
      <c r="J6" s="3367"/>
      <c r="K6" s="2077" t="s">
        <v>2366</v>
      </c>
      <c r="L6" s="2941"/>
      <c r="M6" s="2942"/>
      <c r="N6" s="2942"/>
      <c r="O6" s="2942"/>
      <c r="P6" s="3377"/>
      <c r="Q6" s="3378"/>
      <c r="R6" s="3360"/>
      <c r="S6" s="3361"/>
      <c r="T6" s="3379"/>
      <c r="U6" s="3380"/>
      <c r="V6" s="3381"/>
      <c r="W6" s="3381"/>
      <c r="X6" s="1541"/>
      <c r="Y6" s="3379"/>
      <c r="Z6" s="3380"/>
      <c r="AA6" s="3355"/>
      <c r="AB6" s="3355"/>
      <c r="AC6" s="3355"/>
    </row>
    <row r="7" spans="1:29" s="113" customFormat="1" ht="15.75" thickBot="1">
      <c r="A7" s="368" t="s">
        <v>2367</v>
      </c>
      <c r="B7" s="369"/>
      <c r="C7" s="370">
        <f>'数据-取费表'!B2</f>
        <v>44316</v>
      </c>
      <c r="D7" s="371">
        <v>100</v>
      </c>
      <c r="E7" s="372">
        <v>44256</v>
      </c>
      <c r="F7" s="373">
        <f>SUMIF(58:58,YEAR(E7)&amp;"-"&amp;MONTH(E7),59:59)</f>
        <v>100</v>
      </c>
      <c r="G7" s="372">
        <v>44256</v>
      </c>
      <c r="H7" s="371">
        <f>SUMIF(58:58,YEAR(G7)&amp;"-"&amp;MONTH(G7),59:59)</f>
        <v>100</v>
      </c>
      <c r="I7" s="372">
        <v>44256</v>
      </c>
      <c r="J7" s="371">
        <f>SUMIF(58:58,YEAR(I7)&amp;"-"&amp;MONTH(I7),59:59)</f>
        <v>100</v>
      </c>
      <c r="K7" s="2078"/>
      <c r="L7" s="2943"/>
      <c r="M7" s="2944"/>
      <c r="N7" s="2944"/>
      <c r="O7" s="2944"/>
      <c r="P7" s="3356" t="s">
        <v>2368</v>
      </c>
      <c r="Q7" s="3382"/>
      <c r="R7" s="710" t="s">
        <v>23</v>
      </c>
      <c r="S7" s="711">
        <f t="shared" ref="S7:S15" si="0">F7</f>
        <v>100</v>
      </c>
      <c r="T7" s="710" t="s">
        <v>23</v>
      </c>
      <c r="U7" s="711">
        <f t="shared" ref="U7:U15" si="1">H7</f>
        <v>100</v>
      </c>
      <c r="V7" s="710" t="s">
        <v>23</v>
      </c>
      <c r="W7" s="711">
        <f t="shared" ref="W7:W15" si="2">J7</f>
        <v>100</v>
      </c>
      <c r="X7" s="712"/>
      <c r="Y7" s="3356" t="s">
        <v>2368</v>
      </c>
      <c r="Z7" s="3357"/>
      <c r="AA7" s="713">
        <f>D7/F7</f>
        <v>1</v>
      </c>
      <c r="AB7" s="713">
        <f>D7/H7</f>
        <v>1</v>
      </c>
      <c r="AC7" s="713">
        <f>D7/J7</f>
        <v>1</v>
      </c>
    </row>
    <row r="8" spans="1:29" s="113" customFormat="1" ht="15.75" thickBot="1">
      <c r="A8" s="368" t="s">
        <v>2369</v>
      </c>
      <c r="B8" s="369"/>
      <c r="C8" s="374" t="s">
        <v>2370</v>
      </c>
      <c r="D8" s="371">
        <v>100</v>
      </c>
      <c r="E8" s="2079" t="s">
        <v>3470</v>
      </c>
      <c r="F8" s="373">
        <f>SUMIF(61:61,E8,62:62)-SUMIF(61:61,C8,62:62)+100</f>
        <v>100</v>
      </c>
      <c r="G8" s="2079" t="s">
        <v>3470</v>
      </c>
      <c r="H8" s="371">
        <f>SUMIF(61:61,G8,62:62)-SUMIF(61:61,C8,62:62)+100</f>
        <v>100</v>
      </c>
      <c r="I8" s="2079" t="s">
        <v>3470</v>
      </c>
      <c r="J8" s="371">
        <f>SUMIF(61:61,I8,62:62)-SUMIF(61:61,C8,62:62)+100</f>
        <v>100</v>
      </c>
      <c r="K8" s="2078"/>
      <c r="L8" s="2943"/>
      <c r="M8" s="2944"/>
      <c r="N8" s="2944"/>
      <c r="O8" s="2944"/>
      <c r="P8" s="3356" t="s">
        <v>2371</v>
      </c>
      <c r="Q8" s="3357"/>
      <c r="R8" s="710" t="s">
        <v>23</v>
      </c>
      <c r="S8" s="711">
        <f t="shared" si="0"/>
        <v>100</v>
      </c>
      <c r="T8" s="710" t="s">
        <v>23</v>
      </c>
      <c r="U8" s="711">
        <f t="shared" si="1"/>
        <v>100</v>
      </c>
      <c r="V8" s="710" t="s">
        <v>23</v>
      </c>
      <c r="W8" s="711">
        <f t="shared" si="2"/>
        <v>100</v>
      </c>
      <c r="X8" s="712"/>
      <c r="Y8" s="3356" t="s">
        <v>2371</v>
      </c>
      <c r="Z8" s="3357"/>
      <c r="AA8" s="713">
        <f t="shared" ref="AA8:AA19" si="3">D8/F8</f>
        <v>1</v>
      </c>
      <c r="AB8" s="713">
        <f t="shared" ref="AB8:AB19" si="4">D8/H8</f>
        <v>1</v>
      </c>
      <c r="AC8" s="713">
        <f t="shared" ref="AC8:AC19" si="5">D8/J8</f>
        <v>1</v>
      </c>
    </row>
    <row r="9" spans="1:29" s="113" customFormat="1" ht="15">
      <c r="A9" s="375" t="s">
        <v>2372</v>
      </c>
      <c r="B9" s="67" t="s">
        <v>2373</v>
      </c>
      <c r="C9" s="3098" t="s">
        <v>3533</v>
      </c>
      <c r="D9" s="131">
        <v>100</v>
      </c>
      <c r="E9" s="377" t="s">
        <v>1343</v>
      </c>
      <c r="F9" s="378">
        <f>SUMIF(63:63,E9,64:64)-SUMIF(63:63,C9,64:64)+100</f>
        <v>100</v>
      </c>
      <c r="G9" s="377" t="s">
        <v>3534</v>
      </c>
      <c r="H9" s="131">
        <f>SUMIF(63:63,G9,64:64)-SUMIF(63:63,C9,64:64)+100</f>
        <v>120</v>
      </c>
      <c r="I9" s="377" t="s">
        <v>3534</v>
      </c>
      <c r="J9" s="131">
        <f>SUMIF(63:63,I9,64:64)-SUMIF(63:63,C9,64:64)+100</f>
        <v>120</v>
      </c>
      <c r="K9" s="2078"/>
      <c r="L9" s="2943"/>
      <c r="M9" s="2944"/>
      <c r="N9" s="2944"/>
      <c r="O9" s="2944"/>
      <c r="P9" s="3368" t="s">
        <v>2374</v>
      </c>
      <c r="Q9" s="1529" t="str">
        <f t="shared" ref="Q9:Q15" si="6">B9</f>
        <v>用途</v>
      </c>
      <c r="R9" s="710" t="s">
        <v>17</v>
      </c>
      <c r="S9" s="711">
        <f t="shared" si="0"/>
        <v>100</v>
      </c>
      <c r="T9" s="710" t="s">
        <v>17</v>
      </c>
      <c r="U9" s="711">
        <f t="shared" si="1"/>
        <v>120</v>
      </c>
      <c r="V9" s="710" t="s">
        <v>17</v>
      </c>
      <c r="W9" s="711">
        <f t="shared" si="2"/>
        <v>120</v>
      </c>
      <c r="X9" s="712"/>
      <c r="Y9" s="3298" t="s">
        <v>2375</v>
      </c>
      <c r="Z9" s="55" t="str">
        <f t="shared" ref="Z9:Z15" si="7">Q9</f>
        <v>用途</v>
      </c>
      <c r="AA9" s="713">
        <f t="shared" si="3"/>
        <v>1</v>
      </c>
      <c r="AB9" s="713">
        <f t="shared" si="4"/>
        <v>0.83333333333333337</v>
      </c>
      <c r="AC9" s="713">
        <f t="shared" si="5"/>
        <v>0.83333333333333337</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68"/>
      <c r="Q10" s="1529" t="str">
        <f t="shared" si="6"/>
        <v>土地使用年限（年）</v>
      </c>
      <c r="R10" s="710" t="s">
        <v>17</v>
      </c>
      <c r="S10" s="711">
        <f t="shared" si="0"/>
        <v>100</v>
      </c>
      <c r="T10" s="710" t="s">
        <v>17</v>
      </c>
      <c r="U10" s="711">
        <f t="shared" si="1"/>
        <v>100</v>
      </c>
      <c r="V10" s="710" t="s">
        <v>17</v>
      </c>
      <c r="W10" s="711">
        <f t="shared" si="2"/>
        <v>100</v>
      </c>
      <c r="X10" s="712"/>
      <c r="Y10" s="3298"/>
      <c r="Z10" s="55" t="str">
        <f t="shared" si="7"/>
        <v>土地使用年限（年）</v>
      </c>
      <c r="AA10" s="713">
        <f t="shared" si="3"/>
        <v>1</v>
      </c>
      <c r="AB10" s="713">
        <f t="shared" si="4"/>
        <v>1</v>
      </c>
      <c r="AC10" s="713">
        <f t="shared" si="5"/>
        <v>1</v>
      </c>
    </row>
    <row r="11" spans="1:29" ht="15.75" thickBot="1">
      <c r="A11" s="387"/>
      <c r="B11" s="381" t="s">
        <v>2377</v>
      </c>
      <c r="C11" s="388">
        <f>'土地比较法-住宅、综合'!C11</f>
        <v>0.48</v>
      </c>
      <c r="D11" s="132">
        <v>100</v>
      </c>
      <c r="E11" s="389">
        <v>0.49</v>
      </c>
      <c r="F11" s="384">
        <f>LOOKUP(E11,68:68,69:69)-LOOKUP(C11,68:68,69:69)+100</f>
        <v>100</v>
      </c>
      <c r="G11" s="388">
        <v>0.69</v>
      </c>
      <c r="H11" s="132">
        <f>LOOKUP(G11,68:68,69:69)-LOOKUP(C11,68:68,69:69)+100</f>
        <v>100</v>
      </c>
      <c r="I11" s="388">
        <v>1.69</v>
      </c>
      <c r="J11" s="132">
        <f>LOOKUP(I11,68:68,69:69)-LOOKUP(C11,68:68,69:69)+100</f>
        <v>98</v>
      </c>
      <c r="K11" s="385">
        <v>2</v>
      </c>
      <c r="L11" s="2947"/>
      <c r="M11" s="2942"/>
      <c r="N11" s="2942"/>
      <c r="O11" s="2942"/>
      <c r="P11" s="3368"/>
      <c r="Q11" s="1529" t="str">
        <f t="shared" si="6"/>
        <v>容积率</v>
      </c>
      <c r="R11" s="710" t="s">
        <v>21</v>
      </c>
      <c r="S11" s="711">
        <f t="shared" si="0"/>
        <v>100</v>
      </c>
      <c r="T11" s="710" t="s">
        <v>21</v>
      </c>
      <c r="U11" s="711">
        <f t="shared" si="1"/>
        <v>100</v>
      </c>
      <c r="V11" s="710" t="s">
        <v>21</v>
      </c>
      <c r="W11" s="711">
        <f t="shared" si="2"/>
        <v>98</v>
      </c>
      <c r="X11" s="712"/>
      <c r="Y11" s="3298"/>
      <c r="Z11" s="55" t="str">
        <f t="shared" si="7"/>
        <v>容积率</v>
      </c>
      <c r="AA11" s="713">
        <f t="shared" si="3"/>
        <v>1</v>
      </c>
      <c r="AB11" s="713">
        <f t="shared" si="4"/>
        <v>1</v>
      </c>
      <c r="AC11" s="713">
        <f t="shared" si="5"/>
        <v>1.0204081632653061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368"/>
      <c r="Q12" s="1529">
        <f t="shared" si="6"/>
        <v>111</v>
      </c>
      <c r="R12" s="710" t="s">
        <v>21</v>
      </c>
      <c r="S12" s="711">
        <f t="shared" si="0"/>
        <v>100</v>
      </c>
      <c r="T12" s="710" t="s">
        <v>21</v>
      </c>
      <c r="U12" s="711">
        <f t="shared" si="1"/>
        <v>100</v>
      </c>
      <c r="V12" s="710" t="s">
        <v>21</v>
      </c>
      <c r="W12" s="711">
        <f t="shared" si="2"/>
        <v>100</v>
      </c>
      <c r="X12" s="712"/>
      <c r="Y12" s="3298"/>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368"/>
      <c r="Q13" s="1529">
        <f t="shared" si="6"/>
        <v>111</v>
      </c>
      <c r="R13" s="710" t="s">
        <v>21</v>
      </c>
      <c r="S13" s="711">
        <f t="shared" si="0"/>
        <v>100</v>
      </c>
      <c r="T13" s="710" t="s">
        <v>21</v>
      </c>
      <c r="U13" s="711">
        <f t="shared" si="1"/>
        <v>100</v>
      </c>
      <c r="V13" s="710" t="s">
        <v>21</v>
      </c>
      <c r="W13" s="711">
        <f t="shared" si="2"/>
        <v>100</v>
      </c>
      <c r="X13" s="712"/>
      <c r="Y13" s="3298"/>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368"/>
      <c r="Q14" s="1529">
        <f t="shared" si="6"/>
        <v>111</v>
      </c>
      <c r="R14" s="710" t="s">
        <v>21</v>
      </c>
      <c r="S14" s="711">
        <f t="shared" si="0"/>
        <v>100</v>
      </c>
      <c r="T14" s="710" t="s">
        <v>21</v>
      </c>
      <c r="U14" s="711">
        <f t="shared" si="1"/>
        <v>100</v>
      </c>
      <c r="V14" s="710" t="s">
        <v>21</v>
      </c>
      <c r="W14" s="711">
        <f t="shared" si="2"/>
        <v>100</v>
      </c>
      <c r="X14" s="712"/>
      <c r="Y14" s="3298"/>
      <c r="Z14" s="55">
        <f t="shared" si="7"/>
        <v>111</v>
      </c>
      <c r="AA14" s="713">
        <f t="shared" si="3"/>
        <v>1</v>
      </c>
      <c r="AB14" s="713">
        <f t="shared" si="4"/>
        <v>1</v>
      </c>
      <c r="AC14" s="713">
        <f t="shared" si="5"/>
        <v>1</v>
      </c>
    </row>
    <row r="15" spans="1:29" ht="99.75">
      <c r="A15" s="399" t="s">
        <v>2378</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8"/>
      <c r="M15" s="2942"/>
      <c r="N15" s="2942"/>
      <c r="O15" s="2942"/>
      <c r="P15" s="3395" t="s">
        <v>2379</v>
      </c>
      <c r="Q15" s="1538" t="str">
        <f t="shared" si="6"/>
        <v>居住社区成熟度</v>
      </c>
      <c r="R15" s="714" t="s">
        <v>21</v>
      </c>
      <c r="S15" s="715">
        <f t="shared" si="0"/>
        <v>100</v>
      </c>
      <c r="T15" s="714" t="s">
        <v>21</v>
      </c>
      <c r="U15" s="715">
        <f t="shared" si="1"/>
        <v>100</v>
      </c>
      <c r="V15" s="714" t="s">
        <v>21</v>
      </c>
      <c r="W15" s="715">
        <f t="shared" si="2"/>
        <v>100</v>
      </c>
      <c r="X15" s="1541"/>
      <c r="Y15" s="3388" t="s">
        <v>2379</v>
      </c>
      <c r="Z15" s="1542" t="str">
        <f t="shared" si="7"/>
        <v>居住社区成熟度</v>
      </c>
      <c r="AA15" s="1539">
        <f t="shared" si="3"/>
        <v>1</v>
      </c>
      <c r="AB15" s="1539">
        <f t="shared" si="4"/>
        <v>1</v>
      </c>
      <c r="AC15" s="1539">
        <f t="shared" si="5"/>
        <v>1</v>
      </c>
    </row>
    <row r="16" spans="1:29" ht="15">
      <c r="A16" s="387"/>
      <c r="B16" s="405"/>
      <c r="C16" s="406" t="s">
        <v>3520</v>
      </c>
      <c r="D16" s="407"/>
      <c r="E16" s="2084" t="s">
        <v>3520</v>
      </c>
      <c r="F16" s="407"/>
      <c r="G16" s="2084" t="s">
        <v>3520</v>
      </c>
      <c r="H16" s="409"/>
      <c r="I16" s="2084" t="s">
        <v>3520</v>
      </c>
      <c r="J16" s="407"/>
      <c r="K16" s="2086"/>
      <c r="L16" s="2948"/>
      <c r="M16" s="2942"/>
      <c r="N16" s="2942"/>
      <c r="O16" s="2942"/>
      <c r="P16" s="3396"/>
      <c r="Q16" s="1538"/>
      <c r="R16" s="714"/>
      <c r="S16" s="715"/>
      <c r="T16" s="714"/>
      <c r="U16" s="715"/>
      <c r="V16" s="714"/>
      <c r="W16" s="715"/>
      <c r="X16" s="1541"/>
      <c r="Y16" s="3389"/>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98</v>
      </c>
      <c r="G17" s="411"/>
      <c r="H17" s="414">
        <f>SUMIF(78:78,G18,79:79)-SUMIF(78:78,C18,79:79)+100</f>
        <v>100</v>
      </c>
      <c r="I17" s="411"/>
      <c r="J17" s="414">
        <f>SUMIF(78:78,I18,79:79)-SUMIF(78:78,C18,79:79)+100</f>
        <v>100</v>
      </c>
      <c r="K17" s="404">
        <v>2</v>
      </c>
      <c r="L17" s="2948"/>
      <c r="M17" s="2942"/>
      <c r="N17" s="2942"/>
      <c r="O17" s="2942"/>
      <c r="P17" s="3396"/>
      <c r="Q17" s="1538" t="str">
        <f>B17</f>
        <v>交通便捷度</v>
      </c>
      <c r="R17" s="714" t="s">
        <v>21</v>
      </c>
      <c r="S17" s="715">
        <f>F17</f>
        <v>98</v>
      </c>
      <c r="T17" s="714" t="s">
        <v>21</v>
      </c>
      <c r="U17" s="715">
        <f>H17</f>
        <v>100</v>
      </c>
      <c r="V17" s="714" t="s">
        <v>21</v>
      </c>
      <c r="W17" s="715">
        <f>J17</f>
        <v>100</v>
      </c>
      <c r="X17" s="1541"/>
      <c r="Y17" s="3389"/>
      <c r="Z17" s="1542" t="str">
        <f>Q17</f>
        <v>交通便捷度</v>
      </c>
      <c r="AA17" s="1539">
        <f t="shared" si="3"/>
        <v>1.0204081632653061</v>
      </c>
      <c r="AB17" s="1539">
        <f t="shared" si="4"/>
        <v>1</v>
      </c>
      <c r="AC17" s="1539">
        <f t="shared" si="5"/>
        <v>1</v>
      </c>
    </row>
    <row r="18" spans="1:29" ht="15">
      <c r="A18" s="387"/>
      <c r="B18" s="415"/>
      <c r="C18" s="2088" t="s">
        <v>3520</v>
      </c>
      <c r="D18" s="409"/>
      <c r="E18" s="2089" t="s">
        <v>3521</v>
      </c>
      <c r="F18" s="409"/>
      <c r="G18" s="2088" t="s">
        <v>3520</v>
      </c>
      <c r="H18" s="407"/>
      <c r="I18" s="2088" t="s">
        <v>3520</v>
      </c>
      <c r="J18" s="407"/>
      <c r="K18" s="2086"/>
      <c r="L18" s="2948"/>
      <c r="M18" s="2942"/>
      <c r="N18" s="2942"/>
      <c r="O18" s="2942"/>
      <c r="P18" s="3396"/>
      <c r="Q18" s="1538"/>
      <c r="R18" s="714"/>
      <c r="S18" s="715"/>
      <c r="T18" s="714"/>
      <c r="U18" s="715"/>
      <c r="V18" s="714"/>
      <c r="W18" s="715"/>
      <c r="X18" s="1541"/>
      <c r="Y18" s="3389"/>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98</v>
      </c>
      <c r="G19" s="416"/>
      <c r="H19" s="409">
        <f>SUMIF(80:80,G20,81:81)-SUMIF(80:80,C20,81:81)+100</f>
        <v>100</v>
      </c>
      <c r="I19" s="416"/>
      <c r="J19" s="409">
        <f>SUMIF(80:80,I20,81:81)-SUMIF(80:80,C20,81:81)+100</f>
        <v>100</v>
      </c>
      <c r="K19" s="404">
        <v>2</v>
      </c>
      <c r="L19" s="2948"/>
      <c r="M19" s="2942"/>
      <c r="N19" s="2942"/>
      <c r="O19" s="2942"/>
      <c r="P19" s="3396"/>
      <c r="Q19" s="1538" t="str">
        <f>B19</f>
        <v>公共配套设施</v>
      </c>
      <c r="R19" s="714" t="s">
        <v>21</v>
      </c>
      <c r="S19" s="715">
        <f>F19</f>
        <v>98</v>
      </c>
      <c r="T19" s="714" t="s">
        <v>21</v>
      </c>
      <c r="U19" s="715">
        <f>H19</f>
        <v>100</v>
      </c>
      <c r="V19" s="714" t="s">
        <v>21</v>
      </c>
      <c r="W19" s="715">
        <f>J19</f>
        <v>100</v>
      </c>
      <c r="X19" s="1541"/>
      <c r="Y19" s="3389"/>
      <c r="Z19" s="1542" t="str">
        <f>Q19</f>
        <v>公共配套设施</v>
      </c>
      <c r="AA19" s="1539">
        <f t="shared" si="3"/>
        <v>1.0204081632653061</v>
      </c>
      <c r="AB19" s="1539">
        <f t="shared" si="4"/>
        <v>1</v>
      </c>
      <c r="AC19" s="1539">
        <f t="shared" si="5"/>
        <v>1</v>
      </c>
    </row>
    <row r="20" spans="1:29" ht="15">
      <c r="A20" s="387"/>
      <c r="B20" s="415"/>
      <c r="C20" s="406" t="s">
        <v>3520</v>
      </c>
      <c r="D20" s="407"/>
      <c r="E20" s="2084" t="s">
        <v>3521</v>
      </c>
      <c r="F20" s="407"/>
      <c r="G20" s="406" t="s">
        <v>3520</v>
      </c>
      <c r="H20" s="407"/>
      <c r="I20" s="406" t="s">
        <v>3520</v>
      </c>
      <c r="J20" s="407"/>
      <c r="K20" s="2086"/>
      <c r="L20" s="2948"/>
      <c r="M20" s="2942"/>
      <c r="N20" s="2942"/>
      <c r="O20" s="2942"/>
      <c r="P20" s="3396"/>
      <c r="Q20" s="1538"/>
      <c r="R20" s="714"/>
      <c r="S20" s="715"/>
      <c r="T20" s="714"/>
      <c r="U20" s="715"/>
      <c r="V20" s="714"/>
      <c r="W20" s="715"/>
      <c r="X20" s="1541"/>
      <c r="Y20" s="3389"/>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8"/>
      <c r="M21" s="2942"/>
      <c r="N21" s="2942"/>
      <c r="O21" s="2942"/>
      <c r="P21" s="3396"/>
      <c r="Q21" s="1538" t="str">
        <f>B21</f>
        <v>基础设施水平</v>
      </c>
      <c r="R21" s="714" t="s">
        <v>17</v>
      </c>
      <c r="S21" s="715">
        <f>F21</f>
        <v>100</v>
      </c>
      <c r="T21" s="714" t="s">
        <v>17</v>
      </c>
      <c r="U21" s="715">
        <f>H21</f>
        <v>100</v>
      </c>
      <c r="V21" s="714" t="s">
        <v>17</v>
      </c>
      <c r="W21" s="715">
        <f>J21</f>
        <v>100</v>
      </c>
      <c r="X21" s="1541"/>
      <c r="Y21" s="3389"/>
      <c r="Z21" s="1542" t="str">
        <f>Q21</f>
        <v>基础设施水平</v>
      </c>
      <c r="AA21" s="1539">
        <f>D21/F21</f>
        <v>1</v>
      </c>
      <c r="AB21" s="1539">
        <f>D21/H21</f>
        <v>1</v>
      </c>
      <c r="AC21" s="1539">
        <f>D21/J21</f>
        <v>1</v>
      </c>
    </row>
    <row r="22" spans="1:29" ht="15">
      <c r="A22" s="387"/>
      <c r="B22" s="1293"/>
      <c r="C22" s="2088" t="s">
        <v>3514</v>
      </c>
      <c r="D22" s="407"/>
      <c r="E22" s="406" t="s">
        <v>3514</v>
      </c>
      <c r="F22" s="407"/>
      <c r="G22" s="2088" t="s">
        <v>3514</v>
      </c>
      <c r="H22" s="407"/>
      <c r="I22" s="2088" t="s">
        <v>3514</v>
      </c>
      <c r="J22" s="407"/>
      <c r="K22" s="2092"/>
      <c r="L22" s="2948"/>
      <c r="M22" s="2942"/>
      <c r="N22" s="2942"/>
      <c r="O22" s="2942"/>
      <c r="P22" s="3396"/>
      <c r="Q22" s="1538"/>
      <c r="R22" s="714"/>
      <c r="S22" s="715"/>
      <c r="T22" s="714"/>
      <c r="U22" s="715"/>
      <c r="V22" s="714"/>
      <c r="W22" s="715"/>
      <c r="X22" s="1541"/>
      <c r="Y22" s="3389"/>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8"/>
      <c r="M23" s="2942"/>
      <c r="N23" s="2942"/>
      <c r="O23" s="2942"/>
      <c r="P23" s="3396"/>
      <c r="Q23" s="1538" t="str">
        <f>B23</f>
        <v>自然及人文环境</v>
      </c>
      <c r="R23" s="714" t="s">
        <v>21</v>
      </c>
      <c r="S23" s="715">
        <f>F23</f>
        <v>100</v>
      </c>
      <c r="T23" s="714" t="s">
        <v>21</v>
      </c>
      <c r="U23" s="715">
        <f>H23</f>
        <v>100</v>
      </c>
      <c r="V23" s="714" t="s">
        <v>21</v>
      </c>
      <c r="W23" s="715">
        <f>J23</f>
        <v>100</v>
      </c>
      <c r="X23" s="1541"/>
      <c r="Y23" s="3389"/>
      <c r="Z23" s="1542" t="str">
        <f>Q23</f>
        <v>自然及人文环境</v>
      </c>
      <c r="AA23" s="1539">
        <f>D23/F23</f>
        <v>1</v>
      </c>
      <c r="AB23" s="1539">
        <f>D23/H23</f>
        <v>1</v>
      </c>
      <c r="AC23" s="1539">
        <f>D23/J23</f>
        <v>1</v>
      </c>
    </row>
    <row r="24" spans="1:29" ht="15.75" thickBot="1">
      <c r="A24" s="387"/>
      <c r="B24" s="415"/>
      <c r="C24" s="406" t="s">
        <v>3520</v>
      </c>
      <c r="D24" s="407"/>
      <c r="E24" s="406" t="s">
        <v>3520</v>
      </c>
      <c r="F24" s="407"/>
      <c r="G24" s="406" t="s">
        <v>3520</v>
      </c>
      <c r="H24" s="407"/>
      <c r="I24" s="406" t="s">
        <v>3520</v>
      </c>
      <c r="J24" s="407"/>
      <c r="K24" s="2086"/>
      <c r="L24" s="2948"/>
      <c r="M24" s="2942"/>
      <c r="N24" s="2942"/>
      <c r="O24" s="2942"/>
      <c r="P24" s="3396"/>
      <c r="Q24" s="1538"/>
      <c r="R24" s="714"/>
      <c r="S24" s="715"/>
      <c r="T24" s="714"/>
      <c r="U24" s="715"/>
      <c r="V24" s="714"/>
      <c r="W24" s="715"/>
      <c r="X24" s="1541"/>
      <c r="Y24" s="3389"/>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96"/>
      <c r="Q25" s="1538" t="str">
        <f t="shared" ref="Q25:Q46" si="8">B25</f>
        <v>楼层-1</v>
      </c>
      <c r="R25" s="714" t="s">
        <v>21</v>
      </c>
      <c r="S25" s="715">
        <f t="shared" ref="S25:S46" si="9">F25</f>
        <v>100</v>
      </c>
      <c r="T25" s="714" t="s">
        <v>21</v>
      </c>
      <c r="U25" s="715">
        <f t="shared" ref="U25:U46" si="10">H25</f>
        <v>100</v>
      </c>
      <c r="V25" s="714" t="s">
        <v>21</v>
      </c>
      <c r="W25" s="715">
        <f t="shared" ref="W25:W46" si="11">J25</f>
        <v>100</v>
      </c>
      <c r="X25" s="1541"/>
      <c r="Y25" s="3389"/>
      <c r="Z25" s="1542" t="str">
        <f>Q25</f>
        <v>楼层-1</v>
      </c>
      <c r="AA25" s="1539">
        <f t="shared" ref="AA25:AA46" si="12">D25/F25</f>
        <v>1</v>
      </c>
      <c r="AB25" s="1539">
        <f t="shared" ref="AB25:AB46" si="13">D25/H25</f>
        <v>1</v>
      </c>
      <c r="AC25" s="1539">
        <f t="shared" ref="AC25:AC46" si="14">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96"/>
      <c r="Q26" s="1538" t="str">
        <f t="shared" si="8"/>
        <v>朝向</v>
      </c>
      <c r="R26" s="714" t="s">
        <v>21</v>
      </c>
      <c r="S26" s="715">
        <f t="shared" si="9"/>
        <v>100</v>
      </c>
      <c r="T26" s="714" t="s">
        <v>21</v>
      </c>
      <c r="U26" s="715">
        <f t="shared" si="10"/>
        <v>100</v>
      </c>
      <c r="V26" s="714" t="s">
        <v>21</v>
      </c>
      <c r="W26" s="715">
        <f t="shared" si="11"/>
        <v>100</v>
      </c>
      <c r="X26" s="1541"/>
      <c r="Y26" s="3389"/>
      <c r="Z26" s="1542" t="str">
        <f>Q26</f>
        <v>朝向</v>
      </c>
      <c r="AA26" s="1539">
        <f t="shared" si="12"/>
        <v>1</v>
      </c>
      <c r="AB26" s="1539">
        <f t="shared" si="13"/>
        <v>1</v>
      </c>
      <c r="AC26" s="1539">
        <f t="shared" si="14"/>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96"/>
      <c r="Q27" s="1529">
        <f t="shared" si="8"/>
        <v>111</v>
      </c>
      <c r="R27" s="710" t="s">
        <v>21</v>
      </c>
      <c r="S27" s="711">
        <f t="shared" si="9"/>
        <v>100</v>
      </c>
      <c r="T27" s="710" t="s">
        <v>21</v>
      </c>
      <c r="U27" s="711">
        <f t="shared" si="10"/>
        <v>100</v>
      </c>
      <c r="V27" s="710" t="s">
        <v>21</v>
      </c>
      <c r="W27" s="711">
        <f t="shared" si="11"/>
        <v>100</v>
      </c>
      <c r="X27" s="712"/>
      <c r="Y27" s="3389"/>
      <c r="Z27" s="55">
        <f>Q27</f>
        <v>111</v>
      </c>
      <c r="AA27" s="1539">
        <f t="shared" si="12"/>
        <v>1</v>
      </c>
      <c r="AB27" s="1539">
        <f t="shared" si="13"/>
        <v>1</v>
      </c>
      <c r="AC27" s="1539">
        <f t="shared" si="14"/>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96"/>
      <c r="Q28" s="1538">
        <f t="shared" si="8"/>
        <v>111</v>
      </c>
      <c r="R28" s="714" t="s">
        <v>21</v>
      </c>
      <c r="S28" s="715">
        <f t="shared" si="9"/>
        <v>100</v>
      </c>
      <c r="T28" s="714" t="s">
        <v>21</v>
      </c>
      <c r="U28" s="715">
        <f t="shared" si="10"/>
        <v>100</v>
      </c>
      <c r="V28" s="714" t="s">
        <v>21</v>
      </c>
      <c r="W28" s="715">
        <f t="shared" si="11"/>
        <v>100</v>
      </c>
      <c r="X28" s="1541"/>
      <c r="Y28" s="3389"/>
      <c r="Z28" s="1542">
        <f t="shared" ref="Z28:Z46" si="15">Q28</f>
        <v>111</v>
      </c>
      <c r="AA28" s="1539">
        <f t="shared" si="12"/>
        <v>1</v>
      </c>
      <c r="AB28" s="1539">
        <f t="shared" si="13"/>
        <v>1</v>
      </c>
      <c r="AC28" s="1539">
        <f t="shared" si="14"/>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96"/>
      <c r="Q29" s="1538">
        <f t="shared" si="8"/>
        <v>111</v>
      </c>
      <c r="R29" s="714" t="s">
        <v>21</v>
      </c>
      <c r="S29" s="715">
        <f t="shared" si="9"/>
        <v>100</v>
      </c>
      <c r="T29" s="714" t="s">
        <v>21</v>
      </c>
      <c r="U29" s="715">
        <f t="shared" si="10"/>
        <v>100</v>
      </c>
      <c r="V29" s="714" t="s">
        <v>21</v>
      </c>
      <c r="W29" s="715">
        <f t="shared" si="11"/>
        <v>100</v>
      </c>
      <c r="X29" s="1541"/>
      <c r="Y29" s="3389"/>
      <c r="Z29" s="1542">
        <f t="shared" si="15"/>
        <v>111</v>
      </c>
      <c r="AA29" s="1539">
        <f t="shared" si="12"/>
        <v>1</v>
      </c>
      <c r="AB29" s="1539">
        <f t="shared" si="13"/>
        <v>1</v>
      </c>
      <c r="AC29" s="1539">
        <f t="shared" si="14"/>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96"/>
      <c r="Q30" s="1538">
        <f t="shared" si="8"/>
        <v>111</v>
      </c>
      <c r="R30" s="714" t="s">
        <v>21</v>
      </c>
      <c r="S30" s="715">
        <f t="shared" si="9"/>
        <v>100</v>
      </c>
      <c r="T30" s="714" t="s">
        <v>21</v>
      </c>
      <c r="U30" s="715">
        <f t="shared" si="10"/>
        <v>100</v>
      </c>
      <c r="V30" s="714" t="s">
        <v>21</v>
      </c>
      <c r="W30" s="715">
        <f t="shared" si="11"/>
        <v>100</v>
      </c>
      <c r="X30" s="1541"/>
      <c r="Y30" s="3389"/>
      <c r="Z30" s="1542">
        <f t="shared" si="15"/>
        <v>111</v>
      </c>
      <c r="AA30" s="1539">
        <f t="shared" si="12"/>
        <v>1</v>
      </c>
      <c r="AB30" s="1539">
        <f t="shared" si="13"/>
        <v>1</v>
      </c>
      <c r="AC30" s="1539">
        <f t="shared" si="14"/>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96"/>
      <c r="Q31" s="1538">
        <f t="shared" si="8"/>
        <v>111</v>
      </c>
      <c r="R31" s="714" t="s">
        <v>21</v>
      </c>
      <c r="S31" s="715">
        <f t="shared" si="9"/>
        <v>100</v>
      </c>
      <c r="T31" s="714" t="s">
        <v>21</v>
      </c>
      <c r="U31" s="715">
        <f t="shared" si="10"/>
        <v>100</v>
      </c>
      <c r="V31" s="714" t="s">
        <v>21</v>
      </c>
      <c r="W31" s="715">
        <f t="shared" si="11"/>
        <v>100</v>
      </c>
      <c r="X31" s="1541"/>
      <c r="Y31" s="3389"/>
      <c r="Z31" s="1542">
        <f t="shared" si="15"/>
        <v>111</v>
      </c>
      <c r="AA31" s="1539">
        <f t="shared" si="12"/>
        <v>1</v>
      </c>
      <c r="AB31" s="1539">
        <f t="shared" si="13"/>
        <v>1</v>
      </c>
      <c r="AC31" s="1539">
        <f t="shared" si="14"/>
        <v>1</v>
      </c>
    </row>
    <row r="32" spans="1:29" ht="15">
      <c r="A32" s="399" t="s">
        <v>2382</v>
      </c>
      <c r="B32" s="67" t="s">
        <v>2383</v>
      </c>
      <c r="C32" s="2097" t="s">
        <v>3075</v>
      </c>
      <c r="D32" s="426">
        <v>100</v>
      </c>
      <c r="E32" s="2098" t="s">
        <v>3075</v>
      </c>
      <c r="F32" s="420">
        <f>SUMIF(100:100,E32,101:101)-SUMIF(100:100,C32,101:101)+100</f>
        <v>100</v>
      </c>
      <c r="G32" s="2097" t="s">
        <v>3541</v>
      </c>
      <c r="H32" s="426">
        <f>SUMIF(100:100,G32,101:101)-SUMIF(100:100,C32,101:101)+100</f>
        <v>91</v>
      </c>
      <c r="I32" s="2098" t="s">
        <v>3539</v>
      </c>
      <c r="J32" s="394">
        <f>SUMIF(100:100,I32,101:101)-SUMIF(100:100,C32,101:101)+100</f>
        <v>94</v>
      </c>
      <c r="K32" s="385">
        <v>3</v>
      </c>
      <c r="L32" s="2948"/>
      <c r="M32" s="2942"/>
      <c r="N32" s="2942"/>
      <c r="O32" s="2942"/>
      <c r="P32" s="3390" t="s">
        <v>2384</v>
      </c>
      <c r="Q32" s="1538" t="str">
        <f t="shared" si="8"/>
        <v>建筑类型</v>
      </c>
      <c r="R32" s="714" t="s">
        <v>21</v>
      </c>
      <c r="S32" s="715">
        <f t="shared" si="9"/>
        <v>100</v>
      </c>
      <c r="T32" s="714" t="s">
        <v>21</v>
      </c>
      <c r="U32" s="715">
        <f t="shared" si="10"/>
        <v>91</v>
      </c>
      <c r="V32" s="714" t="s">
        <v>21</v>
      </c>
      <c r="W32" s="715">
        <f t="shared" si="11"/>
        <v>94</v>
      </c>
      <c r="X32" s="1541"/>
      <c r="Y32" s="3393" t="s">
        <v>2384</v>
      </c>
      <c r="Z32" s="1542" t="str">
        <f t="shared" si="15"/>
        <v>建筑类型</v>
      </c>
      <c r="AA32" s="1539">
        <f t="shared" si="12"/>
        <v>1</v>
      </c>
      <c r="AB32" s="1539">
        <f t="shared" si="13"/>
        <v>1.098901098901099</v>
      </c>
      <c r="AC32" s="1539">
        <f t="shared" si="14"/>
        <v>1.0638297872340425</v>
      </c>
    </row>
    <row r="33" spans="1:29" s="430" customFormat="1" ht="15">
      <c r="A33" s="427"/>
      <c r="B33" s="381" t="s">
        <v>2385</v>
      </c>
      <c r="C33" s="428">
        <f>'数据-基础表'!M14</f>
        <v>16458.890000000003</v>
      </c>
      <c r="D33" s="132">
        <v>100</v>
      </c>
      <c r="E33" s="389">
        <v>140466</v>
      </c>
      <c r="F33" s="384">
        <f>LOOKUP(E33,103:103,104:104)-LOOKUP(C33,103:103,104:104)+100</f>
        <v>100</v>
      </c>
      <c r="G33" s="388">
        <v>612248</v>
      </c>
      <c r="H33" s="132">
        <f>LOOKUP(G33,103:103,104:104)-LOOKUP(C33,103:103,104:104)+100</f>
        <v>103</v>
      </c>
      <c r="I33" s="389">
        <v>225723</v>
      </c>
      <c r="J33" s="132">
        <f>LOOKUP(I33,103:103,104:104)-LOOKUP(C33,103:103,104:104)+100</f>
        <v>101</v>
      </c>
      <c r="K33" s="2081"/>
      <c r="L33" s="2947"/>
      <c r="M33" s="2949"/>
      <c r="N33" s="2949"/>
      <c r="O33" s="2949"/>
      <c r="P33" s="3391"/>
      <c r="Q33" s="716" t="str">
        <f t="shared" si="8"/>
        <v>项目建筑规模</v>
      </c>
      <c r="R33" s="717" t="s">
        <v>21</v>
      </c>
      <c r="S33" s="718">
        <f t="shared" si="9"/>
        <v>100</v>
      </c>
      <c r="T33" s="717" t="s">
        <v>21</v>
      </c>
      <c r="U33" s="718">
        <f t="shared" si="10"/>
        <v>103</v>
      </c>
      <c r="V33" s="717" t="s">
        <v>21</v>
      </c>
      <c r="W33" s="718">
        <f t="shared" si="11"/>
        <v>101</v>
      </c>
      <c r="X33" s="719"/>
      <c r="Y33" s="3393"/>
      <c r="Z33" s="720" t="str">
        <f t="shared" si="15"/>
        <v>项目建筑规模</v>
      </c>
      <c r="AA33" s="1539">
        <f t="shared" si="12"/>
        <v>1</v>
      </c>
      <c r="AB33" s="1539">
        <f t="shared" si="13"/>
        <v>0.970873786407767</v>
      </c>
      <c r="AC33" s="1539">
        <f t="shared" si="14"/>
        <v>0.99009900990099009</v>
      </c>
    </row>
    <row r="34" spans="1:29" ht="15">
      <c r="A34" s="431"/>
      <c r="B34" s="381" t="s">
        <v>2386</v>
      </c>
      <c r="C34" s="2099" t="s">
        <v>3475</v>
      </c>
      <c r="D34" s="394">
        <v>100</v>
      </c>
      <c r="E34" s="2099" t="s">
        <v>3475</v>
      </c>
      <c r="F34" s="420">
        <f>SUMIF(105:105,E34,106:106)-SUMIF(105:105,C34,106:106)+100</f>
        <v>100</v>
      </c>
      <c r="G34" s="2099" t="s">
        <v>3475</v>
      </c>
      <c r="H34" s="394">
        <f>SUMIF(105:105,G34,106:106)-SUMIF(105:105,C34,106:106)+100</f>
        <v>100</v>
      </c>
      <c r="I34" s="2099" t="s">
        <v>3475</v>
      </c>
      <c r="J34" s="394">
        <f>SUMIF(105:105,I34,106:106)-SUMIF(105:105,C34,106:106)+100</f>
        <v>100</v>
      </c>
      <c r="K34" s="385">
        <v>1</v>
      </c>
      <c r="L34" s="2948"/>
      <c r="M34" s="2942"/>
      <c r="N34" s="2942"/>
      <c r="O34" s="2942"/>
      <c r="P34" s="3391"/>
      <c r="Q34" s="1538" t="str">
        <f t="shared" si="8"/>
        <v>建筑结构</v>
      </c>
      <c r="R34" s="714" t="s">
        <v>21</v>
      </c>
      <c r="S34" s="715">
        <f t="shared" si="9"/>
        <v>100</v>
      </c>
      <c r="T34" s="714" t="s">
        <v>21</v>
      </c>
      <c r="U34" s="715">
        <f t="shared" si="10"/>
        <v>100</v>
      </c>
      <c r="V34" s="714" t="s">
        <v>21</v>
      </c>
      <c r="W34" s="715">
        <f t="shared" si="11"/>
        <v>100</v>
      </c>
      <c r="X34" s="1541"/>
      <c r="Y34" s="3393"/>
      <c r="Z34" s="1542" t="str">
        <f t="shared" si="15"/>
        <v>建筑结构</v>
      </c>
      <c r="AA34" s="1539">
        <f t="shared" si="12"/>
        <v>1</v>
      </c>
      <c r="AB34" s="1539">
        <f t="shared" si="13"/>
        <v>1</v>
      </c>
      <c r="AC34" s="1539">
        <f t="shared" si="14"/>
        <v>1</v>
      </c>
    </row>
    <row r="35" spans="1:29" ht="15">
      <c r="A35" s="431"/>
      <c r="B35" s="381" t="s">
        <v>2387</v>
      </c>
      <c r="C35" s="2093" t="s">
        <v>3520</v>
      </c>
      <c r="D35" s="394">
        <v>100</v>
      </c>
      <c r="E35" s="2093" t="s">
        <v>3520</v>
      </c>
      <c r="F35" s="420">
        <f>SUMIF(107:107,E35,108:108)-SUMIF(107:107,C35,108:108)+100</f>
        <v>100</v>
      </c>
      <c r="G35" s="2093" t="s">
        <v>3520</v>
      </c>
      <c r="H35" s="394">
        <f>SUMIF(107:107,G35,108:108)-SUMIF(107:107,C35,108:108)+100</f>
        <v>100</v>
      </c>
      <c r="I35" s="2093" t="s">
        <v>3520</v>
      </c>
      <c r="J35" s="394">
        <f>SUMIF(107:107,I35,108:108)-SUMIF(107:107,C35,108:108)+100</f>
        <v>100</v>
      </c>
      <c r="K35" s="385">
        <v>1</v>
      </c>
      <c r="L35" s="2948"/>
      <c r="M35" s="2942"/>
      <c r="N35" s="2942"/>
      <c r="O35" s="2942"/>
      <c r="P35" s="3391"/>
      <c r="Q35" s="1538" t="str">
        <f t="shared" si="8"/>
        <v>建筑品质</v>
      </c>
      <c r="R35" s="714" t="s">
        <v>21</v>
      </c>
      <c r="S35" s="715">
        <f t="shared" si="9"/>
        <v>100</v>
      </c>
      <c r="T35" s="714" t="s">
        <v>21</v>
      </c>
      <c r="U35" s="715">
        <f t="shared" si="10"/>
        <v>100</v>
      </c>
      <c r="V35" s="714" t="s">
        <v>21</v>
      </c>
      <c r="W35" s="715">
        <f t="shared" si="11"/>
        <v>100</v>
      </c>
      <c r="X35" s="1541"/>
      <c r="Y35" s="3393"/>
      <c r="Z35" s="1542" t="str">
        <f t="shared" si="15"/>
        <v>建筑品质</v>
      </c>
      <c r="AA35" s="1539">
        <f t="shared" si="12"/>
        <v>1</v>
      </c>
      <c r="AB35" s="1539">
        <f t="shared" si="13"/>
        <v>1</v>
      </c>
      <c r="AC35" s="1539">
        <f t="shared" si="14"/>
        <v>1</v>
      </c>
    </row>
    <row r="36" spans="1:29" ht="15">
      <c r="A36" s="431"/>
      <c r="B36" s="381" t="s">
        <v>2388</v>
      </c>
      <c r="C36" s="2093" t="s">
        <v>3544</v>
      </c>
      <c r="D36" s="394">
        <v>100</v>
      </c>
      <c r="E36" s="2093" t="s">
        <v>3544</v>
      </c>
      <c r="F36" s="420">
        <f>SUMIF(109:109,E36,110:110)-SUMIF(109:109,C36,110:110)+100</f>
        <v>100</v>
      </c>
      <c r="G36" s="2093" t="s">
        <v>3544</v>
      </c>
      <c r="H36" s="394">
        <f>SUMIF(109:109,G36,110:110)-SUMIF(109:109,C36,110:110)+100</f>
        <v>100</v>
      </c>
      <c r="I36" s="2093" t="s">
        <v>3544</v>
      </c>
      <c r="J36" s="394">
        <f>SUMIF(109:109,I36,110:110)-SUMIF(109:109,C36,110:110)+100</f>
        <v>100</v>
      </c>
      <c r="K36" s="385">
        <v>2</v>
      </c>
      <c r="L36" s="2948"/>
      <c r="M36" s="2942"/>
      <c r="N36" s="2942"/>
      <c r="O36" s="2942"/>
      <c r="P36" s="3391"/>
      <c r="Q36" s="1538" t="str">
        <f t="shared" si="8"/>
        <v>公共部分装修</v>
      </c>
      <c r="R36" s="714" t="s">
        <v>21</v>
      </c>
      <c r="S36" s="715">
        <f t="shared" si="9"/>
        <v>100</v>
      </c>
      <c r="T36" s="714" t="s">
        <v>21</v>
      </c>
      <c r="U36" s="715">
        <f t="shared" si="10"/>
        <v>100</v>
      </c>
      <c r="V36" s="714" t="s">
        <v>21</v>
      </c>
      <c r="W36" s="715">
        <f t="shared" si="11"/>
        <v>100</v>
      </c>
      <c r="X36" s="1541"/>
      <c r="Y36" s="3393"/>
      <c r="Z36" s="1542" t="str">
        <f t="shared" si="15"/>
        <v>公共部分装修</v>
      </c>
      <c r="AA36" s="1539">
        <f t="shared" si="12"/>
        <v>1</v>
      </c>
      <c r="AB36" s="1539">
        <f t="shared" si="13"/>
        <v>1</v>
      </c>
      <c r="AC36" s="1539">
        <f t="shared" si="14"/>
        <v>1</v>
      </c>
    </row>
    <row r="37" spans="1:29" s="113" customFormat="1" ht="15">
      <c r="A37" s="432"/>
      <c r="B37" s="381" t="s">
        <v>2389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3"/>
      <c r="M37" s="2944"/>
      <c r="N37" s="2944"/>
      <c r="O37" s="2944"/>
      <c r="P37" s="3391"/>
      <c r="Q37" s="1529" t="str">
        <f t="shared" si="8"/>
        <v>成新度</v>
      </c>
      <c r="R37" s="710" t="s">
        <v>21</v>
      </c>
      <c r="S37" s="711">
        <f t="shared" si="9"/>
        <v>100</v>
      </c>
      <c r="T37" s="710" t="s">
        <v>21</v>
      </c>
      <c r="U37" s="711">
        <f t="shared" si="10"/>
        <v>100</v>
      </c>
      <c r="V37" s="710" t="s">
        <v>21</v>
      </c>
      <c r="W37" s="711">
        <f t="shared" si="11"/>
        <v>100</v>
      </c>
      <c r="X37" s="712"/>
      <c r="Y37" s="3393"/>
      <c r="Z37" s="55" t="str">
        <f t="shared" si="15"/>
        <v>成新度</v>
      </c>
      <c r="AA37" s="713">
        <f t="shared" si="12"/>
        <v>1</v>
      </c>
      <c r="AB37" s="713">
        <f t="shared" si="13"/>
        <v>1</v>
      </c>
      <c r="AC37" s="713">
        <f t="shared" si="14"/>
        <v>1</v>
      </c>
    </row>
    <row r="38" spans="1:29" ht="15">
      <c r="A38" s="431"/>
      <c r="B38" s="381" t="s">
        <v>2390</v>
      </c>
      <c r="C38" s="2093" t="s">
        <v>3520</v>
      </c>
      <c r="D38" s="394">
        <v>100</v>
      </c>
      <c r="E38" s="2093" t="s">
        <v>3520</v>
      </c>
      <c r="F38" s="420">
        <f>SUMIF(114:114,E38,115:115)-SUMIF(114:114,C38,115:115)+100</f>
        <v>100</v>
      </c>
      <c r="G38" s="2093" t="s">
        <v>3520</v>
      </c>
      <c r="H38" s="394">
        <f>SUMIF(114:114,G38,115:115)-SUMIF(114:114,C38,115:115)+100</f>
        <v>100</v>
      </c>
      <c r="I38" s="2093" t="s">
        <v>3520</v>
      </c>
      <c r="J38" s="394">
        <f>SUMIF(114:114,I38,115:115)-SUMIF(114:114,C38,115:115)+100</f>
        <v>100</v>
      </c>
      <c r="K38" s="385">
        <v>2</v>
      </c>
      <c r="L38" s="2948"/>
      <c r="M38" s="2942"/>
      <c r="N38" s="2942"/>
      <c r="O38" s="2942"/>
      <c r="P38" s="3391" t="s">
        <v>2384</v>
      </c>
      <c r="Q38" s="1538" t="str">
        <f t="shared" si="8"/>
        <v>物业管理</v>
      </c>
      <c r="R38" s="714" t="s">
        <v>21</v>
      </c>
      <c r="S38" s="715">
        <f t="shared" si="9"/>
        <v>100</v>
      </c>
      <c r="T38" s="714" t="s">
        <v>21</v>
      </c>
      <c r="U38" s="715">
        <f t="shared" si="10"/>
        <v>100</v>
      </c>
      <c r="V38" s="714" t="s">
        <v>21</v>
      </c>
      <c r="W38" s="715">
        <f t="shared" si="11"/>
        <v>100</v>
      </c>
      <c r="X38" s="1541"/>
      <c r="Y38" s="3393" t="s">
        <v>2384</v>
      </c>
      <c r="Z38" s="1542" t="str">
        <f t="shared" si="15"/>
        <v>物业管理</v>
      </c>
      <c r="AA38" s="1539">
        <f t="shared" si="12"/>
        <v>1</v>
      </c>
      <c r="AB38" s="1539">
        <f t="shared" si="13"/>
        <v>1</v>
      </c>
      <c r="AC38" s="1539">
        <f t="shared" si="14"/>
        <v>1</v>
      </c>
    </row>
    <row r="39" spans="1:29" ht="15">
      <c r="A39" s="431"/>
      <c r="B39" s="381" t="s">
        <v>2391</v>
      </c>
      <c r="C39" s="2093" t="s">
        <v>3514</v>
      </c>
      <c r="D39" s="394">
        <v>100</v>
      </c>
      <c r="E39" s="2093" t="s">
        <v>3514</v>
      </c>
      <c r="F39" s="420">
        <f>SUMIF(116:116,E39,117:117)-SUMIF(116:116,C39,117:117)+100</f>
        <v>100</v>
      </c>
      <c r="G39" s="2093" t="s">
        <v>3514</v>
      </c>
      <c r="H39" s="394">
        <f>SUMIF(116:116,G39,117:117)-SUMIF(116:116,C39,117:117)+100</f>
        <v>100</v>
      </c>
      <c r="I39" s="2093" t="s">
        <v>3514</v>
      </c>
      <c r="J39" s="394">
        <f>SUMIF(116:116,I39,117:117)-SUMIF(116:116,C39,117:117)+100</f>
        <v>100</v>
      </c>
      <c r="K39" s="385">
        <v>1</v>
      </c>
      <c r="L39" s="2948"/>
      <c r="M39" s="2942"/>
      <c r="N39" s="2942"/>
      <c r="O39" s="2942"/>
      <c r="P39" s="3391"/>
      <c r="Q39" s="1538" t="str">
        <f t="shared" si="8"/>
        <v>市政基础设施</v>
      </c>
      <c r="R39" s="714" t="s">
        <v>21</v>
      </c>
      <c r="S39" s="715">
        <f t="shared" si="9"/>
        <v>100</v>
      </c>
      <c r="T39" s="714" t="s">
        <v>21</v>
      </c>
      <c r="U39" s="715">
        <f t="shared" si="10"/>
        <v>100</v>
      </c>
      <c r="V39" s="714" t="s">
        <v>21</v>
      </c>
      <c r="W39" s="715">
        <f t="shared" si="11"/>
        <v>100</v>
      </c>
      <c r="X39" s="1541"/>
      <c r="Y39" s="3393"/>
      <c r="Z39" s="1542" t="str">
        <f t="shared" si="15"/>
        <v>市政基础设施</v>
      </c>
      <c r="AA39" s="1539">
        <f t="shared" si="12"/>
        <v>1</v>
      </c>
      <c r="AB39" s="1539">
        <f t="shared" si="13"/>
        <v>1</v>
      </c>
      <c r="AC39" s="1539">
        <f t="shared" si="14"/>
        <v>1</v>
      </c>
    </row>
    <row r="40" spans="1:29" ht="15" hidden="1">
      <c r="A40" s="431"/>
      <c r="B40" s="381" t="s">
        <v>2392</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91"/>
      <c r="Q40" s="1538" t="str">
        <f t="shared" si="8"/>
        <v>房型</v>
      </c>
      <c r="R40" s="714" t="s">
        <v>21</v>
      </c>
      <c r="S40" s="715">
        <f t="shared" si="9"/>
        <v>100</v>
      </c>
      <c r="T40" s="714" t="s">
        <v>21</v>
      </c>
      <c r="U40" s="715">
        <f t="shared" si="10"/>
        <v>100</v>
      </c>
      <c r="V40" s="714" t="s">
        <v>21</v>
      </c>
      <c r="W40" s="715">
        <f t="shared" si="11"/>
        <v>100</v>
      </c>
      <c r="X40" s="1541"/>
      <c r="Y40" s="3393"/>
      <c r="Z40" s="1542" t="str">
        <f t="shared" si="15"/>
        <v>房型</v>
      </c>
      <c r="AA40" s="1539">
        <f t="shared" si="12"/>
        <v>1</v>
      </c>
      <c r="AB40" s="1539">
        <f t="shared" si="13"/>
        <v>1</v>
      </c>
      <c r="AC40" s="1539">
        <f t="shared" si="14"/>
        <v>1</v>
      </c>
    </row>
    <row r="41" spans="1:29" s="430" customFormat="1" ht="28.5">
      <c r="A41" s="427"/>
      <c r="B41" s="381" t="s">
        <v>2393</v>
      </c>
      <c r="C41" s="428">
        <f>典型户型修正!B24</f>
        <v>419.34</v>
      </c>
      <c r="D41" s="132">
        <v>100</v>
      </c>
      <c r="E41" s="389">
        <v>383.5</v>
      </c>
      <c r="F41" s="384">
        <f>SUMIF(120:120,E41,121:121)-SUMIF(120:120,C41,121:121)+100</f>
        <v>100</v>
      </c>
      <c r="G41" s="388">
        <v>614</v>
      </c>
      <c r="H41" s="132">
        <f>SUMIF(120:120,G41,121:121)-SUMIF(120:120,C41,121:121)+100</f>
        <v>102</v>
      </c>
      <c r="I41" s="436">
        <v>220</v>
      </c>
      <c r="J41" s="394">
        <f>SUMIF(120:120,I41,121:121)-SUMIF(120:120,C41,121:121)+100</f>
        <v>98</v>
      </c>
      <c r="K41" s="2081"/>
      <c r="L41" s="2947"/>
      <c r="M41" s="2949"/>
      <c r="N41" s="2949"/>
      <c r="O41" s="2949"/>
      <c r="P41" s="3391"/>
      <c r="Q41" s="716" t="str">
        <f t="shared" si="8"/>
        <v>单套/主力户型建筑面积</v>
      </c>
      <c r="R41" s="717" t="s">
        <v>21</v>
      </c>
      <c r="S41" s="718">
        <f t="shared" si="9"/>
        <v>100</v>
      </c>
      <c r="T41" s="717" t="s">
        <v>21</v>
      </c>
      <c r="U41" s="718">
        <f t="shared" si="10"/>
        <v>102</v>
      </c>
      <c r="V41" s="717" t="s">
        <v>21</v>
      </c>
      <c r="W41" s="718">
        <f t="shared" si="11"/>
        <v>98</v>
      </c>
      <c r="X41" s="719"/>
      <c r="Y41" s="3393"/>
      <c r="Z41" s="720" t="str">
        <f t="shared" si="15"/>
        <v>单套/主力户型建筑面积</v>
      </c>
      <c r="AA41" s="1539">
        <f t="shared" si="12"/>
        <v>1</v>
      </c>
      <c r="AB41" s="1539">
        <f t="shared" si="13"/>
        <v>0.98039215686274506</v>
      </c>
      <c r="AC41" s="1539">
        <f t="shared" si="14"/>
        <v>1.0204081632653061</v>
      </c>
    </row>
    <row r="42" spans="1:29" ht="15">
      <c r="A42" s="431"/>
      <c r="B42" s="381" t="s">
        <v>2394</v>
      </c>
      <c r="C42" s="2093" t="s">
        <v>3548</v>
      </c>
      <c r="D42" s="394">
        <v>100</v>
      </c>
      <c r="E42" s="2093" t="s">
        <v>3548</v>
      </c>
      <c r="F42" s="420">
        <f>SUMIF(122:122,E42,123:123)-SUMIF(122:122,C42,123:123)+100</f>
        <v>100</v>
      </c>
      <c r="G42" s="2093" t="s">
        <v>3548</v>
      </c>
      <c r="H42" s="394">
        <f>SUMIF(122:122,G42,123:123)-SUMIF(122:122,C42,123:123)+100</f>
        <v>100</v>
      </c>
      <c r="I42" s="2093" t="s">
        <v>3548</v>
      </c>
      <c r="J42" s="394">
        <f>SUMIF(122:122,I42,123:123)-SUMIF(122:122,C42,123:123)+100</f>
        <v>100</v>
      </c>
      <c r="K42" s="385">
        <v>2</v>
      </c>
      <c r="L42" s="2948"/>
      <c r="M42" s="2942"/>
      <c r="N42" s="2942"/>
      <c r="O42" s="2942"/>
      <c r="P42" s="3391"/>
      <c r="Q42" s="1538" t="str">
        <f t="shared" si="8"/>
        <v>内部装修</v>
      </c>
      <c r="R42" s="714" t="s">
        <v>21</v>
      </c>
      <c r="S42" s="715">
        <f t="shared" si="9"/>
        <v>100</v>
      </c>
      <c r="T42" s="714" t="s">
        <v>21</v>
      </c>
      <c r="U42" s="715">
        <f t="shared" si="10"/>
        <v>100</v>
      </c>
      <c r="V42" s="714" t="s">
        <v>21</v>
      </c>
      <c r="W42" s="715">
        <f t="shared" si="11"/>
        <v>100</v>
      </c>
      <c r="X42" s="1541"/>
      <c r="Y42" s="3393"/>
      <c r="Z42" s="1542" t="str">
        <f t="shared" si="15"/>
        <v>内部装修</v>
      </c>
      <c r="AA42" s="1539">
        <f t="shared" si="12"/>
        <v>1</v>
      </c>
      <c r="AB42" s="1539">
        <f t="shared" si="13"/>
        <v>1</v>
      </c>
      <c r="AC42" s="1539">
        <f t="shared" si="14"/>
        <v>1</v>
      </c>
    </row>
    <row r="43" spans="1:29" ht="15" hidden="1">
      <c r="A43" s="431"/>
      <c r="B43" s="381" t="s">
        <v>2395</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91"/>
      <c r="Q43" s="1538" t="str">
        <f t="shared" si="8"/>
        <v>内部装修维护情况</v>
      </c>
      <c r="R43" s="714" t="s">
        <v>21</v>
      </c>
      <c r="S43" s="715">
        <f t="shared" si="9"/>
        <v>100</v>
      </c>
      <c r="T43" s="714" t="s">
        <v>21</v>
      </c>
      <c r="U43" s="715">
        <f t="shared" si="10"/>
        <v>100</v>
      </c>
      <c r="V43" s="714" t="s">
        <v>21</v>
      </c>
      <c r="W43" s="715">
        <f t="shared" si="11"/>
        <v>100</v>
      </c>
      <c r="X43" s="1541"/>
      <c r="Y43" s="3393"/>
      <c r="Z43" s="1542" t="str">
        <f t="shared" si="15"/>
        <v>内部装修维护情况</v>
      </c>
      <c r="AA43" s="1539">
        <f t="shared" si="12"/>
        <v>1</v>
      </c>
      <c r="AB43" s="1539">
        <f t="shared" si="13"/>
        <v>1</v>
      </c>
      <c r="AC43" s="1539">
        <f t="shared" si="14"/>
        <v>1</v>
      </c>
    </row>
    <row r="44" spans="1:29" s="113" customFormat="1" ht="15">
      <c r="A44" s="432"/>
      <c r="B44" s="3100" t="s">
        <v>3550</v>
      </c>
      <c r="C44" s="3102" t="s">
        <v>3552</v>
      </c>
      <c r="D44" s="132">
        <v>100</v>
      </c>
      <c r="E44" s="3102" t="s">
        <v>3553</v>
      </c>
      <c r="F44" s="384">
        <f>SUMIF(126:126,E44,127:127)-SUMIF(126:126,C44,127:127)+100</f>
        <v>98</v>
      </c>
      <c r="G44" s="3102" t="s">
        <v>3553</v>
      </c>
      <c r="H44" s="132">
        <f>SUMIF(126:126,G44,127:127)-SUMIF(126:126,C44,127:127)+100</f>
        <v>98</v>
      </c>
      <c r="I44" s="3102" t="s">
        <v>3553</v>
      </c>
      <c r="J44" s="132">
        <f>SUMIF(126:126,I44,127:127)-SUMIF(126:126,C44,127:127)+100</f>
        <v>98</v>
      </c>
      <c r="K44" s="2081"/>
      <c r="L44" s="2943"/>
      <c r="M44" s="2944"/>
      <c r="N44" s="2944"/>
      <c r="O44" s="2944"/>
      <c r="P44" s="3391"/>
      <c r="Q44" s="1529" t="str">
        <f t="shared" si="8"/>
        <v>是否温泉入户</v>
      </c>
      <c r="R44" s="710" t="s">
        <v>21</v>
      </c>
      <c r="S44" s="711">
        <f t="shared" si="9"/>
        <v>98</v>
      </c>
      <c r="T44" s="710" t="s">
        <v>21</v>
      </c>
      <c r="U44" s="711">
        <f t="shared" si="10"/>
        <v>98</v>
      </c>
      <c r="V44" s="710" t="s">
        <v>21</v>
      </c>
      <c r="W44" s="711">
        <f t="shared" si="11"/>
        <v>98</v>
      </c>
      <c r="X44" s="712"/>
      <c r="Y44" s="3393"/>
      <c r="Z44" s="55" t="str">
        <f t="shared" si="15"/>
        <v>是否温泉入户</v>
      </c>
      <c r="AA44" s="713">
        <f t="shared" si="12"/>
        <v>1.0204081632653061</v>
      </c>
      <c r="AB44" s="713">
        <f t="shared" si="13"/>
        <v>1.0204081632653061</v>
      </c>
      <c r="AC44" s="713">
        <f t="shared" si="14"/>
        <v>1.0204081632653061</v>
      </c>
    </row>
    <row r="45" spans="1:29" ht="15">
      <c r="A45" s="431"/>
      <c r="B45" s="3100"/>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91"/>
      <c r="Q45" s="1538">
        <f t="shared" si="8"/>
        <v>0</v>
      </c>
      <c r="R45" s="714" t="s">
        <v>21</v>
      </c>
      <c r="S45" s="715">
        <f t="shared" si="9"/>
        <v>100</v>
      </c>
      <c r="T45" s="714" t="s">
        <v>21</v>
      </c>
      <c r="U45" s="715">
        <f t="shared" si="10"/>
        <v>100</v>
      </c>
      <c r="V45" s="714" t="s">
        <v>21</v>
      </c>
      <c r="W45" s="715">
        <f t="shared" si="11"/>
        <v>100</v>
      </c>
      <c r="X45" s="1541"/>
      <c r="Y45" s="3393"/>
      <c r="Z45" s="1542">
        <f t="shared" si="15"/>
        <v>0</v>
      </c>
      <c r="AA45" s="1539">
        <f t="shared" si="12"/>
        <v>1</v>
      </c>
      <c r="AB45" s="1539">
        <f t="shared" si="13"/>
        <v>1</v>
      </c>
      <c r="AC45" s="1539">
        <f t="shared" si="14"/>
        <v>1</v>
      </c>
    </row>
    <row r="46" spans="1:29" ht="15.75" thickBot="1">
      <c r="A46" s="437"/>
      <c r="B46" s="3101" t="s">
        <v>3551</v>
      </c>
      <c r="C46" s="393" t="s">
        <v>3555</v>
      </c>
      <c r="D46" s="397">
        <v>100</v>
      </c>
      <c r="E46" s="396" t="s">
        <v>3560</v>
      </c>
      <c r="F46" s="398">
        <f>SUMIF(130:130,E46,131:131)-SUMIF(130:130,C46,131:131)+100</f>
        <v>100</v>
      </c>
      <c r="G46" s="396" t="s">
        <v>3558</v>
      </c>
      <c r="H46" s="397">
        <f>SUMIF(130:130,G46,131:131)-SUMIF(130:130,C46,131:131)+100</f>
        <v>98</v>
      </c>
      <c r="I46" s="396" t="s">
        <v>3559</v>
      </c>
      <c r="J46" s="397">
        <f>SUMIF(130:130,I46,131:131)-SUMIF(130:130,C46,131:131)+100</f>
        <v>98</v>
      </c>
      <c r="K46" s="2081"/>
      <c r="L46" s="2948"/>
      <c r="M46" s="2942"/>
      <c r="N46" s="2942"/>
      <c r="O46" s="2942"/>
      <c r="P46" s="3392"/>
      <c r="Q46" s="1538" t="str">
        <f t="shared" si="8"/>
        <v>赠送花园</v>
      </c>
      <c r="R46" s="714" t="s">
        <v>20</v>
      </c>
      <c r="S46" s="715">
        <f t="shared" si="9"/>
        <v>100</v>
      </c>
      <c r="T46" s="714" t="s">
        <v>20</v>
      </c>
      <c r="U46" s="715">
        <f t="shared" si="10"/>
        <v>98</v>
      </c>
      <c r="V46" s="714" t="s">
        <v>20</v>
      </c>
      <c r="W46" s="715">
        <f t="shared" si="11"/>
        <v>98</v>
      </c>
      <c r="X46" s="1541"/>
      <c r="Y46" s="3394"/>
      <c r="Z46" s="1542" t="str">
        <f t="shared" si="15"/>
        <v>赠送花园</v>
      </c>
      <c r="AA46" s="1539">
        <f t="shared" si="12"/>
        <v>1</v>
      </c>
      <c r="AB46" s="1539">
        <f t="shared" si="13"/>
        <v>1.0204081632653061</v>
      </c>
      <c r="AC46" s="1539">
        <f t="shared" si="14"/>
        <v>1.0204081632653061</v>
      </c>
    </row>
    <row r="47" spans="1:29" ht="15">
      <c r="A47" s="438" t="s">
        <v>2396</v>
      </c>
      <c r="B47" s="439"/>
      <c r="C47" s="1316" t="s">
        <v>19</v>
      </c>
      <c r="D47" s="1317"/>
      <c r="E47" s="1318">
        <v>23000</v>
      </c>
      <c r="F47" s="1319"/>
      <c r="G47" s="1320">
        <v>21000</v>
      </c>
      <c r="H47" s="1321"/>
      <c r="I47" s="1318">
        <v>20000</v>
      </c>
      <c r="J47" s="1321"/>
      <c r="K47" s="2100"/>
      <c r="L47" s="2950"/>
      <c r="M47" s="2951"/>
      <c r="N47" s="2942"/>
      <c r="O47" s="2951"/>
      <c r="P47" s="3386" t="str">
        <f>A47</f>
        <v>成交单价（元/平方米）</v>
      </c>
      <c r="Q47" s="3386"/>
      <c r="R47" s="3387">
        <f>E47</f>
        <v>23000</v>
      </c>
      <c r="S47" s="3387"/>
      <c r="T47" s="3387">
        <f>G47</f>
        <v>21000</v>
      </c>
      <c r="U47" s="3387"/>
      <c r="V47" s="3387">
        <f>I47</f>
        <v>20000</v>
      </c>
      <c r="W47" s="3387"/>
      <c r="X47" s="699"/>
      <c r="Y47" s="721"/>
      <c r="Z47" s="699"/>
      <c r="AA47" s="699"/>
      <c r="AB47" s="699"/>
      <c r="AC47" s="699"/>
    </row>
    <row r="48" spans="1:29" ht="15.75" thickBot="1">
      <c r="A48" s="445" t="s">
        <v>2397</v>
      </c>
      <c r="B48" s="446"/>
      <c r="C48" s="1322">
        <f>R49</f>
        <v>20843</v>
      </c>
      <c r="D48" s="2538" t="s">
        <v>2873</v>
      </c>
      <c r="E48" s="1323">
        <f>R48</f>
        <v>24437</v>
      </c>
      <c r="F48" s="2539"/>
      <c r="G48" s="1322">
        <f>T48</f>
        <v>19059</v>
      </c>
      <c r="H48" s="2539"/>
      <c r="I48" s="1323">
        <f>V48</f>
        <v>19032</v>
      </c>
      <c r="J48" s="2539"/>
      <c r="K48" s="2540">
        <f>F48+H48+J48</f>
        <v>0</v>
      </c>
      <c r="L48" s="2950"/>
      <c r="M48" s="2951"/>
      <c r="N48" s="2951"/>
      <c r="O48" s="2951"/>
      <c r="P48" s="3386" t="str">
        <f>A48</f>
        <v>比较价值（元/平方米）</v>
      </c>
      <c r="Q48" s="3386"/>
      <c r="R48" s="3387">
        <f>IF(F1="售价",ROUND(PRODUCT(R47,AA7:AA46),0),ROUND(PRODUCT(R47,AA7:AA46),1))</f>
        <v>24437</v>
      </c>
      <c r="S48" s="3387"/>
      <c r="T48" s="3387">
        <f>IF(F1="售价",ROUND(PRODUCT(T47,AB7:AB46),0),ROUND(PRODUCT(T47,AB7:AB46),1))</f>
        <v>19059</v>
      </c>
      <c r="U48" s="3387"/>
      <c r="V48" s="3387">
        <f>IF(F1="售价",ROUND(PRODUCT(V47,AC7:AC46),0),ROUND(PRODUCT(V47,AC7:AC46),1))</f>
        <v>19032</v>
      </c>
      <c r="W48" s="3387"/>
      <c r="X48" s="699"/>
      <c r="Y48" s="699"/>
      <c r="Z48" s="699"/>
      <c r="AA48" s="699"/>
      <c r="AB48" s="699"/>
      <c r="AC48" s="699"/>
    </row>
    <row r="49" spans="1:29" ht="15.75" thickBot="1">
      <c r="A49" s="449" t="s">
        <v>2398</v>
      </c>
      <c r="B49" s="450"/>
      <c r="C49" s="1324">
        <f>R49</f>
        <v>20843</v>
      </c>
      <c r="D49" s="1325"/>
      <c r="E49" s="1325"/>
      <c r="F49" s="1325"/>
      <c r="G49" s="1325"/>
      <c r="H49" s="1325"/>
      <c r="I49" s="1325"/>
      <c r="J49" s="1325"/>
      <c r="K49" s="2101"/>
      <c r="L49" s="2950"/>
      <c r="M49" s="2951"/>
      <c r="N49" s="2951"/>
      <c r="O49" s="2951"/>
      <c r="P49" s="3383" t="str">
        <f>A49</f>
        <v>估价对象XX用房的比较价值（楼面单价，元/平方米）</v>
      </c>
      <c r="Q49" s="3384"/>
      <c r="R49" s="3385">
        <f>IF(F1="售价",ROUND(IF(D48="简单平均",AVERAGE(R48:V48),R48*F48+T48*H48+V48*J48),0),ROUND(IF(D48="简单平均",AVERAGE(R48:V48),R48*F48+T48*H48+V48*J48),1))</f>
        <v>20843</v>
      </c>
      <c r="S49" s="3385"/>
      <c r="T49" s="3385"/>
      <c r="U49" s="3385"/>
      <c r="V49" s="3385"/>
      <c r="W49" s="3385"/>
      <c r="X49" s="699"/>
      <c r="Y49" s="699"/>
      <c r="Z49" s="699"/>
      <c r="AA49" s="699"/>
      <c r="AB49" s="699"/>
      <c r="AC49" s="699"/>
    </row>
    <row r="50" spans="1:29">
      <c r="A50" s="2951"/>
      <c r="B50" s="2951"/>
      <c r="C50" s="2951">
        <f>ROUND(C49*1100/C41,0)</f>
        <v>54675</v>
      </c>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f>IF(E47&lt;E48,E48/E47-1,E47/E48-1)</f>
        <v>6.2478260869565316E-2</v>
      </c>
      <c r="F52" s="457" t="str">
        <f>IF(OR(E52&gt;=0.3,E52&lt;=-0.3),"超过30%","")</f>
        <v/>
      </c>
      <c r="G52" s="456">
        <f>IF(G47&lt;G48,G48/G47-1,G47/G48-1)</f>
        <v>0.10184164961435549</v>
      </c>
      <c r="H52" s="457" t="str">
        <f>IF(OR(G52&gt;=0.3,G52&lt;=-0.3),"超过30%","")</f>
        <v/>
      </c>
      <c r="I52" s="456">
        <f>IF(I47&lt;I48,I48/I47-1,I47/I48-1)</f>
        <v>5.0861706599411471E-2</v>
      </c>
      <c r="J52" s="457" t="str">
        <f>IF(OR(I52&gt;=0.3,I52&lt;=-0.3),"超过30%","")</f>
        <v/>
      </c>
      <c r="K52" s="2956"/>
      <c r="L52" s="2952"/>
      <c r="M52" s="2951"/>
      <c r="N52" s="2951"/>
      <c r="O52" s="2951"/>
    </row>
    <row r="53" spans="1:29" ht="13.5" customHeight="1">
      <c r="A53" s="2951"/>
      <c r="B53" s="2951"/>
      <c r="C53" s="454" t="s">
        <v>2400</v>
      </c>
      <c r="D53" s="458"/>
      <c r="E53" s="456">
        <f>IF(E48&lt;G48,G48/E48-1,E48/G48-1)</f>
        <v>0.2821763996012383</v>
      </c>
      <c r="F53" s="457" t="str">
        <f>IF(OR(E53&gt;=0.2,E53&lt;=-0.2),"超过20%","")</f>
        <v>超过20%</v>
      </c>
      <c r="G53" s="456">
        <f>IF(G48&lt;I48,I48/G48-1,G48/I48-1)</f>
        <v>1.4186633039092733E-3</v>
      </c>
      <c r="H53" s="457" t="str">
        <f>IF(OR(G53&gt;=0.2,G53&lt;=-0.2),"超过20%","")</f>
        <v/>
      </c>
      <c r="I53" s="456">
        <f>IF(I48&lt;E48,E48/I48-1,I48/E48-1)</f>
        <v>0.28399537620849102</v>
      </c>
      <c r="J53" s="457" t="str">
        <f>IF(OR(I53&gt;=0.2,I53&lt;=-0.2),"超过20%","")</f>
        <v>超过20%</v>
      </c>
      <c r="K53" s="2956"/>
      <c r="L53" s="2952"/>
      <c r="M53" s="2951"/>
      <c r="N53" s="2951"/>
      <c r="O53" s="2951"/>
    </row>
    <row r="54" spans="1:29" s="459" customFormat="1" ht="13.5" customHeight="1">
      <c r="A54" s="2954"/>
      <c r="B54" s="2954"/>
      <c r="C54" s="454" t="s">
        <v>2401</v>
      </c>
      <c r="D54" s="458"/>
      <c r="E54" s="456">
        <f>IF(E47&lt;G47,G47/E47-1,E47/G47-1)</f>
        <v>9.5238095238095344E-2</v>
      </c>
      <c r="F54" s="457" t="str">
        <f>IF(OR(E54&gt;=0.3,E54&lt;=-0.3),"超过30%","")</f>
        <v/>
      </c>
      <c r="G54" s="456">
        <f>IF(G47&lt;I47,I47/G47-1,G47/I47-1)</f>
        <v>5.0000000000000044E-2</v>
      </c>
      <c r="H54" s="457" t="str">
        <f>IF(OR(G54&gt;=0.3,G54&lt;=-0.3),"超过30%","")</f>
        <v/>
      </c>
      <c r="I54" s="456">
        <f>IF(I47&lt;E47,E47/I47-1,I47/E47-1)</f>
        <v>0.14999999999999991</v>
      </c>
      <c r="J54" s="457" t="str">
        <f>IF(OR(I54&gt;=0.3,I54&lt;=-0.3),"超过30%","")</f>
        <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2021-4</v>
      </c>
      <c r="D58" s="1347">
        <f>EDATE(C58,-1)</f>
        <v>44256</v>
      </c>
      <c r="E58" s="1347">
        <f>EDATE(D58,-1)</f>
        <v>44228</v>
      </c>
      <c r="F58" s="1347">
        <f t="shared" ref="F58:O58" si="16">EDATE(E58,-1)</f>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 t="shared" si="16"/>
        <v>43922</v>
      </c>
      <c r="P58" s="1343"/>
    </row>
    <row r="59" spans="1:29" s="113" customFormat="1" ht="15">
      <c r="A59" s="466"/>
      <c r="B59" s="2105"/>
      <c r="C59" s="1345">
        <v>100</v>
      </c>
      <c r="D59" s="468">
        <v>100</v>
      </c>
      <c r="E59" s="469">
        <v>100</v>
      </c>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商业</v>
      </c>
      <c r="D63" s="3095" t="s">
        <v>3535</v>
      </c>
      <c r="E63" s="487"/>
      <c r="F63" s="487"/>
      <c r="G63" s="487"/>
      <c r="H63" s="487"/>
      <c r="I63" s="487"/>
      <c r="J63" s="487"/>
      <c r="K63" s="488"/>
      <c r="L63" s="489"/>
      <c r="M63" s="490"/>
      <c r="N63" s="1064"/>
      <c r="O63" s="1064"/>
      <c r="P63" s="2108"/>
      <c r="Q63" s="461"/>
    </row>
    <row r="64" spans="1:29" ht="15.75" thickBot="1">
      <c r="A64" s="491"/>
      <c r="B64" s="492"/>
      <c r="C64" s="493">
        <v>100</v>
      </c>
      <c r="D64" s="493">
        <v>120</v>
      </c>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2377</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v>0</v>
      </c>
      <c r="D68" s="506">
        <v>1</v>
      </c>
      <c r="E68" s="506">
        <v>2</v>
      </c>
      <c r="F68" s="506">
        <v>3</v>
      </c>
      <c r="G68" s="506">
        <v>4</v>
      </c>
      <c r="H68" s="506"/>
      <c r="I68" s="506"/>
      <c r="J68" s="506"/>
      <c r="K68" s="507"/>
      <c r="L68" s="508"/>
      <c r="M68" s="509"/>
      <c r="N68" s="1064"/>
      <c r="O68" s="1064"/>
      <c r="P68" s="2108"/>
      <c r="Q68" s="461"/>
    </row>
    <row r="69" spans="1:17" ht="15.75" thickBot="1">
      <c r="A69" s="491"/>
      <c r="B69" s="492"/>
      <c r="C69" s="501">
        <v>100</v>
      </c>
      <c r="D69" s="501">
        <f t="shared" ref="D69:M69" si="19">C69-$K11</f>
        <v>98</v>
      </c>
      <c r="E69" s="501">
        <f t="shared" si="19"/>
        <v>96</v>
      </c>
      <c r="F69" s="501">
        <f t="shared" si="19"/>
        <v>94</v>
      </c>
      <c r="G69" s="501">
        <f t="shared" si="19"/>
        <v>92</v>
      </c>
      <c r="H69" s="501">
        <f t="shared" si="19"/>
        <v>90</v>
      </c>
      <c r="I69" s="501">
        <f t="shared" si="19"/>
        <v>88</v>
      </c>
      <c r="J69" s="501">
        <f t="shared" si="19"/>
        <v>86</v>
      </c>
      <c r="K69" s="501">
        <f t="shared" si="19"/>
        <v>84</v>
      </c>
      <c r="L69" s="501">
        <f t="shared" si="19"/>
        <v>82</v>
      </c>
      <c r="M69" s="502">
        <f t="shared" si="19"/>
        <v>80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99</v>
      </c>
      <c r="E83" s="616">
        <f>D83-$K21</f>
        <v>98</v>
      </c>
      <c r="F83" s="616">
        <f>E83-$K21</f>
        <v>97</v>
      </c>
      <c r="G83" s="616">
        <f>F83-$K21</f>
        <v>96</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095" t="s">
        <v>3537</v>
      </c>
      <c r="D100" s="3095" t="s">
        <v>3538</v>
      </c>
      <c r="E100" s="3095" t="s">
        <v>3540</v>
      </c>
      <c r="F100" s="3095" t="s">
        <v>3542</v>
      </c>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1">
        <f t="shared" si="22"/>
        <v>70</v>
      </c>
      <c r="N101" s="1065"/>
      <c r="O101" s="1065"/>
      <c r="P101" s="2108"/>
      <c r="Q101" s="461"/>
    </row>
    <row r="102" spans="1:17" ht="29.25" thickTop="1">
      <c r="A102" s="491"/>
      <c r="B102" s="495" t="s">
        <v>2432</v>
      </c>
      <c r="C102" s="535" t="str">
        <f>C103&amp;"(含)"&amp;"-"&amp;D103</f>
        <v>0(含)-200000</v>
      </c>
      <c r="D102" s="535" t="str">
        <f t="shared" ref="D102:L102" si="23">D103&amp;"(含)"&amp;"-"&amp;E103</f>
        <v>200000(含)-400000</v>
      </c>
      <c r="E102" s="535" t="str">
        <f t="shared" si="23"/>
        <v>400000(含)-600000</v>
      </c>
      <c r="F102" s="535" t="str">
        <f t="shared" si="23"/>
        <v>600000(含)-800000</v>
      </c>
      <c r="G102" s="535" t="str">
        <f t="shared" si="23"/>
        <v>800000(含)-1000000</v>
      </c>
      <c r="H102" s="535" t="str">
        <f t="shared" si="23"/>
        <v>1000000(含)-1200000</v>
      </c>
      <c r="I102" s="535" t="str">
        <f t="shared" si="23"/>
        <v>1200000(含)-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v>0</v>
      </c>
      <c r="D103" s="552">
        <f>C103+200000</f>
        <v>200000</v>
      </c>
      <c r="E103" s="552">
        <f t="shared" ref="E103:I103" si="24">D103+200000</f>
        <v>400000</v>
      </c>
      <c r="F103" s="552">
        <f t="shared" si="24"/>
        <v>600000</v>
      </c>
      <c r="G103" s="552">
        <f t="shared" si="24"/>
        <v>800000</v>
      </c>
      <c r="H103" s="552">
        <f t="shared" si="24"/>
        <v>1000000</v>
      </c>
      <c r="I103" s="552">
        <f t="shared" si="24"/>
        <v>1200000</v>
      </c>
      <c r="J103" s="553"/>
      <c r="K103" s="553"/>
      <c r="L103" s="554"/>
      <c r="M103" s="555"/>
      <c r="N103" s="1066"/>
      <c r="O103" s="1066"/>
      <c r="P103" s="2109"/>
      <c r="Q103" s="516"/>
    </row>
    <row r="104" spans="1:17" s="430" customFormat="1" ht="15.75" thickBot="1">
      <c r="A104" s="510"/>
      <c r="B104" s="500"/>
      <c r="C104" s="517">
        <v>100</v>
      </c>
      <c r="D104" s="493">
        <f>C104+1</f>
        <v>101</v>
      </c>
      <c r="E104" s="493">
        <f t="shared" ref="E104:I104" si="25">D104+1</f>
        <v>102</v>
      </c>
      <c r="F104" s="493">
        <f t="shared" si="25"/>
        <v>103</v>
      </c>
      <c r="G104" s="493">
        <f t="shared" si="25"/>
        <v>104</v>
      </c>
      <c r="H104" s="493">
        <f t="shared" si="25"/>
        <v>105</v>
      </c>
      <c r="I104" s="493">
        <f t="shared" si="25"/>
        <v>106</v>
      </c>
      <c r="J104" s="493"/>
      <c r="K104" s="493"/>
      <c r="L104" s="493"/>
      <c r="M104" s="493"/>
      <c r="N104" s="1065"/>
      <c r="O104" s="1065"/>
      <c r="P104" s="2109"/>
      <c r="Q104" s="516"/>
    </row>
    <row r="105" spans="1:17" ht="15" thickTop="1">
      <c r="A105" s="556"/>
      <c r="B105" s="495" t="s">
        <v>2433</v>
      </c>
      <c r="C105" s="3096" t="s">
        <v>3543</v>
      </c>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1">
        <f t="shared" si="26"/>
        <v>90</v>
      </c>
      <c r="N106" s="1065"/>
      <c r="O106" s="1065"/>
      <c r="P106" s="2108"/>
      <c r="Q106" s="461"/>
    </row>
    <row r="107" spans="1:17" ht="15" thickTop="1">
      <c r="A107" s="556"/>
      <c r="B107" s="495" t="s">
        <v>2434</v>
      </c>
      <c r="C107" s="540" t="s">
        <v>3519</v>
      </c>
      <c r="D107" s="540" t="s">
        <v>3520</v>
      </c>
      <c r="E107" s="540" t="s">
        <v>3521</v>
      </c>
      <c r="F107" s="540" t="s">
        <v>3522</v>
      </c>
      <c r="G107" s="540" t="s">
        <v>3523</v>
      </c>
      <c r="H107" s="540"/>
      <c r="I107" s="540"/>
      <c r="J107" s="540"/>
      <c r="K107" s="541"/>
      <c r="L107" s="542"/>
      <c r="M107" s="543"/>
      <c r="N107" s="1064"/>
      <c r="O107" s="1064"/>
      <c r="P107" s="2108"/>
      <c r="Q107" s="461"/>
    </row>
    <row r="108" spans="1:17" ht="15.75" thickBot="1">
      <c r="A108" s="491"/>
      <c r="B108" s="500"/>
      <c r="C108" s="501">
        <v>100</v>
      </c>
      <c r="D108" s="501">
        <f t="shared" ref="D108:M108" si="27">C108-$K35</f>
        <v>99</v>
      </c>
      <c r="E108" s="501">
        <f t="shared" si="27"/>
        <v>98</v>
      </c>
      <c r="F108" s="501">
        <f t="shared" si="27"/>
        <v>97</v>
      </c>
      <c r="G108" s="501">
        <f t="shared" si="27"/>
        <v>96</v>
      </c>
      <c r="H108" s="501">
        <f t="shared" si="27"/>
        <v>95</v>
      </c>
      <c r="I108" s="501">
        <f t="shared" si="27"/>
        <v>94</v>
      </c>
      <c r="J108" s="501">
        <f t="shared" si="27"/>
        <v>93</v>
      </c>
      <c r="K108" s="501">
        <f t="shared" si="27"/>
        <v>92</v>
      </c>
      <c r="L108" s="501">
        <f t="shared" si="27"/>
        <v>91</v>
      </c>
      <c r="M108" s="501">
        <f t="shared" si="27"/>
        <v>90</v>
      </c>
      <c r="N108" s="1065"/>
      <c r="O108" s="1065"/>
      <c r="P108" s="2108"/>
      <c r="Q108" s="461"/>
    </row>
    <row r="109" spans="1:17" ht="15" thickTop="1">
      <c r="A109" s="556"/>
      <c r="B109" s="495" t="s">
        <v>2435</v>
      </c>
      <c r="C109" s="3096" t="s">
        <v>3545</v>
      </c>
      <c r="D109" s="3096" t="s">
        <v>3546</v>
      </c>
      <c r="E109" s="3096" t="s">
        <v>3547</v>
      </c>
      <c r="F109" s="3097" t="s">
        <v>3549</v>
      </c>
      <c r="G109" s="540"/>
      <c r="H109" s="540"/>
      <c r="I109" s="540"/>
      <c r="J109" s="540"/>
      <c r="K109" s="541"/>
      <c r="L109" s="542"/>
      <c r="M109" s="543"/>
      <c r="N109" s="1064"/>
      <c r="O109" s="1064"/>
      <c r="P109" s="2108"/>
      <c r="Q109" s="461"/>
    </row>
    <row r="110" spans="1:17" ht="15.75" thickBot="1">
      <c r="A110" s="491"/>
      <c r="B110" s="500"/>
      <c r="C110" s="501">
        <v>100</v>
      </c>
      <c r="D110" s="501">
        <f t="shared" ref="D110:M110" si="28">C110-$K36</f>
        <v>98</v>
      </c>
      <c r="E110" s="501">
        <f t="shared" si="28"/>
        <v>96</v>
      </c>
      <c r="F110" s="501">
        <f t="shared" si="28"/>
        <v>94</v>
      </c>
      <c r="G110" s="501">
        <f t="shared" si="28"/>
        <v>92</v>
      </c>
      <c r="H110" s="501">
        <f t="shared" si="28"/>
        <v>90</v>
      </c>
      <c r="I110" s="501">
        <f t="shared" si="28"/>
        <v>88</v>
      </c>
      <c r="J110" s="501">
        <f t="shared" si="28"/>
        <v>86</v>
      </c>
      <c r="K110" s="501">
        <f t="shared" si="28"/>
        <v>84</v>
      </c>
      <c r="L110" s="501">
        <f t="shared" si="28"/>
        <v>82</v>
      </c>
      <c r="M110" s="501">
        <f t="shared" si="28"/>
        <v>80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40" t="s">
        <v>3519</v>
      </c>
      <c r="D114" s="540" t="s">
        <v>3520</v>
      </c>
      <c r="E114" s="540" t="s">
        <v>3521</v>
      </c>
      <c r="F114" s="540" t="s">
        <v>3522</v>
      </c>
      <c r="G114" s="540" t="s">
        <v>3523</v>
      </c>
      <c r="H114" s="540"/>
      <c r="I114" s="540"/>
      <c r="J114" s="540"/>
      <c r="K114" s="541"/>
      <c r="L114" s="542"/>
      <c r="M114" s="543"/>
      <c r="N114" s="1064"/>
      <c r="O114" s="1064"/>
      <c r="P114" s="2108"/>
      <c r="Q114" s="461"/>
    </row>
    <row r="115" spans="1:17"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1">
        <f t="shared" si="29"/>
        <v>80</v>
      </c>
      <c r="N115" s="1065"/>
      <c r="O115" s="1065"/>
      <c r="P115" s="2108"/>
      <c r="Q115" s="461"/>
    </row>
    <row r="116" spans="1:17" ht="15" thickTop="1">
      <c r="A116" s="556"/>
      <c r="B116" s="495" t="s">
        <v>2437</v>
      </c>
      <c r="C116" s="3099" t="s">
        <v>2423</v>
      </c>
      <c r="D116" s="3099" t="s">
        <v>2424</v>
      </c>
      <c r="E116" s="3099" t="s">
        <v>2425</v>
      </c>
      <c r="F116" s="3099" t="s">
        <v>2426</v>
      </c>
      <c r="G116" s="3099" t="s">
        <v>2427</v>
      </c>
      <c r="H116" s="540"/>
      <c r="I116" s="540"/>
      <c r="J116" s="540"/>
      <c r="K116" s="541"/>
      <c r="L116" s="542"/>
      <c r="M116" s="543"/>
      <c r="N116" s="1064"/>
      <c r="O116" s="1064"/>
      <c r="P116" s="210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0">C119-$K40</f>
        <v>100</v>
      </c>
      <c r="E119" s="501">
        <f t="shared" si="30"/>
        <v>100</v>
      </c>
      <c r="F119" s="501">
        <f t="shared" si="30"/>
        <v>100</v>
      </c>
      <c r="G119" s="501">
        <f t="shared" si="30"/>
        <v>100</v>
      </c>
      <c r="H119" s="501">
        <f t="shared" si="30"/>
        <v>100</v>
      </c>
      <c r="I119" s="501">
        <f t="shared" si="30"/>
        <v>100</v>
      </c>
      <c r="J119" s="501">
        <f t="shared" si="30"/>
        <v>100</v>
      </c>
      <c r="K119" s="501">
        <f t="shared" si="30"/>
        <v>100</v>
      </c>
      <c r="L119" s="501">
        <f t="shared" si="30"/>
        <v>100</v>
      </c>
      <c r="M119" s="501">
        <f t="shared" si="30"/>
        <v>100</v>
      </c>
      <c r="N119" s="1065"/>
      <c r="O119" s="1065"/>
      <c r="P119" s="2108"/>
      <c r="Q119" s="461"/>
    </row>
    <row r="120" spans="1:17" s="430" customFormat="1" ht="28.5" thickTop="1">
      <c r="A120" s="550"/>
      <c r="B120" s="495" t="s">
        <v>2393</v>
      </c>
      <c r="C120" s="511">
        <f>典型户型修正!B24</f>
        <v>419.34</v>
      </c>
      <c r="D120" s="511">
        <f>E41</f>
        <v>383.5</v>
      </c>
      <c r="E120" s="511">
        <f>G41</f>
        <v>614</v>
      </c>
      <c r="F120" s="511">
        <f>I41</f>
        <v>220</v>
      </c>
      <c r="G120" s="511"/>
      <c r="H120" s="511"/>
      <c r="I120" s="511"/>
      <c r="J120" s="511"/>
      <c r="K120" s="511"/>
      <c r="L120" s="537"/>
      <c r="M120" s="538"/>
      <c r="N120" s="1066"/>
      <c r="O120" s="1066"/>
      <c r="P120" s="2109"/>
      <c r="Q120" s="516"/>
    </row>
    <row r="121" spans="1:17" s="430" customFormat="1" ht="15.75" thickBot="1">
      <c r="A121" s="510"/>
      <c r="B121" s="492"/>
      <c r="C121" s="517">
        <v>100</v>
      </c>
      <c r="D121" s="493">
        <v>100</v>
      </c>
      <c r="E121" s="493">
        <v>102</v>
      </c>
      <c r="F121" s="493">
        <v>98</v>
      </c>
      <c r="G121" s="493"/>
      <c r="H121" s="493"/>
      <c r="I121" s="493"/>
      <c r="J121" s="493"/>
      <c r="K121" s="493"/>
      <c r="L121" s="493"/>
      <c r="M121" s="493"/>
      <c r="N121" s="1066"/>
      <c r="O121" s="1066"/>
      <c r="P121" s="2109"/>
      <c r="Q121" s="516"/>
    </row>
    <row r="122" spans="1:17" ht="15" thickTop="1">
      <c r="A122" s="556"/>
      <c r="B122" s="495" t="s">
        <v>2439</v>
      </c>
      <c r="C122" s="3096" t="s">
        <v>3545</v>
      </c>
      <c r="D122" s="3096" t="s">
        <v>3546</v>
      </c>
      <c r="E122" s="3096" t="s">
        <v>3547</v>
      </c>
      <c r="F122" s="3097" t="s">
        <v>3549</v>
      </c>
      <c r="G122" s="540"/>
      <c r="H122" s="540"/>
      <c r="I122" s="540"/>
      <c r="J122" s="540"/>
      <c r="K122" s="541"/>
      <c r="L122" s="542"/>
      <c r="M122" s="543"/>
      <c r="N122" s="1064"/>
      <c r="O122" s="1064"/>
      <c r="P122" s="2108"/>
      <c r="Q122" s="461"/>
    </row>
    <row r="123" spans="1:17"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1">
        <f t="shared" si="31"/>
        <v>80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t="str">
        <f>B44</f>
        <v>是否温泉入户</v>
      </c>
      <c r="C126" s="3096" t="s">
        <v>3552</v>
      </c>
      <c r="D126" s="3096" t="s">
        <v>3553</v>
      </c>
      <c r="E126" s="511"/>
      <c r="F126" s="511"/>
      <c r="G126" s="511"/>
      <c r="H126" s="512"/>
      <c r="I126" s="512"/>
      <c r="J126" s="512"/>
      <c r="K126" s="512"/>
      <c r="L126" s="513"/>
      <c r="M126" s="514"/>
      <c r="N126" s="1066"/>
      <c r="O126" s="1066"/>
      <c r="P126" s="2109"/>
      <c r="Q126" s="516"/>
    </row>
    <row r="127" spans="1:17" s="430" customFormat="1" ht="15.75" thickBot="1">
      <c r="A127" s="510"/>
      <c r="B127" s="500"/>
      <c r="C127" s="517">
        <v>100</v>
      </c>
      <c r="D127" s="493">
        <v>98</v>
      </c>
      <c r="E127" s="493"/>
      <c r="F127" s="493"/>
      <c r="G127" s="517"/>
      <c r="H127" s="519"/>
      <c r="I127" s="519"/>
      <c r="J127" s="519"/>
      <c r="K127" s="519"/>
      <c r="L127" s="519"/>
      <c r="M127" s="520"/>
      <c r="N127" s="1066"/>
      <c r="O127" s="1066"/>
      <c r="P127" s="2109"/>
      <c r="Q127" s="516"/>
    </row>
    <row r="128" spans="1:17" ht="15" thickTop="1">
      <c r="A128" s="556"/>
      <c r="B128" s="495">
        <f>B45</f>
        <v>0</v>
      </c>
      <c r="C128" s="511">
        <f>C45</f>
        <v>0</v>
      </c>
      <c r="D128" s="511" t="s">
        <v>3562</v>
      </c>
      <c r="E128" s="511" t="s">
        <v>3561</v>
      </c>
      <c r="F128" s="511"/>
      <c r="G128" s="540"/>
      <c r="H128" s="540"/>
      <c r="I128" s="540"/>
      <c r="J128" s="540"/>
      <c r="K128" s="541"/>
      <c r="L128" s="542"/>
      <c r="M128" s="543"/>
      <c r="N128" s="1064"/>
      <c r="O128" s="1064"/>
      <c r="P128" s="2108"/>
      <c r="Q128" s="461"/>
    </row>
    <row r="129" spans="1:17" ht="15.75" thickBot="1">
      <c r="A129" s="491"/>
      <c r="B129" s="500"/>
      <c r="C129" s="517">
        <v>100</v>
      </c>
      <c r="D129" s="517">
        <v>98</v>
      </c>
      <c r="E129" s="517">
        <v>98</v>
      </c>
      <c r="F129" s="517"/>
      <c r="G129" s="493"/>
      <c r="H129" s="493"/>
      <c r="I129" s="493"/>
      <c r="J129" s="493"/>
      <c r="K129" s="493"/>
      <c r="L129" s="493"/>
      <c r="M129" s="494"/>
      <c r="N129" s="1065"/>
      <c r="O129" s="1065"/>
      <c r="P129" s="2108"/>
      <c r="Q129" s="461"/>
    </row>
    <row r="130" spans="1:17" ht="15" thickTop="1">
      <c r="A130" s="556"/>
      <c r="B130" s="503" t="str">
        <f>B46</f>
        <v>赠送花园</v>
      </c>
      <c r="C130" s="511" t="str">
        <f>C46</f>
        <v>150-300</v>
      </c>
      <c r="D130" s="511" t="str">
        <f>E46</f>
        <v>100-200</v>
      </c>
      <c r="E130" s="511" t="str">
        <f>G46</f>
        <v>30-100</v>
      </c>
      <c r="F130" s="511"/>
      <c r="G130" s="544"/>
      <c r="H130" s="544"/>
      <c r="I130" s="544"/>
      <c r="J130" s="544"/>
      <c r="K130" s="480"/>
      <c r="L130" s="481"/>
      <c r="M130" s="547"/>
      <c r="N130" s="1064"/>
      <c r="O130" s="1064"/>
      <c r="P130" s="2108"/>
      <c r="Q130" s="461"/>
    </row>
    <row r="131" spans="1:17" ht="15.75" thickBot="1">
      <c r="A131" s="2114"/>
      <c r="B131" s="526"/>
      <c r="C131" s="527">
        <v>100</v>
      </c>
      <c r="D131" s="527">
        <v>100</v>
      </c>
      <c r="E131" s="527">
        <v>98</v>
      </c>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2461</v>
      </c>
      <c r="C1" s="1406" t="s">
        <v>2349</v>
      </c>
      <c r="D1" s="1393"/>
      <c r="E1" s="2543"/>
      <c r="F1" s="2066"/>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20460.700000000004</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2464</v>
      </c>
      <c r="B4" s="362"/>
      <c r="C4" s="3369" t="s">
        <v>2465</v>
      </c>
      <c r="D4" s="3370"/>
      <c r="E4" s="3371" t="s">
        <v>2466</v>
      </c>
      <c r="F4" s="3372"/>
      <c r="G4" s="3369" t="s">
        <v>2467</v>
      </c>
      <c r="H4" s="3370"/>
      <c r="I4" s="3369" t="s">
        <v>2468</v>
      </c>
      <c r="J4" s="3370"/>
      <c r="K4" s="567" t="s">
        <v>2469</v>
      </c>
      <c r="L4" s="2941"/>
      <c r="M4" s="2942"/>
      <c r="N4" s="2942"/>
      <c r="O4" s="2942"/>
      <c r="P4" s="3373" t="s">
        <v>2470</v>
      </c>
      <c r="Q4" s="3374"/>
      <c r="R4" s="3358" t="s">
        <v>2466</v>
      </c>
      <c r="S4" s="3359"/>
      <c r="T4" s="3358" t="s">
        <v>2467</v>
      </c>
      <c r="U4" s="3359"/>
      <c r="V4" s="3381" t="s">
        <v>2468</v>
      </c>
      <c r="W4" s="3381"/>
      <c r="X4" s="1541"/>
      <c r="Y4" s="3358" t="s">
        <v>2470</v>
      </c>
      <c r="Z4" s="3359"/>
      <c r="AA4" s="3353" t="s">
        <v>2466</v>
      </c>
      <c r="AB4" s="3381" t="s">
        <v>2467</v>
      </c>
      <c r="AC4" s="3353" t="s">
        <v>2468</v>
      </c>
    </row>
    <row r="5" spans="1:29" ht="15">
      <c r="A5" s="364"/>
      <c r="B5" s="365"/>
      <c r="C5" s="3398" t="s">
        <v>2361</v>
      </c>
      <c r="D5" s="3365"/>
      <c r="E5" s="3397" t="s">
        <v>2362</v>
      </c>
      <c r="F5" s="3363"/>
      <c r="G5" s="3398" t="s">
        <v>2363</v>
      </c>
      <c r="H5" s="3365"/>
      <c r="I5" s="3398" t="s">
        <v>2364</v>
      </c>
      <c r="J5" s="3365"/>
      <c r="K5" s="567"/>
      <c r="L5" s="2941"/>
      <c r="M5" s="2942"/>
      <c r="N5" s="2942"/>
      <c r="O5" s="2942"/>
      <c r="P5" s="3375"/>
      <c r="Q5" s="3376"/>
      <c r="R5" s="3360"/>
      <c r="S5" s="3361"/>
      <c r="T5" s="3360"/>
      <c r="U5" s="3361"/>
      <c r="V5" s="3381"/>
      <c r="W5" s="3381"/>
      <c r="X5" s="1541"/>
      <c r="Y5" s="3360"/>
      <c r="Z5" s="3361"/>
      <c r="AA5" s="3354"/>
      <c r="AB5" s="3381"/>
      <c r="AC5" s="3354"/>
    </row>
    <row r="6" spans="1:29" ht="15.75" thickBot="1">
      <c r="A6" s="366"/>
      <c r="B6" s="367"/>
      <c r="C6" s="3399" t="s">
        <v>2365</v>
      </c>
      <c r="D6" s="3367"/>
      <c r="E6" s="3400" t="s">
        <v>2365</v>
      </c>
      <c r="F6" s="3401"/>
      <c r="G6" s="3399" t="s">
        <v>2365</v>
      </c>
      <c r="H6" s="3367"/>
      <c r="I6" s="3399" t="s">
        <v>2365</v>
      </c>
      <c r="J6" s="3367"/>
      <c r="K6" s="567" t="s">
        <v>2366</v>
      </c>
      <c r="L6" s="2941"/>
      <c r="M6" s="2942"/>
      <c r="N6" s="2942"/>
      <c r="O6" s="2942"/>
      <c r="P6" s="3377"/>
      <c r="Q6" s="3378"/>
      <c r="R6" s="3360"/>
      <c r="S6" s="3361"/>
      <c r="T6" s="3379"/>
      <c r="U6" s="3380"/>
      <c r="V6" s="3381"/>
      <c r="W6" s="3381"/>
      <c r="X6" s="1541"/>
      <c r="Y6" s="3379"/>
      <c r="Z6" s="3380"/>
      <c r="AA6" s="3355"/>
      <c r="AB6" s="3381"/>
      <c r="AC6" s="3355"/>
    </row>
    <row r="7" spans="1:29" s="113" customFormat="1" ht="15.75" thickBot="1">
      <c r="A7" s="368" t="s">
        <v>2367</v>
      </c>
      <c r="B7" s="369"/>
      <c r="C7" s="370">
        <f>'数据-取费表'!B2</f>
        <v>44316</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56" t="s">
        <v>2368</v>
      </c>
      <c r="Q7" s="3382"/>
      <c r="R7" s="710" t="s">
        <v>17</v>
      </c>
      <c r="S7" s="711">
        <f t="shared" ref="S7:S15" si="0">F7</f>
        <v>0</v>
      </c>
      <c r="T7" s="710" t="s">
        <v>17</v>
      </c>
      <c r="U7" s="711">
        <f t="shared" ref="U7:U15" si="1">H7</f>
        <v>0</v>
      </c>
      <c r="V7" s="710" t="s">
        <v>17</v>
      </c>
      <c r="W7" s="711">
        <f t="shared" ref="W7:W15" si="2">J7</f>
        <v>0</v>
      </c>
      <c r="X7" s="712"/>
      <c r="Y7" s="3356" t="s">
        <v>2368</v>
      </c>
      <c r="Z7" s="3357"/>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56" t="s">
        <v>2371</v>
      </c>
      <c r="Q8" s="3357"/>
      <c r="R8" s="710" t="s">
        <v>17</v>
      </c>
      <c r="S8" s="711">
        <f t="shared" si="0"/>
        <v>0</v>
      </c>
      <c r="T8" s="710" t="s">
        <v>17</v>
      </c>
      <c r="U8" s="711">
        <f t="shared" si="1"/>
        <v>0</v>
      </c>
      <c r="V8" s="710" t="s">
        <v>17</v>
      </c>
      <c r="W8" s="711">
        <f t="shared" si="2"/>
        <v>0</v>
      </c>
      <c r="X8" s="712"/>
      <c r="Y8" s="3356" t="s">
        <v>2371</v>
      </c>
      <c r="Z8" s="3357"/>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68" t="s">
        <v>2374</v>
      </c>
      <c r="Q9" s="1529" t="str">
        <f t="shared" ref="Q9:Q15" si="6">B9</f>
        <v>用途</v>
      </c>
      <c r="R9" s="710" t="s">
        <v>17</v>
      </c>
      <c r="S9" s="711">
        <f t="shared" si="0"/>
        <v>100</v>
      </c>
      <c r="T9" s="710" t="s">
        <v>17</v>
      </c>
      <c r="U9" s="711">
        <f t="shared" si="1"/>
        <v>100</v>
      </c>
      <c r="V9" s="710" t="s">
        <v>17</v>
      </c>
      <c r="W9" s="711">
        <f t="shared" si="2"/>
        <v>100</v>
      </c>
      <c r="X9" s="712"/>
      <c r="Y9" s="329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68"/>
      <c r="Q10" s="1529" t="str">
        <f t="shared" si="6"/>
        <v>土地使用年限（年）</v>
      </c>
      <c r="R10" s="710" t="s">
        <v>17</v>
      </c>
      <c r="S10" s="711">
        <f t="shared" si="0"/>
        <v>100</v>
      </c>
      <c r="T10" s="710" t="s">
        <v>17</v>
      </c>
      <c r="U10" s="711">
        <f t="shared" si="1"/>
        <v>100</v>
      </c>
      <c r="V10" s="710" t="s">
        <v>17</v>
      </c>
      <c r="W10" s="711">
        <f t="shared" si="2"/>
        <v>100</v>
      </c>
      <c r="X10" s="712"/>
      <c r="Y10" s="3298"/>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68"/>
      <c r="Q11" s="1529" t="str">
        <f t="shared" si="6"/>
        <v>容积率</v>
      </c>
      <c r="R11" s="710" t="s">
        <v>17</v>
      </c>
      <c r="S11" s="711" t="e">
        <f t="shared" si="0"/>
        <v>#N/A</v>
      </c>
      <c r="T11" s="710" t="s">
        <v>17</v>
      </c>
      <c r="U11" s="711" t="e">
        <f t="shared" si="1"/>
        <v>#N/A</v>
      </c>
      <c r="V11" s="710" t="s">
        <v>17</v>
      </c>
      <c r="W11" s="711" t="e">
        <f t="shared" si="2"/>
        <v>#N/A</v>
      </c>
      <c r="X11" s="712"/>
      <c r="Y11" s="3298"/>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68"/>
      <c r="Q12" s="1529">
        <f t="shared" si="6"/>
        <v>111</v>
      </c>
      <c r="R12" s="710" t="s">
        <v>17</v>
      </c>
      <c r="S12" s="711">
        <f t="shared" si="0"/>
        <v>100</v>
      </c>
      <c r="T12" s="710" t="s">
        <v>17</v>
      </c>
      <c r="U12" s="711">
        <f t="shared" si="1"/>
        <v>100</v>
      </c>
      <c r="V12" s="710" t="s">
        <v>17</v>
      </c>
      <c r="W12" s="711">
        <f t="shared" si="2"/>
        <v>100</v>
      </c>
      <c r="X12" s="712"/>
      <c r="Y12" s="3298"/>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68"/>
      <c r="Q13" s="1529">
        <f t="shared" si="6"/>
        <v>111</v>
      </c>
      <c r="R13" s="710" t="s">
        <v>17</v>
      </c>
      <c r="S13" s="711">
        <f t="shared" si="0"/>
        <v>100</v>
      </c>
      <c r="T13" s="710" t="s">
        <v>17</v>
      </c>
      <c r="U13" s="711">
        <f t="shared" si="1"/>
        <v>100</v>
      </c>
      <c r="V13" s="710" t="s">
        <v>17</v>
      </c>
      <c r="W13" s="711">
        <f t="shared" si="2"/>
        <v>100</v>
      </c>
      <c r="X13" s="712"/>
      <c r="Y13" s="3298"/>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68"/>
      <c r="Q14" s="1529">
        <f t="shared" si="6"/>
        <v>111</v>
      </c>
      <c r="R14" s="710" t="s">
        <v>17</v>
      </c>
      <c r="S14" s="711">
        <f t="shared" si="0"/>
        <v>100</v>
      </c>
      <c r="T14" s="710" t="s">
        <v>17</v>
      </c>
      <c r="U14" s="711">
        <f t="shared" si="1"/>
        <v>100</v>
      </c>
      <c r="V14" s="710" t="s">
        <v>17</v>
      </c>
      <c r="W14" s="711">
        <f t="shared" si="2"/>
        <v>100</v>
      </c>
      <c r="X14" s="712"/>
      <c r="Y14" s="3298"/>
      <c r="Z14" s="55">
        <f t="shared" si="7"/>
        <v>111</v>
      </c>
      <c r="AA14" s="713">
        <f t="shared" si="3"/>
        <v>1</v>
      </c>
      <c r="AB14" s="713">
        <f t="shared" si="4"/>
        <v>1</v>
      </c>
      <c r="AC14" s="713">
        <f t="shared" si="5"/>
        <v>1</v>
      </c>
    </row>
    <row r="15" spans="1:29" ht="71.25">
      <c r="A15" s="399" t="s">
        <v>2378</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95" t="s">
        <v>2379</v>
      </c>
      <c r="Q15" s="1538" t="str">
        <f t="shared" si="6"/>
        <v>商业繁华度</v>
      </c>
      <c r="R15" s="714" t="s">
        <v>17</v>
      </c>
      <c r="S15" s="715">
        <f t="shared" si="0"/>
        <v>100</v>
      </c>
      <c r="T15" s="714" t="s">
        <v>17</v>
      </c>
      <c r="U15" s="715">
        <f t="shared" si="1"/>
        <v>100</v>
      </c>
      <c r="V15" s="714" t="s">
        <v>17</v>
      </c>
      <c r="W15" s="715">
        <f t="shared" si="2"/>
        <v>100</v>
      </c>
      <c r="X15" s="1541"/>
      <c r="Y15" s="3388"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8"/>
      <c r="M16" s="2942"/>
      <c r="N16" s="2942"/>
      <c r="O16" s="2942"/>
      <c r="P16" s="3396"/>
      <c r="Q16" s="1538"/>
      <c r="R16" s="714"/>
      <c r="S16" s="715"/>
      <c r="T16" s="714"/>
      <c r="U16" s="715"/>
      <c r="V16" s="714"/>
      <c r="W16" s="715"/>
      <c r="X16" s="1541"/>
      <c r="Y16" s="3389"/>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96"/>
      <c r="Q17" s="1538" t="str">
        <f>B17</f>
        <v>交通便捷度</v>
      </c>
      <c r="R17" s="714" t="s">
        <v>17</v>
      </c>
      <c r="S17" s="715">
        <f>F17</f>
        <v>100</v>
      </c>
      <c r="T17" s="714" t="s">
        <v>17</v>
      </c>
      <c r="U17" s="715">
        <f>H17</f>
        <v>100</v>
      </c>
      <c r="V17" s="714" t="s">
        <v>17</v>
      </c>
      <c r="W17" s="715">
        <f>J17</f>
        <v>100</v>
      </c>
      <c r="X17" s="1541"/>
      <c r="Y17" s="3389"/>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48"/>
      <c r="M18" s="2942"/>
      <c r="N18" s="2942"/>
      <c r="O18" s="2942"/>
      <c r="P18" s="3396"/>
      <c r="Q18" s="1538"/>
      <c r="R18" s="714"/>
      <c r="S18" s="715"/>
      <c r="T18" s="714"/>
      <c r="U18" s="715"/>
      <c r="V18" s="714"/>
      <c r="W18" s="715"/>
      <c r="X18" s="1541"/>
      <c r="Y18" s="3389"/>
      <c r="Z18" s="1542"/>
      <c r="AA18" s="1539">
        <v>1</v>
      </c>
      <c r="AB18" s="1539">
        <v>1</v>
      </c>
      <c r="AC18" s="1539">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96"/>
      <c r="Q19" s="1538" t="str">
        <f>B19</f>
        <v>公共配套设施</v>
      </c>
      <c r="R19" s="714" t="s">
        <v>17</v>
      </c>
      <c r="S19" s="715">
        <f>F19</f>
        <v>100</v>
      </c>
      <c r="T19" s="714" t="s">
        <v>17</v>
      </c>
      <c r="U19" s="715">
        <f>H19</f>
        <v>100</v>
      </c>
      <c r="V19" s="714" t="s">
        <v>17</v>
      </c>
      <c r="W19" s="715">
        <f>J19</f>
        <v>100</v>
      </c>
      <c r="X19" s="1541"/>
      <c r="Y19" s="3389"/>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48"/>
      <c r="M20" s="2942"/>
      <c r="N20" s="2942"/>
      <c r="O20" s="2942"/>
      <c r="P20" s="3396"/>
      <c r="Q20" s="1538"/>
      <c r="R20" s="714"/>
      <c r="S20" s="715"/>
      <c r="T20" s="714"/>
      <c r="U20" s="715"/>
      <c r="V20" s="714"/>
      <c r="W20" s="715"/>
      <c r="X20" s="1541"/>
      <c r="Y20" s="3389"/>
      <c r="Z20" s="1542"/>
      <c r="AA20" s="1539">
        <v>1</v>
      </c>
      <c r="AB20" s="1539">
        <v>1</v>
      </c>
      <c r="AC20" s="1539">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96"/>
      <c r="Q21" s="1538" t="str">
        <f>B21</f>
        <v>基础设施水平</v>
      </c>
      <c r="R21" s="714" t="s">
        <v>17</v>
      </c>
      <c r="S21" s="715">
        <f>F21</f>
        <v>100</v>
      </c>
      <c r="T21" s="714" t="s">
        <v>17</v>
      </c>
      <c r="U21" s="715">
        <f>H21</f>
        <v>100</v>
      </c>
      <c r="V21" s="714" t="s">
        <v>17</v>
      </c>
      <c r="W21" s="715">
        <f>J21</f>
        <v>100</v>
      </c>
      <c r="X21" s="1541"/>
      <c r="Y21" s="3389"/>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2948"/>
      <c r="M22" s="2942"/>
      <c r="N22" s="2942"/>
      <c r="O22" s="2942"/>
      <c r="P22" s="3396"/>
      <c r="Q22" s="1538"/>
      <c r="R22" s="714"/>
      <c r="S22" s="715"/>
      <c r="T22" s="714"/>
      <c r="U22" s="715"/>
      <c r="V22" s="714"/>
      <c r="W22" s="715"/>
      <c r="X22" s="1541"/>
      <c r="Y22" s="3389"/>
      <c r="Z22" s="1542"/>
      <c r="AA22" s="1539">
        <v>1</v>
      </c>
      <c r="AB22" s="1539">
        <v>1</v>
      </c>
      <c r="AC22" s="1539">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96"/>
      <c r="Q23" s="1538" t="str">
        <f>B23</f>
        <v>自然及人文环境</v>
      </c>
      <c r="R23" s="714" t="s">
        <v>17</v>
      </c>
      <c r="S23" s="715">
        <f>F23</f>
        <v>100</v>
      </c>
      <c r="T23" s="714" t="s">
        <v>17</v>
      </c>
      <c r="U23" s="715">
        <f>H23</f>
        <v>100</v>
      </c>
      <c r="V23" s="714" t="s">
        <v>17</v>
      </c>
      <c r="W23" s="715">
        <f>J23</f>
        <v>100</v>
      </c>
      <c r="X23" s="1541"/>
      <c r="Y23" s="3389"/>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48"/>
      <c r="M24" s="2942"/>
      <c r="N24" s="2942"/>
      <c r="O24" s="2942"/>
      <c r="P24" s="3396"/>
      <c r="Q24" s="1538"/>
      <c r="R24" s="714"/>
      <c r="S24" s="715"/>
      <c r="T24" s="714"/>
      <c r="U24" s="715"/>
      <c r="V24" s="714"/>
      <c r="W24" s="715"/>
      <c r="X24" s="1541"/>
      <c r="Y24" s="3389"/>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96"/>
      <c r="Q25" s="1538" t="str">
        <f t="shared" ref="Q25:Q46" si="8">B25</f>
        <v>临街状况</v>
      </c>
      <c r="R25" s="714" t="s">
        <v>17</v>
      </c>
      <c r="S25" s="715">
        <f>F25</f>
        <v>100</v>
      </c>
      <c r="T25" s="714" t="s">
        <v>17</v>
      </c>
      <c r="U25" s="715">
        <f>H25</f>
        <v>100</v>
      </c>
      <c r="V25" s="714" t="s">
        <v>17</v>
      </c>
      <c r="W25" s="715">
        <f>J25</f>
        <v>100</v>
      </c>
      <c r="X25" s="1541"/>
      <c r="Y25" s="3389"/>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96"/>
      <c r="Q26" s="1538" t="str">
        <f t="shared" si="8"/>
        <v>平面位置/可视性</v>
      </c>
      <c r="R26" s="714" t="s">
        <v>17</v>
      </c>
      <c r="S26" s="715">
        <f>F26</f>
        <v>100</v>
      </c>
      <c r="T26" s="714" t="s">
        <v>17</v>
      </c>
      <c r="U26" s="715">
        <f>H26</f>
        <v>100</v>
      </c>
      <c r="V26" s="714" t="s">
        <v>17</v>
      </c>
      <c r="W26" s="715">
        <f>J26</f>
        <v>100</v>
      </c>
      <c r="X26" s="1541"/>
      <c r="Y26" s="3389"/>
      <c r="Z26" s="1542" t="str">
        <f>Q26</f>
        <v>平面位置/可视性</v>
      </c>
      <c r="AA26" s="1539">
        <f t="shared" si="3"/>
        <v>1</v>
      </c>
      <c r="AB26" s="1539">
        <f t="shared" si="4"/>
        <v>1</v>
      </c>
      <c r="AC26" s="1539">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96"/>
      <c r="Q27" s="1529" t="str">
        <f t="shared" si="8"/>
        <v>人流量</v>
      </c>
      <c r="R27" s="710" t="s">
        <v>17</v>
      </c>
      <c r="S27" s="711">
        <f>F27</f>
        <v>100</v>
      </c>
      <c r="T27" s="710" t="s">
        <v>17</v>
      </c>
      <c r="U27" s="711">
        <f>H27</f>
        <v>100</v>
      </c>
      <c r="V27" s="710" t="s">
        <v>17</v>
      </c>
      <c r="W27" s="711">
        <f>J27</f>
        <v>100</v>
      </c>
      <c r="X27" s="712"/>
      <c r="Y27" s="3389"/>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96"/>
      <c r="Q28" s="1538" t="str">
        <f t="shared" si="8"/>
        <v>楼层</v>
      </c>
      <c r="R28" s="714" t="s">
        <v>17</v>
      </c>
      <c r="S28" s="715">
        <f t="shared" ref="S28:S46" si="9">F28</f>
        <v>100</v>
      </c>
      <c r="T28" s="714" t="s">
        <v>17</v>
      </c>
      <c r="U28" s="715">
        <f t="shared" ref="U28:U46" si="10">H28</f>
        <v>100</v>
      </c>
      <c r="V28" s="714" t="s">
        <v>17</v>
      </c>
      <c r="W28" s="715">
        <f t="shared" ref="W28:W46" si="11">J28</f>
        <v>100</v>
      </c>
      <c r="X28" s="1541"/>
      <c r="Y28" s="3389"/>
      <c r="Z28" s="1542" t="str">
        <f t="shared" ref="Z28:Z46" si="12">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96"/>
      <c r="Q29" s="1538">
        <f t="shared" si="8"/>
        <v>111</v>
      </c>
      <c r="R29" s="714" t="s">
        <v>17</v>
      </c>
      <c r="S29" s="715">
        <f t="shared" si="9"/>
        <v>100</v>
      </c>
      <c r="T29" s="714" t="s">
        <v>17</v>
      </c>
      <c r="U29" s="715">
        <f t="shared" si="10"/>
        <v>100</v>
      </c>
      <c r="V29" s="714" t="s">
        <v>17</v>
      </c>
      <c r="W29" s="715">
        <f t="shared" si="11"/>
        <v>100</v>
      </c>
      <c r="X29" s="1541"/>
      <c r="Y29" s="3389"/>
      <c r="Z29" s="1542">
        <f t="shared" si="12"/>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96"/>
      <c r="Q30" s="1538">
        <f t="shared" si="8"/>
        <v>111</v>
      </c>
      <c r="R30" s="714" t="s">
        <v>17</v>
      </c>
      <c r="S30" s="715">
        <f t="shared" si="9"/>
        <v>100</v>
      </c>
      <c r="T30" s="714" t="s">
        <v>17</v>
      </c>
      <c r="U30" s="715">
        <f t="shared" si="10"/>
        <v>100</v>
      </c>
      <c r="V30" s="714" t="s">
        <v>17</v>
      </c>
      <c r="W30" s="715">
        <f t="shared" si="11"/>
        <v>100</v>
      </c>
      <c r="X30" s="1541"/>
      <c r="Y30" s="3389"/>
      <c r="Z30" s="1542">
        <f t="shared" si="12"/>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96"/>
      <c r="Q31" s="1538">
        <f t="shared" si="8"/>
        <v>111</v>
      </c>
      <c r="R31" s="714" t="s">
        <v>17</v>
      </c>
      <c r="S31" s="715">
        <f t="shared" si="9"/>
        <v>100</v>
      </c>
      <c r="T31" s="714" t="s">
        <v>17</v>
      </c>
      <c r="U31" s="715">
        <f t="shared" si="10"/>
        <v>100</v>
      </c>
      <c r="V31" s="714" t="s">
        <v>17</v>
      </c>
      <c r="W31" s="715">
        <f t="shared" si="11"/>
        <v>100</v>
      </c>
      <c r="X31" s="1541"/>
      <c r="Y31" s="3389"/>
      <c r="Z31" s="1542">
        <f t="shared" si="12"/>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90" t="s">
        <v>2384</v>
      </c>
      <c r="Q32" s="1538" t="str">
        <f t="shared" si="8"/>
        <v>商业类型</v>
      </c>
      <c r="R32" s="714" t="s">
        <v>17</v>
      </c>
      <c r="S32" s="715">
        <f t="shared" si="9"/>
        <v>100</v>
      </c>
      <c r="T32" s="714" t="s">
        <v>17</v>
      </c>
      <c r="U32" s="715">
        <f t="shared" si="10"/>
        <v>100</v>
      </c>
      <c r="V32" s="714" t="s">
        <v>17</v>
      </c>
      <c r="W32" s="715">
        <f t="shared" si="11"/>
        <v>100</v>
      </c>
      <c r="X32" s="1541"/>
      <c r="Y32" s="3393" t="s">
        <v>2384</v>
      </c>
      <c r="Z32" s="1542" t="str">
        <f t="shared" si="12"/>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91"/>
      <c r="Q33" s="716" t="str">
        <f t="shared" si="8"/>
        <v>项目建筑规模</v>
      </c>
      <c r="R33" s="717" t="s">
        <v>17</v>
      </c>
      <c r="S33" s="718" t="e">
        <f t="shared" si="9"/>
        <v>#N/A</v>
      </c>
      <c r="T33" s="717" t="s">
        <v>17</v>
      </c>
      <c r="U33" s="718" t="e">
        <f t="shared" si="10"/>
        <v>#N/A</v>
      </c>
      <c r="V33" s="717" t="s">
        <v>17</v>
      </c>
      <c r="W33" s="718" t="e">
        <f t="shared" si="11"/>
        <v>#N/A</v>
      </c>
      <c r="X33" s="719"/>
      <c r="Y33" s="3393"/>
      <c r="Z33" s="720" t="str">
        <f t="shared" si="12"/>
        <v>项目建筑规模</v>
      </c>
      <c r="AA33" s="1539" t="e">
        <f t="shared" si="3"/>
        <v>#N/A</v>
      </c>
      <c r="AB33" s="1539" t="e">
        <f t="shared" si="4"/>
        <v>#N/A</v>
      </c>
      <c r="AC33" s="1539" t="e">
        <f t="shared" si="5"/>
        <v>#N/A</v>
      </c>
    </row>
    <row r="34" spans="1:29" ht="15">
      <c r="A34" s="431"/>
      <c r="B34" s="381" t="s">
        <v>2386</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91"/>
      <c r="Q34" s="1538" t="str">
        <f t="shared" si="8"/>
        <v>建筑结构</v>
      </c>
      <c r="R34" s="714" t="s">
        <v>17</v>
      </c>
      <c r="S34" s="715">
        <f t="shared" si="9"/>
        <v>100</v>
      </c>
      <c r="T34" s="714" t="s">
        <v>17</v>
      </c>
      <c r="U34" s="715">
        <f t="shared" si="10"/>
        <v>100</v>
      </c>
      <c r="V34" s="714" t="s">
        <v>17</v>
      </c>
      <c r="W34" s="715">
        <f t="shared" si="11"/>
        <v>100</v>
      </c>
      <c r="X34" s="1541"/>
      <c r="Y34" s="3393"/>
      <c r="Z34" s="1542" t="str">
        <f t="shared" si="12"/>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91"/>
      <c r="Q35" s="1538" t="str">
        <f t="shared" si="8"/>
        <v>公共部分装修</v>
      </c>
      <c r="R35" s="714" t="s">
        <v>17</v>
      </c>
      <c r="S35" s="715">
        <f t="shared" si="9"/>
        <v>100</v>
      </c>
      <c r="T35" s="714" t="s">
        <v>17</v>
      </c>
      <c r="U35" s="715">
        <f t="shared" si="10"/>
        <v>100</v>
      </c>
      <c r="V35" s="714" t="s">
        <v>17</v>
      </c>
      <c r="W35" s="715">
        <f t="shared" si="11"/>
        <v>100</v>
      </c>
      <c r="X35" s="1541"/>
      <c r="Y35" s="3393"/>
      <c r="Z35" s="1542" t="str">
        <f t="shared" si="12"/>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91"/>
      <c r="Q36" s="1538" t="str">
        <f t="shared" si="8"/>
        <v>成新度</v>
      </c>
      <c r="R36" s="714" t="s">
        <v>17</v>
      </c>
      <c r="S36" s="715" t="e">
        <f t="shared" si="9"/>
        <v>#N/A</v>
      </c>
      <c r="T36" s="714" t="s">
        <v>17</v>
      </c>
      <c r="U36" s="715" t="e">
        <f t="shared" si="10"/>
        <v>#N/A</v>
      </c>
      <c r="V36" s="714" t="s">
        <v>17</v>
      </c>
      <c r="W36" s="715" t="e">
        <f t="shared" si="11"/>
        <v>#N/A</v>
      </c>
      <c r="X36" s="1541"/>
      <c r="Y36" s="3393"/>
      <c r="Z36" s="1542" t="str">
        <f t="shared" si="12"/>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91"/>
      <c r="Q37" s="1529" t="str">
        <f t="shared" si="8"/>
        <v>市政基础设施</v>
      </c>
      <c r="R37" s="710" t="s">
        <v>17</v>
      </c>
      <c r="S37" s="711">
        <f t="shared" si="9"/>
        <v>100</v>
      </c>
      <c r="T37" s="710" t="s">
        <v>17</v>
      </c>
      <c r="U37" s="711">
        <f t="shared" si="10"/>
        <v>100</v>
      </c>
      <c r="V37" s="710" t="s">
        <v>17</v>
      </c>
      <c r="W37" s="711">
        <f t="shared" si="11"/>
        <v>100</v>
      </c>
      <c r="X37" s="712"/>
      <c r="Y37" s="3393"/>
      <c r="Z37" s="55" t="str">
        <f t="shared" si="12"/>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91" t="s">
        <v>2384</v>
      </c>
      <c r="Q38" s="1538" t="str">
        <f t="shared" si="8"/>
        <v>业态</v>
      </c>
      <c r="R38" s="714" t="s">
        <v>17</v>
      </c>
      <c r="S38" s="715">
        <f t="shared" si="9"/>
        <v>100</v>
      </c>
      <c r="T38" s="714" t="s">
        <v>17</v>
      </c>
      <c r="U38" s="715">
        <f t="shared" si="10"/>
        <v>100</v>
      </c>
      <c r="V38" s="714" t="s">
        <v>17</v>
      </c>
      <c r="W38" s="715">
        <f t="shared" si="11"/>
        <v>100</v>
      </c>
      <c r="X38" s="1541"/>
      <c r="Y38" s="3393" t="s">
        <v>2384</v>
      </c>
      <c r="Z38" s="1542" t="str">
        <f t="shared" si="12"/>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91"/>
      <c r="Q39" s="1538" t="str">
        <f t="shared" si="8"/>
        <v>层高</v>
      </c>
      <c r="R39" s="714" t="s">
        <v>17</v>
      </c>
      <c r="S39" s="715">
        <f t="shared" si="9"/>
        <v>100</v>
      </c>
      <c r="T39" s="714" t="s">
        <v>17</v>
      </c>
      <c r="U39" s="715">
        <f t="shared" si="10"/>
        <v>100</v>
      </c>
      <c r="V39" s="714" t="s">
        <v>17</v>
      </c>
      <c r="W39" s="715">
        <f t="shared" si="11"/>
        <v>100</v>
      </c>
      <c r="X39" s="1541"/>
      <c r="Y39" s="3393"/>
      <c r="Z39" s="1542" t="str">
        <f t="shared" si="12"/>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91"/>
      <c r="Q40" s="1538" t="str">
        <f t="shared" si="8"/>
        <v>单套建筑面积</v>
      </c>
      <c r="R40" s="714" t="s">
        <v>17</v>
      </c>
      <c r="S40" s="715">
        <f t="shared" si="9"/>
        <v>100</v>
      </c>
      <c r="T40" s="714" t="s">
        <v>17</v>
      </c>
      <c r="U40" s="715">
        <f t="shared" si="10"/>
        <v>100</v>
      </c>
      <c r="V40" s="714" t="s">
        <v>17</v>
      </c>
      <c r="W40" s="715">
        <f t="shared" si="11"/>
        <v>100</v>
      </c>
      <c r="X40" s="1541"/>
      <c r="Y40" s="3393"/>
      <c r="Z40" s="1542" t="str">
        <f t="shared" si="12"/>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91"/>
      <c r="Q41" s="716" t="str">
        <f t="shared" si="8"/>
        <v>进深比</v>
      </c>
      <c r="R41" s="717" t="s">
        <v>17</v>
      </c>
      <c r="S41" s="718">
        <f t="shared" si="9"/>
        <v>100</v>
      </c>
      <c r="T41" s="717" t="s">
        <v>17</v>
      </c>
      <c r="U41" s="718">
        <f t="shared" si="10"/>
        <v>100</v>
      </c>
      <c r="V41" s="717" t="s">
        <v>17</v>
      </c>
      <c r="W41" s="718">
        <f t="shared" si="11"/>
        <v>100</v>
      </c>
      <c r="X41" s="719"/>
      <c r="Y41" s="3393"/>
      <c r="Z41" s="720" t="str">
        <f t="shared" si="12"/>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91"/>
      <c r="Q42" s="1538" t="str">
        <f t="shared" si="8"/>
        <v>内部装修</v>
      </c>
      <c r="R42" s="714" t="s">
        <v>17</v>
      </c>
      <c r="S42" s="715">
        <f t="shared" si="9"/>
        <v>100</v>
      </c>
      <c r="T42" s="714" t="s">
        <v>17</v>
      </c>
      <c r="U42" s="715">
        <f t="shared" si="10"/>
        <v>100</v>
      </c>
      <c r="V42" s="714" t="s">
        <v>17</v>
      </c>
      <c r="W42" s="715">
        <f t="shared" si="11"/>
        <v>100</v>
      </c>
      <c r="X42" s="1541"/>
      <c r="Y42" s="3393"/>
      <c r="Z42" s="1542" t="str">
        <f t="shared" si="12"/>
        <v>内部装修</v>
      </c>
      <c r="AA42" s="1539">
        <f t="shared" si="3"/>
        <v>1</v>
      </c>
      <c r="AB42" s="1539">
        <f t="shared" si="4"/>
        <v>1</v>
      </c>
      <c r="AC42" s="1539">
        <f t="shared" si="5"/>
        <v>1</v>
      </c>
    </row>
    <row r="43" spans="1:29" ht="15">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91"/>
      <c r="Q43" s="1538" t="str">
        <f t="shared" si="8"/>
        <v>内部装修维护情况</v>
      </c>
      <c r="R43" s="714" t="s">
        <v>17</v>
      </c>
      <c r="S43" s="715">
        <f t="shared" si="9"/>
        <v>100</v>
      </c>
      <c r="T43" s="714" t="s">
        <v>17</v>
      </c>
      <c r="U43" s="715">
        <f t="shared" si="10"/>
        <v>100</v>
      </c>
      <c r="V43" s="714" t="s">
        <v>17</v>
      </c>
      <c r="W43" s="715">
        <f t="shared" si="11"/>
        <v>100</v>
      </c>
      <c r="X43" s="1541"/>
      <c r="Y43" s="3393"/>
      <c r="Z43" s="1542" t="str">
        <f t="shared" si="12"/>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91"/>
      <c r="Q44" s="1529">
        <f t="shared" si="8"/>
        <v>111</v>
      </c>
      <c r="R44" s="710" t="s">
        <v>17</v>
      </c>
      <c r="S44" s="711">
        <f t="shared" si="9"/>
        <v>100</v>
      </c>
      <c r="T44" s="710" t="s">
        <v>17</v>
      </c>
      <c r="U44" s="711">
        <f t="shared" si="10"/>
        <v>100</v>
      </c>
      <c r="V44" s="710" t="s">
        <v>17</v>
      </c>
      <c r="W44" s="711">
        <f t="shared" si="11"/>
        <v>100</v>
      </c>
      <c r="X44" s="712"/>
      <c r="Y44" s="3393"/>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91"/>
      <c r="Q45" s="1538">
        <f t="shared" si="8"/>
        <v>111</v>
      </c>
      <c r="R45" s="714" t="s">
        <v>17</v>
      </c>
      <c r="S45" s="715">
        <f t="shared" si="9"/>
        <v>100</v>
      </c>
      <c r="T45" s="714" t="s">
        <v>17</v>
      </c>
      <c r="U45" s="715">
        <f t="shared" si="10"/>
        <v>100</v>
      </c>
      <c r="V45" s="714" t="s">
        <v>17</v>
      </c>
      <c r="W45" s="715">
        <f t="shared" si="11"/>
        <v>100</v>
      </c>
      <c r="X45" s="1541"/>
      <c r="Y45" s="3393"/>
      <c r="Z45" s="1542">
        <f t="shared" si="12"/>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92"/>
      <c r="Q46" s="1538">
        <f t="shared" si="8"/>
        <v>111</v>
      </c>
      <c r="R46" s="714" t="s">
        <v>17</v>
      </c>
      <c r="S46" s="715">
        <f t="shared" si="9"/>
        <v>100</v>
      </c>
      <c r="T46" s="714" t="s">
        <v>17</v>
      </c>
      <c r="U46" s="715">
        <f t="shared" si="10"/>
        <v>100</v>
      </c>
      <c r="V46" s="714" t="s">
        <v>17</v>
      </c>
      <c r="W46" s="715">
        <f t="shared" si="11"/>
        <v>100</v>
      </c>
      <c r="X46" s="1541"/>
      <c r="Y46" s="3394"/>
      <c r="Z46" s="1542">
        <f t="shared" si="12"/>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0"/>
      <c r="M47" s="2951"/>
      <c r="N47" s="2942"/>
      <c r="O47" s="2951"/>
      <c r="P47" s="3386" t="str">
        <f>A47</f>
        <v>成交单价（元/平方米）</v>
      </c>
      <c r="Q47" s="3386"/>
      <c r="R47" s="3381">
        <f>E47</f>
        <v>0</v>
      </c>
      <c r="S47" s="3381"/>
      <c r="T47" s="3381">
        <f>G47</f>
        <v>0</v>
      </c>
      <c r="U47" s="3381"/>
      <c r="V47" s="3381">
        <f>I47</f>
        <v>0</v>
      </c>
      <c r="W47" s="3381"/>
      <c r="X47" s="699"/>
      <c r="Y47" s="721"/>
      <c r="Z47" s="699"/>
      <c r="AA47" s="699"/>
      <c r="AB47" s="699"/>
      <c r="AC47" s="699"/>
    </row>
    <row r="48" spans="1:29" ht="15.75" thickBot="1">
      <c r="A48" s="445" t="s">
        <v>2488</v>
      </c>
      <c r="B48" s="446"/>
      <c r="C48" s="1322" t="e">
        <f>R49</f>
        <v>#DIV/0!</v>
      </c>
      <c r="D48" s="2538" t="s">
        <v>2873</v>
      </c>
      <c r="E48" s="1323" t="e">
        <f>R48</f>
        <v>#DIV/0!</v>
      </c>
      <c r="F48" s="2539"/>
      <c r="G48" s="1322" t="e">
        <f>T48</f>
        <v>#DIV/0!</v>
      </c>
      <c r="H48" s="2539"/>
      <c r="I48" s="1323" t="e">
        <f>V48</f>
        <v>#DIV/0!</v>
      </c>
      <c r="J48" s="2539"/>
      <c r="K48" s="2541">
        <f>F48+H48+J48</f>
        <v>0</v>
      </c>
      <c r="L48" s="2950"/>
      <c r="M48" s="2951"/>
      <c r="N48" s="2942"/>
      <c r="O48" s="2951"/>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0"/>
      <c r="M49" s="2951"/>
      <c r="N49" s="2942"/>
      <c r="O49" s="2951"/>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2367</v>
      </c>
      <c r="B58" s="463"/>
      <c r="C58" s="1346" t="str">
        <f>YEAR(C7)&amp;"-"&amp;MONTH(C7)</f>
        <v>2021-4</v>
      </c>
      <c r="D58" s="1347">
        <f>EDATE(C58,-1)</f>
        <v>44256</v>
      </c>
      <c r="E58" s="1347">
        <f t="shared" ref="E58:N58" si="13">EDATE(D58,-1)</f>
        <v>44228</v>
      </c>
      <c r="F58" s="1347">
        <f t="shared" si="13"/>
        <v>44197</v>
      </c>
      <c r="G58" s="1347">
        <f t="shared" si="13"/>
        <v>44166</v>
      </c>
      <c r="H58" s="1347">
        <f t="shared" si="13"/>
        <v>44136</v>
      </c>
      <c r="I58" s="1347">
        <f t="shared" si="13"/>
        <v>44105</v>
      </c>
      <c r="J58" s="1347">
        <f t="shared" si="13"/>
        <v>44075</v>
      </c>
      <c r="K58" s="1347">
        <f t="shared" si="13"/>
        <v>44044</v>
      </c>
      <c r="L58" s="1347">
        <f t="shared" si="13"/>
        <v>44013</v>
      </c>
      <c r="M58" s="1347">
        <f t="shared" si="13"/>
        <v>43983</v>
      </c>
      <c r="N58" s="1347">
        <f t="shared" si="13"/>
        <v>43952</v>
      </c>
      <c r="O58" s="1347">
        <f>EDATE(N58,-1)</f>
        <v>43922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2377</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2432</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20460.700000000004</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2464</v>
      </c>
      <c r="B4" s="362"/>
      <c r="C4" s="3369" t="s">
        <v>2465</v>
      </c>
      <c r="D4" s="3370"/>
      <c r="E4" s="3371" t="s">
        <v>2466</v>
      </c>
      <c r="F4" s="3372"/>
      <c r="G4" s="3369" t="s">
        <v>2467</v>
      </c>
      <c r="H4" s="3370"/>
      <c r="I4" s="3369" t="s">
        <v>2468</v>
      </c>
      <c r="J4" s="3370"/>
      <c r="K4" s="567" t="s">
        <v>2469</v>
      </c>
      <c r="L4" s="2941"/>
      <c r="M4" s="2942"/>
      <c r="N4" s="2942"/>
      <c r="O4" s="2942"/>
      <c r="P4" s="3408" t="s">
        <v>2470</v>
      </c>
      <c r="Q4" s="3409"/>
      <c r="R4" s="3403" t="s">
        <v>2466</v>
      </c>
      <c r="S4" s="3404"/>
      <c r="T4" s="3403" t="s">
        <v>2467</v>
      </c>
      <c r="U4" s="3404"/>
      <c r="V4" s="3412" t="s">
        <v>2468</v>
      </c>
      <c r="W4" s="3412"/>
      <c r="X4" s="2144"/>
      <c r="Y4" s="3403" t="s">
        <v>2470</v>
      </c>
      <c r="Z4" s="3404"/>
      <c r="AA4" s="3402" t="s">
        <v>2466</v>
      </c>
      <c r="AB4" s="3402" t="s">
        <v>2467</v>
      </c>
      <c r="AC4" s="3405" t="s">
        <v>2468</v>
      </c>
    </row>
    <row r="5" spans="1:29" ht="15">
      <c r="A5" s="364"/>
      <c r="B5" s="365"/>
      <c r="C5" s="3398" t="s">
        <v>2361</v>
      </c>
      <c r="D5" s="3365"/>
      <c r="E5" s="3397" t="s">
        <v>2362</v>
      </c>
      <c r="F5" s="3363"/>
      <c r="G5" s="3398" t="s">
        <v>2363</v>
      </c>
      <c r="H5" s="3365"/>
      <c r="I5" s="3398" t="s">
        <v>2364</v>
      </c>
      <c r="J5" s="3365"/>
      <c r="K5" s="567"/>
      <c r="L5" s="2941"/>
      <c r="M5" s="2942"/>
      <c r="N5" s="2942"/>
      <c r="O5" s="2942"/>
      <c r="P5" s="3410"/>
      <c r="Q5" s="3376"/>
      <c r="R5" s="3360"/>
      <c r="S5" s="3361"/>
      <c r="T5" s="3360"/>
      <c r="U5" s="3361"/>
      <c r="V5" s="3381"/>
      <c r="W5" s="3381"/>
      <c r="X5" s="1541"/>
      <c r="Y5" s="3360"/>
      <c r="Z5" s="3361"/>
      <c r="AA5" s="3354"/>
      <c r="AB5" s="3354"/>
      <c r="AC5" s="3406"/>
    </row>
    <row r="6" spans="1:29" ht="15.75" thickBot="1">
      <c r="A6" s="366"/>
      <c r="B6" s="367"/>
      <c r="C6" s="3399" t="s">
        <v>2365</v>
      </c>
      <c r="D6" s="3367"/>
      <c r="E6" s="3400" t="s">
        <v>2365</v>
      </c>
      <c r="F6" s="3401"/>
      <c r="G6" s="3399" t="s">
        <v>2365</v>
      </c>
      <c r="H6" s="3367"/>
      <c r="I6" s="3399" t="s">
        <v>2365</v>
      </c>
      <c r="J6" s="3367"/>
      <c r="K6" s="567" t="s">
        <v>2366</v>
      </c>
      <c r="L6" s="2941"/>
      <c r="M6" s="2942"/>
      <c r="N6" s="2942"/>
      <c r="O6" s="2942"/>
      <c r="P6" s="3411"/>
      <c r="Q6" s="3378"/>
      <c r="R6" s="3360"/>
      <c r="S6" s="3361"/>
      <c r="T6" s="3379"/>
      <c r="U6" s="3380"/>
      <c r="V6" s="3381"/>
      <c r="W6" s="3381"/>
      <c r="X6" s="1541"/>
      <c r="Y6" s="3379"/>
      <c r="Z6" s="3380"/>
      <c r="AA6" s="3355"/>
      <c r="AB6" s="3355"/>
      <c r="AC6" s="3407"/>
    </row>
    <row r="7" spans="1:29" s="113" customFormat="1" ht="15.75" thickBot="1">
      <c r="A7" s="368" t="s">
        <v>2367</v>
      </c>
      <c r="B7" s="369"/>
      <c r="C7" s="370">
        <f>'数据-取费表'!B2</f>
        <v>44316</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13" t="s">
        <v>2368</v>
      </c>
      <c r="Q7" s="3382"/>
      <c r="R7" s="710" t="s">
        <v>17</v>
      </c>
      <c r="S7" s="711">
        <f t="shared" ref="S7:S15" si="0">F7</f>
        <v>0</v>
      </c>
      <c r="T7" s="710" t="s">
        <v>17</v>
      </c>
      <c r="U7" s="711">
        <f t="shared" ref="U7:U15" si="1">H7</f>
        <v>0</v>
      </c>
      <c r="V7" s="710" t="s">
        <v>17</v>
      </c>
      <c r="W7" s="711">
        <f t="shared" ref="W7:W15" si="2">J7</f>
        <v>0</v>
      </c>
      <c r="X7" s="712"/>
      <c r="Y7" s="3356" t="s">
        <v>2368</v>
      </c>
      <c r="Z7" s="3357"/>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13" t="s">
        <v>2371</v>
      </c>
      <c r="Q8" s="3357"/>
      <c r="R8" s="710" t="s">
        <v>17</v>
      </c>
      <c r="S8" s="711">
        <f t="shared" si="0"/>
        <v>0</v>
      </c>
      <c r="T8" s="710" t="s">
        <v>17</v>
      </c>
      <c r="U8" s="711">
        <f t="shared" si="1"/>
        <v>0</v>
      </c>
      <c r="V8" s="710" t="s">
        <v>17</v>
      </c>
      <c r="W8" s="711">
        <f t="shared" si="2"/>
        <v>0</v>
      </c>
      <c r="X8" s="712"/>
      <c r="Y8" s="3356" t="s">
        <v>2371</v>
      </c>
      <c r="Z8" s="3357"/>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68" t="s">
        <v>2374</v>
      </c>
      <c r="Q9" s="1529" t="str">
        <f t="shared" ref="Q9:Q15" si="6">B9</f>
        <v>用途</v>
      </c>
      <c r="R9" s="710" t="s">
        <v>17</v>
      </c>
      <c r="S9" s="711">
        <f t="shared" si="0"/>
        <v>100</v>
      </c>
      <c r="T9" s="710" t="s">
        <v>17</v>
      </c>
      <c r="U9" s="711">
        <f t="shared" si="1"/>
        <v>100</v>
      </c>
      <c r="V9" s="710" t="s">
        <v>17</v>
      </c>
      <c r="W9" s="711">
        <f t="shared" si="2"/>
        <v>100</v>
      </c>
      <c r="X9" s="712"/>
      <c r="Y9" s="3298"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68"/>
      <c r="Q10" s="1529" t="str">
        <f t="shared" si="6"/>
        <v>土地使用年限（年）</v>
      </c>
      <c r="R10" s="710" t="s">
        <v>17</v>
      </c>
      <c r="S10" s="711">
        <f t="shared" si="0"/>
        <v>100</v>
      </c>
      <c r="T10" s="710" t="s">
        <v>17</v>
      </c>
      <c r="U10" s="711">
        <f t="shared" si="1"/>
        <v>100</v>
      </c>
      <c r="V10" s="710" t="s">
        <v>17</v>
      </c>
      <c r="W10" s="711">
        <f t="shared" si="2"/>
        <v>100</v>
      </c>
      <c r="X10" s="712"/>
      <c r="Y10" s="3298"/>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68"/>
      <c r="Q11" s="1529" t="str">
        <f t="shared" si="6"/>
        <v>容积率</v>
      </c>
      <c r="R11" s="710" t="s">
        <v>17</v>
      </c>
      <c r="S11" s="711" t="e">
        <f t="shared" si="0"/>
        <v>#N/A</v>
      </c>
      <c r="T11" s="710" t="s">
        <v>17</v>
      </c>
      <c r="U11" s="711" t="e">
        <f t="shared" si="1"/>
        <v>#N/A</v>
      </c>
      <c r="V11" s="710" t="s">
        <v>17</v>
      </c>
      <c r="W11" s="711" t="e">
        <f t="shared" si="2"/>
        <v>#N/A</v>
      </c>
      <c r="X11" s="712"/>
      <c r="Y11" s="3298"/>
      <c r="Z11" s="55" t="str">
        <f t="shared" si="7"/>
        <v>容积率</v>
      </c>
      <c r="AA11" s="713" t="e">
        <f t="shared" si="3"/>
        <v>#N/A</v>
      </c>
      <c r="AB11" s="713" t="e">
        <f t="shared" si="4"/>
        <v>#N/A</v>
      </c>
      <c r="AC11" s="2145" t="e">
        <f t="shared" si="5"/>
        <v>#N/A</v>
      </c>
    </row>
    <row r="12" spans="1:29" s="113" customFormat="1" ht="15">
      <c r="A12" s="390"/>
      <c r="B12" s="2080">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68"/>
      <c r="Q12" s="1529">
        <f t="shared" si="6"/>
        <v>111</v>
      </c>
      <c r="R12" s="710" t="s">
        <v>17</v>
      </c>
      <c r="S12" s="711">
        <f t="shared" si="0"/>
        <v>100</v>
      </c>
      <c r="T12" s="710" t="s">
        <v>17</v>
      </c>
      <c r="U12" s="711">
        <f t="shared" si="1"/>
        <v>100</v>
      </c>
      <c r="V12" s="710" t="s">
        <v>17</v>
      </c>
      <c r="W12" s="711">
        <f t="shared" si="2"/>
        <v>100</v>
      </c>
      <c r="X12" s="712"/>
      <c r="Y12" s="3298"/>
      <c r="Z12" s="55">
        <f t="shared" si="7"/>
        <v>111</v>
      </c>
      <c r="AA12" s="713">
        <f>D12/F12</f>
        <v>1</v>
      </c>
      <c r="AB12" s="713">
        <f>D12/H12</f>
        <v>1</v>
      </c>
      <c r="AC12" s="2145">
        <f>D12/J12</f>
        <v>1</v>
      </c>
    </row>
    <row r="13" spans="1:29" ht="15">
      <c r="A13" s="387"/>
      <c r="B13" s="2080">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68"/>
      <c r="Q13" s="1529">
        <f t="shared" si="6"/>
        <v>111</v>
      </c>
      <c r="R13" s="710" t="s">
        <v>17</v>
      </c>
      <c r="S13" s="711">
        <f t="shared" si="0"/>
        <v>100</v>
      </c>
      <c r="T13" s="710" t="s">
        <v>17</v>
      </c>
      <c r="U13" s="711">
        <f t="shared" si="1"/>
        <v>100</v>
      </c>
      <c r="V13" s="710" t="s">
        <v>17</v>
      </c>
      <c r="W13" s="711">
        <f t="shared" si="2"/>
        <v>100</v>
      </c>
      <c r="X13" s="712"/>
      <c r="Y13" s="3298"/>
      <c r="Z13" s="55">
        <f t="shared" si="7"/>
        <v>111</v>
      </c>
      <c r="AA13" s="713">
        <f t="shared" si="3"/>
        <v>1</v>
      </c>
      <c r="AB13" s="713">
        <f t="shared" si="4"/>
        <v>1</v>
      </c>
      <c r="AC13" s="2145">
        <f t="shared" si="5"/>
        <v>1</v>
      </c>
    </row>
    <row r="14" spans="1:29" ht="15.75" thickBot="1">
      <c r="A14" s="395"/>
      <c r="B14" s="2082">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68"/>
      <c r="Q14" s="1529">
        <f t="shared" si="6"/>
        <v>111</v>
      </c>
      <c r="R14" s="710" t="s">
        <v>17</v>
      </c>
      <c r="S14" s="711">
        <f t="shared" si="0"/>
        <v>100</v>
      </c>
      <c r="T14" s="710" t="s">
        <v>17</v>
      </c>
      <c r="U14" s="711">
        <f t="shared" si="1"/>
        <v>100</v>
      </c>
      <c r="V14" s="710" t="s">
        <v>17</v>
      </c>
      <c r="W14" s="711">
        <f t="shared" si="2"/>
        <v>100</v>
      </c>
      <c r="X14" s="712"/>
      <c r="Y14" s="3298"/>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95" t="s">
        <v>2379</v>
      </c>
      <c r="Q15" s="1538" t="str">
        <f t="shared" si="6"/>
        <v>办公集聚程度</v>
      </c>
      <c r="R15" s="714" t="s">
        <v>17</v>
      </c>
      <c r="S15" s="715">
        <f t="shared" si="0"/>
        <v>100</v>
      </c>
      <c r="T15" s="714" t="s">
        <v>17</v>
      </c>
      <c r="U15" s="715">
        <f t="shared" si="1"/>
        <v>100</v>
      </c>
      <c r="V15" s="714" t="s">
        <v>17</v>
      </c>
      <c r="W15" s="715">
        <f t="shared" si="2"/>
        <v>100</v>
      </c>
      <c r="X15" s="1541"/>
      <c r="Y15" s="3388" t="s">
        <v>2379</v>
      </c>
      <c r="Z15" s="1542" t="str">
        <f t="shared" si="7"/>
        <v>办公集聚程度</v>
      </c>
      <c r="AA15" s="1539">
        <f t="shared" si="3"/>
        <v>1</v>
      </c>
      <c r="AB15" s="1539">
        <f t="shared" si="4"/>
        <v>1</v>
      </c>
      <c r="AC15" s="2148">
        <f t="shared" si="5"/>
        <v>1</v>
      </c>
    </row>
    <row r="16" spans="1:29" ht="15">
      <c r="A16" s="387"/>
      <c r="B16" s="586"/>
      <c r="C16" s="2091"/>
      <c r="D16" s="407"/>
      <c r="E16" s="406"/>
      <c r="F16" s="407"/>
      <c r="G16" s="2091"/>
      <c r="H16" s="409"/>
      <c r="I16" s="406"/>
      <c r="J16" s="407"/>
      <c r="K16" s="572"/>
      <c r="L16" s="2948"/>
      <c r="M16" s="2942"/>
      <c r="N16" s="2942"/>
      <c r="O16" s="2942"/>
      <c r="P16" s="3396"/>
      <c r="Q16" s="1538"/>
      <c r="R16" s="714"/>
      <c r="S16" s="715"/>
      <c r="T16" s="714"/>
      <c r="U16" s="715"/>
      <c r="V16" s="714"/>
      <c r="W16" s="715"/>
      <c r="X16" s="1541"/>
      <c r="Y16" s="3389"/>
      <c r="Z16" s="1542"/>
      <c r="AA16" s="1539">
        <v>1</v>
      </c>
      <c r="AB16" s="1539">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96"/>
      <c r="Q17" s="1538" t="str">
        <f>B17</f>
        <v>交通便捷度</v>
      </c>
      <c r="R17" s="714" t="s">
        <v>17</v>
      </c>
      <c r="S17" s="715">
        <f>F17</f>
        <v>100</v>
      </c>
      <c r="T17" s="714" t="s">
        <v>17</v>
      </c>
      <c r="U17" s="715">
        <f>H17</f>
        <v>100</v>
      </c>
      <c r="V17" s="714" t="s">
        <v>17</v>
      </c>
      <c r="W17" s="715">
        <f>J17</f>
        <v>100</v>
      </c>
      <c r="X17" s="1541"/>
      <c r="Y17" s="3389"/>
      <c r="Z17" s="1542" t="str">
        <f>Q17</f>
        <v>交通便捷度</v>
      </c>
      <c r="AA17" s="1539">
        <f t="shared" si="3"/>
        <v>1</v>
      </c>
      <c r="AB17" s="1539">
        <f t="shared" si="4"/>
        <v>1</v>
      </c>
      <c r="AC17" s="2148">
        <f t="shared" si="5"/>
        <v>1</v>
      </c>
    </row>
    <row r="18" spans="1:29" ht="15">
      <c r="A18" s="387"/>
      <c r="B18" s="588"/>
      <c r="C18" s="2150"/>
      <c r="D18" s="409"/>
      <c r="E18" s="2089"/>
      <c r="F18" s="409"/>
      <c r="G18" s="2090"/>
      <c r="H18" s="407"/>
      <c r="I18" s="2090"/>
      <c r="J18" s="407"/>
      <c r="K18" s="572"/>
      <c r="L18" s="2948"/>
      <c r="M18" s="2942"/>
      <c r="N18" s="2942"/>
      <c r="O18" s="2942"/>
      <c r="P18" s="3396"/>
      <c r="Q18" s="1538"/>
      <c r="R18" s="714"/>
      <c r="S18" s="715"/>
      <c r="T18" s="714"/>
      <c r="U18" s="715"/>
      <c r="V18" s="714"/>
      <c r="W18" s="715"/>
      <c r="X18" s="1541"/>
      <c r="Y18" s="3389"/>
      <c r="Z18" s="1542"/>
      <c r="AA18" s="1539">
        <v>1</v>
      </c>
      <c r="AB18" s="1539">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96"/>
      <c r="Q19" s="1538" t="str">
        <f>B19</f>
        <v>公共配套设施</v>
      </c>
      <c r="R19" s="714" t="s">
        <v>17</v>
      </c>
      <c r="S19" s="715">
        <f>F19</f>
        <v>100</v>
      </c>
      <c r="T19" s="714" t="s">
        <v>17</v>
      </c>
      <c r="U19" s="715">
        <f>H19</f>
        <v>100</v>
      </c>
      <c r="V19" s="714" t="s">
        <v>17</v>
      </c>
      <c r="W19" s="715">
        <f>J19</f>
        <v>100</v>
      </c>
      <c r="X19" s="1541"/>
      <c r="Y19" s="3389"/>
      <c r="Z19" s="1542" t="str">
        <f>Q19</f>
        <v>公共配套设施</v>
      </c>
      <c r="AA19" s="1539">
        <f t="shared" si="3"/>
        <v>1</v>
      </c>
      <c r="AB19" s="1539">
        <f t="shared" si="4"/>
        <v>1</v>
      </c>
      <c r="AC19" s="2148">
        <f t="shared" si="5"/>
        <v>1</v>
      </c>
    </row>
    <row r="20" spans="1:29" ht="15">
      <c r="A20" s="387"/>
      <c r="B20" s="588"/>
      <c r="C20" s="2091"/>
      <c r="D20" s="407"/>
      <c r="E20" s="2084"/>
      <c r="F20" s="407"/>
      <c r="G20" s="2085"/>
      <c r="H20" s="407"/>
      <c r="I20" s="2085"/>
      <c r="J20" s="407"/>
      <c r="K20" s="572"/>
      <c r="L20" s="2948"/>
      <c r="M20" s="2942"/>
      <c r="N20" s="2942"/>
      <c r="O20" s="2942"/>
      <c r="P20" s="3396"/>
      <c r="Q20" s="1538"/>
      <c r="R20" s="714"/>
      <c r="S20" s="715"/>
      <c r="T20" s="714"/>
      <c r="U20" s="715"/>
      <c r="V20" s="714"/>
      <c r="W20" s="715"/>
      <c r="X20" s="1541"/>
      <c r="Y20" s="3389"/>
      <c r="Z20" s="1542"/>
      <c r="AA20" s="1539">
        <v>1</v>
      </c>
      <c r="AB20" s="1539">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96"/>
      <c r="Q21" s="1538" t="str">
        <f>B21</f>
        <v>基础设施水平</v>
      </c>
      <c r="R21" s="714" t="s">
        <v>17</v>
      </c>
      <c r="S21" s="715">
        <f>F21</f>
        <v>100</v>
      </c>
      <c r="T21" s="714" t="s">
        <v>17</v>
      </c>
      <c r="U21" s="715">
        <f>H21</f>
        <v>100</v>
      </c>
      <c r="V21" s="714" t="s">
        <v>17</v>
      </c>
      <c r="W21" s="715">
        <f>J21</f>
        <v>100</v>
      </c>
      <c r="X21" s="1541"/>
      <c r="Y21" s="3389"/>
      <c r="Z21" s="1542" t="str">
        <f>Q21</f>
        <v>基础设施水平</v>
      </c>
      <c r="AA21" s="1539">
        <f>D21/F21</f>
        <v>1</v>
      </c>
      <c r="AB21" s="1539">
        <f>D21/H21</f>
        <v>1</v>
      </c>
      <c r="AC21" s="2148">
        <f>D21/J21</f>
        <v>1</v>
      </c>
    </row>
    <row r="22" spans="1:29" ht="15">
      <c r="A22" s="387"/>
      <c r="B22" s="589"/>
      <c r="C22" s="2150"/>
      <c r="D22" s="407"/>
      <c r="E22" s="406"/>
      <c r="F22" s="407"/>
      <c r="G22" s="2091"/>
      <c r="H22" s="407"/>
      <c r="I22" s="2091"/>
      <c r="J22" s="407"/>
      <c r="K22" s="1292"/>
      <c r="L22" s="2948"/>
      <c r="M22" s="2942"/>
      <c r="N22" s="2942"/>
      <c r="O22" s="2942"/>
      <c r="P22" s="3396"/>
      <c r="Q22" s="1538"/>
      <c r="R22" s="714"/>
      <c r="S22" s="715"/>
      <c r="T22" s="714"/>
      <c r="U22" s="715"/>
      <c r="V22" s="714"/>
      <c r="W22" s="715"/>
      <c r="X22" s="1541"/>
      <c r="Y22" s="3389"/>
      <c r="Z22" s="1542"/>
      <c r="AA22" s="1539">
        <v>1</v>
      </c>
      <c r="AB22" s="1539">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96"/>
      <c r="Q23" s="1538" t="str">
        <f>B23</f>
        <v>环境质量</v>
      </c>
      <c r="R23" s="714" t="s">
        <v>17</v>
      </c>
      <c r="S23" s="715">
        <f>F23</f>
        <v>100</v>
      </c>
      <c r="T23" s="714" t="s">
        <v>17</v>
      </c>
      <c r="U23" s="715">
        <f>H23</f>
        <v>100</v>
      </c>
      <c r="V23" s="714" t="s">
        <v>17</v>
      </c>
      <c r="W23" s="715">
        <f>J23</f>
        <v>100</v>
      </c>
      <c r="X23" s="1541"/>
      <c r="Y23" s="3389"/>
      <c r="Z23" s="1542" t="str">
        <f>Q23</f>
        <v>环境质量</v>
      </c>
      <c r="AA23" s="1539">
        <f t="shared" si="3"/>
        <v>1</v>
      </c>
      <c r="AB23" s="1539">
        <f t="shared" si="4"/>
        <v>1</v>
      </c>
      <c r="AC23" s="2148">
        <f t="shared" si="5"/>
        <v>1</v>
      </c>
    </row>
    <row r="24" spans="1:29" ht="15">
      <c r="A24" s="387"/>
      <c r="B24" s="589"/>
      <c r="C24" s="2091"/>
      <c r="D24" s="407"/>
      <c r="E24" s="2084"/>
      <c r="F24" s="407"/>
      <c r="G24" s="2085"/>
      <c r="H24" s="407"/>
      <c r="I24" s="2085"/>
      <c r="J24" s="407"/>
      <c r="K24" s="572"/>
      <c r="L24" s="2948"/>
      <c r="M24" s="2942"/>
      <c r="N24" s="2942"/>
      <c r="O24" s="2942"/>
      <c r="P24" s="3396"/>
      <c r="Q24" s="1538"/>
      <c r="R24" s="714"/>
      <c r="S24" s="715"/>
      <c r="T24" s="714"/>
      <c r="U24" s="715"/>
      <c r="V24" s="714"/>
      <c r="W24" s="715"/>
      <c r="X24" s="1541"/>
      <c r="Y24" s="3389"/>
      <c r="Z24" s="1542"/>
      <c r="AA24" s="1539">
        <v>1</v>
      </c>
      <c r="AB24" s="1539">
        <v>1</v>
      </c>
      <c r="AC24" s="2148">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96"/>
      <c r="Q25" s="1538" t="str">
        <f>B25</f>
        <v>毗邻道路的类型与等级</v>
      </c>
      <c r="R25" s="714" t="s">
        <v>17</v>
      </c>
      <c r="S25" s="715">
        <f>F25</f>
        <v>100</v>
      </c>
      <c r="T25" s="714" t="s">
        <v>17</v>
      </c>
      <c r="U25" s="715">
        <f>H25</f>
        <v>100</v>
      </c>
      <c r="V25" s="714" t="s">
        <v>17</v>
      </c>
      <c r="W25" s="715">
        <f>J25</f>
        <v>100</v>
      </c>
      <c r="X25" s="1541"/>
      <c r="Y25" s="3389"/>
      <c r="Z25" s="1542" t="str">
        <f>Q25</f>
        <v>毗邻道路的类型与等级</v>
      </c>
      <c r="AA25" s="1539">
        <f t="shared" si="3"/>
        <v>1</v>
      </c>
      <c r="AB25" s="1539">
        <f t="shared" si="4"/>
        <v>1</v>
      </c>
      <c r="AC25" s="2148">
        <f t="shared" si="5"/>
        <v>1</v>
      </c>
    </row>
    <row r="26" spans="1:29" ht="15">
      <c r="A26" s="364"/>
      <c r="B26" s="588"/>
      <c r="C26" s="590"/>
      <c r="D26" s="394"/>
      <c r="E26" s="573"/>
      <c r="F26" s="394"/>
      <c r="G26" s="590"/>
      <c r="H26" s="394"/>
      <c r="I26" s="573"/>
      <c r="J26" s="394"/>
      <c r="K26" s="572"/>
      <c r="L26" s="2948"/>
      <c r="M26" s="2942"/>
      <c r="N26" s="2942"/>
      <c r="O26" s="2942"/>
      <c r="P26" s="3396"/>
      <c r="Q26" s="1538"/>
      <c r="R26" s="714"/>
      <c r="S26" s="715"/>
      <c r="T26" s="714"/>
      <c r="U26" s="715"/>
      <c r="V26" s="714"/>
      <c r="W26" s="715"/>
      <c r="X26" s="1541"/>
      <c r="Y26" s="3389"/>
      <c r="Z26" s="1542"/>
      <c r="AA26" s="1539">
        <v>1</v>
      </c>
      <c r="AB26" s="1539">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96"/>
      <c r="Q27" s="1538" t="str">
        <f t="shared" ref="Q27:Q47" si="8">B27</f>
        <v>楼层</v>
      </c>
      <c r="R27" s="714" t="s">
        <v>17</v>
      </c>
      <c r="S27" s="715">
        <f>F27</f>
        <v>100</v>
      </c>
      <c r="T27" s="714" t="s">
        <v>17</v>
      </c>
      <c r="U27" s="715">
        <f>H27</f>
        <v>100</v>
      </c>
      <c r="V27" s="714" t="s">
        <v>17</v>
      </c>
      <c r="W27" s="715">
        <f>J27</f>
        <v>100</v>
      </c>
      <c r="X27" s="1541"/>
      <c r="Y27" s="3389"/>
      <c r="Z27" s="1542" t="str">
        <f>Q27</f>
        <v>楼层</v>
      </c>
      <c r="AA27" s="1539">
        <f t="shared" si="3"/>
        <v>1</v>
      </c>
      <c r="AB27" s="1539">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96"/>
      <c r="Q28" s="1529" t="str">
        <f t="shared" si="8"/>
        <v>朝向</v>
      </c>
      <c r="R28" s="710" t="s">
        <v>17</v>
      </c>
      <c r="S28" s="711">
        <f>F28</f>
        <v>100</v>
      </c>
      <c r="T28" s="710" t="s">
        <v>17</v>
      </c>
      <c r="U28" s="711">
        <f>H28</f>
        <v>100</v>
      </c>
      <c r="V28" s="710" t="s">
        <v>17</v>
      </c>
      <c r="W28" s="711">
        <f>J28</f>
        <v>100</v>
      </c>
      <c r="X28" s="712"/>
      <c r="Y28" s="3389"/>
      <c r="Z28" s="55" t="str">
        <f>Q28</f>
        <v>朝向</v>
      </c>
      <c r="AA28" s="1539">
        <f>D28/F28</f>
        <v>1</v>
      </c>
      <c r="AB28" s="1539">
        <f>D28/H28</f>
        <v>1</v>
      </c>
      <c r="AC28" s="2148">
        <f>D28/J28</f>
        <v>1</v>
      </c>
    </row>
    <row r="29" spans="1:29" ht="15">
      <c r="A29" s="387"/>
      <c r="B29" s="2152">
        <v>111</v>
      </c>
      <c r="C29" s="2095"/>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96"/>
      <c r="Q29" s="1538">
        <f t="shared" si="8"/>
        <v>111</v>
      </c>
      <c r="R29" s="714" t="s">
        <v>17</v>
      </c>
      <c r="S29" s="715">
        <f t="shared" ref="S29:S47" si="9">F29</f>
        <v>100</v>
      </c>
      <c r="T29" s="714" t="s">
        <v>17</v>
      </c>
      <c r="U29" s="715">
        <f t="shared" ref="U29:U47" si="10">H29</f>
        <v>100</v>
      </c>
      <c r="V29" s="714" t="s">
        <v>17</v>
      </c>
      <c r="W29" s="715">
        <f t="shared" ref="W29:W47" si="11">J29</f>
        <v>100</v>
      </c>
      <c r="X29" s="1541"/>
      <c r="Y29" s="3389"/>
      <c r="Z29" s="1542">
        <f t="shared" ref="Z29:Z47" si="12">Q29</f>
        <v>111</v>
      </c>
      <c r="AA29" s="1539">
        <f t="shared" si="3"/>
        <v>1</v>
      </c>
      <c r="AB29" s="1539">
        <f t="shared" si="4"/>
        <v>1</v>
      </c>
      <c r="AC29" s="2148">
        <f t="shared" si="5"/>
        <v>1</v>
      </c>
    </row>
    <row r="30" spans="1:29" ht="15">
      <c r="A30" s="387"/>
      <c r="B30" s="2152">
        <v>111</v>
      </c>
      <c r="C30" s="2095"/>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96"/>
      <c r="Q30" s="1538">
        <f t="shared" si="8"/>
        <v>111</v>
      </c>
      <c r="R30" s="714" t="s">
        <v>17</v>
      </c>
      <c r="S30" s="715">
        <f t="shared" si="9"/>
        <v>100</v>
      </c>
      <c r="T30" s="714" t="s">
        <v>17</v>
      </c>
      <c r="U30" s="715">
        <f t="shared" si="10"/>
        <v>100</v>
      </c>
      <c r="V30" s="714" t="s">
        <v>17</v>
      </c>
      <c r="W30" s="715">
        <f t="shared" si="11"/>
        <v>100</v>
      </c>
      <c r="X30" s="1541"/>
      <c r="Y30" s="3389"/>
      <c r="Z30" s="1542">
        <f t="shared" si="12"/>
        <v>111</v>
      </c>
      <c r="AA30" s="1539">
        <f t="shared" si="3"/>
        <v>1</v>
      </c>
      <c r="AB30" s="1539">
        <f t="shared" si="4"/>
        <v>1</v>
      </c>
      <c r="AC30" s="2148">
        <f t="shared" si="5"/>
        <v>1</v>
      </c>
    </row>
    <row r="31" spans="1:29" ht="15">
      <c r="A31" s="387"/>
      <c r="B31" s="2152">
        <v>111</v>
      </c>
      <c r="C31" s="2095"/>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96"/>
      <c r="Q31" s="1538">
        <f t="shared" si="8"/>
        <v>111</v>
      </c>
      <c r="R31" s="714" t="s">
        <v>17</v>
      </c>
      <c r="S31" s="715">
        <f t="shared" si="9"/>
        <v>100</v>
      </c>
      <c r="T31" s="714" t="s">
        <v>17</v>
      </c>
      <c r="U31" s="715">
        <f t="shared" si="10"/>
        <v>100</v>
      </c>
      <c r="V31" s="714" t="s">
        <v>17</v>
      </c>
      <c r="W31" s="715">
        <f t="shared" si="11"/>
        <v>100</v>
      </c>
      <c r="X31" s="1541"/>
      <c r="Y31" s="3389"/>
      <c r="Z31" s="1542">
        <f t="shared" si="12"/>
        <v>111</v>
      </c>
      <c r="AA31" s="1539">
        <f t="shared" si="3"/>
        <v>1</v>
      </c>
      <c r="AB31" s="1539">
        <f t="shared" si="4"/>
        <v>1</v>
      </c>
      <c r="AC31" s="2148">
        <f t="shared" si="5"/>
        <v>1</v>
      </c>
    </row>
    <row r="32" spans="1:29" ht="15.75" thickBot="1">
      <c r="A32" s="395"/>
      <c r="B32" s="591">
        <v>111</v>
      </c>
      <c r="C32" s="2096"/>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96"/>
      <c r="Q32" s="1538">
        <f t="shared" si="8"/>
        <v>111</v>
      </c>
      <c r="R32" s="714" t="s">
        <v>17</v>
      </c>
      <c r="S32" s="715">
        <f t="shared" si="9"/>
        <v>100</v>
      </c>
      <c r="T32" s="714" t="s">
        <v>17</v>
      </c>
      <c r="U32" s="715">
        <f t="shared" si="10"/>
        <v>100</v>
      </c>
      <c r="V32" s="714" t="s">
        <v>17</v>
      </c>
      <c r="W32" s="715">
        <f t="shared" si="11"/>
        <v>100</v>
      </c>
      <c r="X32" s="1541"/>
      <c r="Y32" s="3389"/>
      <c r="Z32" s="1542">
        <f t="shared" si="12"/>
        <v>111</v>
      </c>
      <c r="AA32" s="1539">
        <f t="shared" si="3"/>
        <v>1</v>
      </c>
      <c r="AB32" s="1539">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90" t="s">
        <v>2384</v>
      </c>
      <c r="Q33" s="1538" t="str">
        <f t="shared" si="8"/>
        <v>建筑类型</v>
      </c>
      <c r="R33" s="714" t="s">
        <v>17</v>
      </c>
      <c r="S33" s="715">
        <f t="shared" si="9"/>
        <v>100</v>
      </c>
      <c r="T33" s="714" t="s">
        <v>17</v>
      </c>
      <c r="U33" s="715">
        <f t="shared" si="10"/>
        <v>100</v>
      </c>
      <c r="V33" s="714" t="s">
        <v>17</v>
      </c>
      <c r="W33" s="715">
        <f t="shared" si="11"/>
        <v>100</v>
      </c>
      <c r="X33" s="1541"/>
      <c r="Y33" s="3393" t="s">
        <v>2384</v>
      </c>
      <c r="Z33" s="1542" t="str">
        <f t="shared" si="12"/>
        <v>建筑类型</v>
      </c>
      <c r="AA33" s="1539">
        <f t="shared" si="3"/>
        <v>1</v>
      </c>
      <c r="AB33" s="1539">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91"/>
      <c r="Q34" s="716" t="str">
        <f t="shared" si="8"/>
        <v>项目建筑规模</v>
      </c>
      <c r="R34" s="717" t="s">
        <v>17</v>
      </c>
      <c r="S34" s="718" t="e">
        <f t="shared" si="9"/>
        <v>#N/A</v>
      </c>
      <c r="T34" s="717" t="s">
        <v>17</v>
      </c>
      <c r="U34" s="718" t="e">
        <f t="shared" si="10"/>
        <v>#N/A</v>
      </c>
      <c r="V34" s="717" t="s">
        <v>17</v>
      </c>
      <c r="W34" s="718" t="e">
        <f t="shared" si="11"/>
        <v>#N/A</v>
      </c>
      <c r="X34" s="719"/>
      <c r="Y34" s="3393"/>
      <c r="Z34" s="720" t="str">
        <f t="shared" si="12"/>
        <v>项目建筑规模</v>
      </c>
      <c r="AA34" s="1539" t="e">
        <f t="shared" si="3"/>
        <v>#N/A</v>
      </c>
      <c r="AB34" s="1539"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91"/>
      <c r="Q35" s="1538" t="str">
        <f t="shared" si="8"/>
        <v>建筑结构</v>
      </c>
      <c r="R35" s="714" t="s">
        <v>17</v>
      </c>
      <c r="S35" s="715">
        <f t="shared" si="9"/>
        <v>100</v>
      </c>
      <c r="T35" s="714" t="s">
        <v>17</v>
      </c>
      <c r="U35" s="715">
        <f t="shared" si="10"/>
        <v>100</v>
      </c>
      <c r="V35" s="714" t="s">
        <v>17</v>
      </c>
      <c r="W35" s="715">
        <f t="shared" si="11"/>
        <v>100</v>
      </c>
      <c r="X35" s="1541"/>
      <c r="Y35" s="3393"/>
      <c r="Z35" s="1542" t="str">
        <f t="shared" si="12"/>
        <v>建筑结构</v>
      </c>
      <c r="AA35" s="1539">
        <f t="shared" si="3"/>
        <v>1</v>
      </c>
      <c r="AB35" s="1539">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91"/>
      <c r="Q36" s="1538" t="str">
        <f t="shared" si="8"/>
        <v>公共部分装修</v>
      </c>
      <c r="R36" s="714" t="s">
        <v>17</v>
      </c>
      <c r="S36" s="715">
        <f t="shared" si="9"/>
        <v>100</v>
      </c>
      <c r="T36" s="714" t="s">
        <v>17</v>
      </c>
      <c r="U36" s="715">
        <f t="shared" si="10"/>
        <v>100</v>
      </c>
      <c r="V36" s="714" t="s">
        <v>17</v>
      </c>
      <c r="W36" s="715">
        <f t="shared" si="11"/>
        <v>100</v>
      </c>
      <c r="X36" s="1541"/>
      <c r="Y36" s="3393"/>
      <c r="Z36" s="1542" t="str">
        <f t="shared" si="12"/>
        <v>公共部分装修</v>
      </c>
      <c r="AA36" s="1539">
        <f t="shared" si="3"/>
        <v>1</v>
      </c>
      <c r="AB36" s="1539">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91"/>
      <c r="Q37" s="1538" t="str">
        <f t="shared" si="8"/>
        <v>成新度</v>
      </c>
      <c r="R37" s="714" t="s">
        <v>17</v>
      </c>
      <c r="S37" s="715" t="e">
        <f t="shared" si="9"/>
        <v>#N/A</v>
      </c>
      <c r="T37" s="714" t="s">
        <v>17</v>
      </c>
      <c r="U37" s="715" t="e">
        <f t="shared" si="10"/>
        <v>#N/A</v>
      </c>
      <c r="V37" s="714" t="s">
        <v>17</v>
      </c>
      <c r="W37" s="715" t="e">
        <f t="shared" si="11"/>
        <v>#N/A</v>
      </c>
      <c r="X37" s="1541"/>
      <c r="Y37" s="3393"/>
      <c r="Z37" s="1542" t="str">
        <f t="shared" si="12"/>
        <v>成新度</v>
      </c>
      <c r="AA37" s="1539" t="e">
        <f t="shared" si="3"/>
        <v>#N/A</v>
      </c>
      <c r="AB37" s="1539"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91"/>
      <c r="Q38" s="1529" t="str">
        <f t="shared" si="8"/>
        <v>写字楼等级</v>
      </c>
      <c r="R38" s="710" t="s">
        <v>17</v>
      </c>
      <c r="S38" s="711">
        <f t="shared" si="9"/>
        <v>100</v>
      </c>
      <c r="T38" s="710" t="s">
        <v>17</v>
      </c>
      <c r="U38" s="711">
        <f t="shared" si="10"/>
        <v>100</v>
      </c>
      <c r="V38" s="710" t="s">
        <v>17</v>
      </c>
      <c r="W38" s="711">
        <f t="shared" si="11"/>
        <v>100</v>
      </c>
      <c r="X38" s="712"/>
      <c r="Y38" s="3393"/>
      <c r="Z38" s="55" t="str">
        <f t="shared" si="12"/>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91" t="s">
        <v>2384</v>
      </c>
      <c r="Q39" s="1538" t="str">
        <f t="shared" si="8"/>
        <v>物业管理</v>
      </c>
      <c r="R39" s="714" t="s">
        <v>17</v>
      </c>
      <c r="S39" s="715">
        <f t="shared" si="9"/>
        <v>100</v>
      </c>
      <c r="T39" s="714" t="s">
        <v>17</v>
      </c>
      <c r="U39" s="715">
        <f t="shared" si="10"/>
        <v>100</v>
      </c>
      <c r="V39" s="714" t="s">
        <v>17</v>
      </c>
      <c r="W39" s="715">
        <f t="shared" si="11"/>
        <v>100</v>
      </c>
      <c r="X39" s="1541"/>
      <c r="Y39" s="3393" t="s">
        <v>2384</v>
      </c>
      <c r="Z39" s="1542" t="str">
        <f t="shared" si="12"/>
        <v>物业管理</v>
      </c>
      <c r="AA39" s="1539">
        <f t="shared" si="3"/>
        <v>1</v>
      </c>
      <c r="AB39" s="1539">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91"/>
      <c r="Q40" s="1538" t="str">
        <f t="shared" si="8"/>
        <v>市政基础设施</v>
      </c>
      <c r="R40" s="714" t="s">
        <v>17</v>
      </c>
      <c r="S40" s="715">
        <f t="shared" si="9"/>
        <v>100</v>
      </c>
      <c r="T40" s="714" t="s">
        <v>17</v>
      </c>
      <c r="U40" s="715">
        <f t="shared" si="10"/>
        <v>100</v>
      </c>
      <c r="V40" s="714" t="s">
        <v>17</v>
      </c>
      <c r="W40" s="715">
        <f t="shared" si="11"/>
        <v>100</v>
      </c>
      <c r="X40" s="1541"/>
      <c r="Y40" s="3393"/>
      <c r="Z40" s="1542" t="str">
        <f t="shared" si="12"/>
        <v>市政基础设施</v>
      </c>
      <c r="AA40" s="1539">
        <f t="shared" si="3"/>
        <v>1</v>
      </c>
      <c r="AB40" s="1539">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91"/>
      <c r="Q41" s="1538" t="str">
        <f t="shared" si="8"/>
        <v>层高</v>
      </c>
      <c r="R41" s="714" t="s">
        <v>17</v>
      </c>
      <c r="S41" s="715">
        <f t="shared" si="9"/>
        <v>100</v>
      </c>
      <c r="T41" s="714" t="s">
        <v>17</v>
      </c>
      <c r="U41" s="715">
        <f t="shared" si="10"/>
        <v>100</v>
      </c>
      <c r="V41" s="714" t="s">
        <v>17</v>
      </c>
      <c r="W41" s="715">
        <f t="shared" si="11"/>
        <v>100</v>
      </c>
      <c r="X41" s="1541"/>
      <c r="Y41" s="3393"/>
      <c r="Z41" s="1542" t="str">
        <f t="shared" si="12"/>
        <v>层高</v>
      </c>
      <c r="AA41" s="1539">
        <f t="shared" si="3"/>
        <v>1</v>
      </c>
      <c r="AB41" s="1539">
        <f t="shared" si="4"/>
        <v>1</v>
      </c>
      <c r="AC41" s="2148">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91"/>
      <c r="Q42" s="716" t="str">
        <f t="shared" si="8"/>
        <v>单套建筑面积</v>
      </c>
      <c r="R42" s="717" t="s">
        <v>17</v>
      </c>
      <c r="S42" s="718">
        <f t="shared" si="9"/>
        <v>100</v>
      </c>
      <c r="T42" s="717" t="s">
        <v>17</v>
      </c>
      <c r="U42" s="718">
        <f t="shared" si="10"/>
        <v>100</v>
      </c>
      <c r="V42" s="717" t="s">
        <v>17</v>
      </c>
      <c r="W42" s="718">
        <f t="shared" si="11"/>
        <v>100</v>
      </c>
      <c r="X42" s="719"/>
      <c r="Y42" s="3393"/>
      <c r="Z42" s="720" t="str">
        <f t="shared" si="12"/>
        <v>单套建筑面积</v>
      </c>
      <c r="AA42" s="1539">
        <f t="shared" si="3"/>
        <v>1</v>
      </c>
      <c r="AB42" s="1539">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91"/>
      <c r="Q43" s="1538" t="str">
        <f t="shared" si="8"/>
        <v>内部装修</v>
      </c>
      <c r="R43" s="714" t="s">
        <v>17</v>
      </c>
      <c r="S43" s="715">
        <f t="shared" si="9"/>
        <v>100</v>
      </c>
      <c r="T43" s="714" t="s">
        <v>17</v>
      </c>
      <c r="U43" s="715">
        <f t="shared" si="10"/>
        <v>100</v>
      </c>
      <c r="V43" s="714" t="s">
        <v>17</v>
      </c>
      <c r="W43" s="715">
        <f t="shared" si="11"/>
        <v>100</v>
      </c>
      <c r="X43" s="1541"/>
      <c r="Y43" s="3393"/>
      <c r="Z43" s="1542" t="str">
        <f t="shared" si="12"/>
        <v>内部装修</v>
      </c>
      <c r="AA43" s="1539">
        <f t="shared" si="3"/>
        <v>1</v>
      </c>
      <c r="AB43" s="1539">
        <f t="shared" si="4"/>
        <v>1</v>
      </c>
      <c r="AC43" s="2148">
        <f t="shared" si="5"/>
        <v>1</v>
      </c>
    </row>
    <row r="44" spans="1:29" ht="15">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91"/>
      <c r="Q44" s="1538" t="str">
        <f t="shared" si="8"/>
        <v>内部装修维护情况</v>
      </c>
      <c r="R44" s="714" t="s">
        <v>17</v>
      </c>
      <c r="S44" s="715">
        <f t="shared" si="9"/>
        <v>100</v>
      </c>
      <c r="T44" s="714" t="s">
        <v>17</v>
      </c>
      <c r="U44" s="715">
        <f t="shared" si="10"/>
        <v>100</v>
      </c>
      <c r="V44" s="714" t="s">
        <v>17</v>
      </c>
      <c r="W44" s="715">
        <f t="shared" si="11"/>
        <v>100</v>
      </c>
      <c r="X44" s="1541"/>
      <c r="Y44" s="3393"/>
      <c r="Z44" s="1542" t="str">
        <f t="shared" si="12"/>
        <v>内部装修维护情况</v>
      </c>
      <c r="AA44" s="1539">
        <f t="shared" si="3"/>
        <v>1</v>
      </c>
      <c r="AB44" s="1539">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91"/>
      <c r="Q45" s="1529">
        <f t="shared" si="8"/>
        <v>111</v>
      </c>
      <c r="R45" s="710" t="s">
        <v>17</v>
      </c>
      <c r="S45" s="711">
        <f t="shared" si="9"/>
        <v>100</v>
      </c>
      <c r="T45" s="710" t="s">
        <v>17</v>
      </c>
      <c r="U45" s="711">
        <f t="shared" si="10"/>
        <v>100</v>
      </c>
      <c r="V45" s="710" t="s">
        <v>17</v>
      </c>
      <c r="W45" s="711">
        <f t="shared" si="11"/>
        <v>100</v>
      </c>
      <c r="X45" s="712"/>
      <c r="Y45" s="3393"/>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91"/>
      <c r="Q46" s="1538">
        <f t="shared" si="8"/>
        <v>111</v>
      </c>
      <c r="R46" s="714" t="s">
        <v>17</v>
      </c>
      <c r="S46" s="715">
        <f t="shared" si="9"/>
        <v>100</v>
      </c>
      <c r="T46" s="714" t="s">
        <v>17</v>
      </c>
      <c r="U46" s="715">
        <f t="shared" si="10"/>
        <v>100</v>
      </c>
      <c r="V46" s="714" t="s">
        <v>17</v>
      </c>
      <c r="W46" s="715">
        <f t="shared" si="11"/>
        <v>100</v>
      </c>
      <c r="X46" s="1541"/>
      <c r="Y46" s="3393"/>
      <c r="Z46" s="1542">
        <f t="shared" si="12"/>
        <v>111</v>
      </c>
      <c r="AA46" s="1539">
        <f t="shared" si="3"/>
        <v>1</v>
      </c>
      <c r="AB46" s="1539">
        <f t="shared" si="4"/>
        <v>1</v>
      </c>
      <c r="AC46" s="2148">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92"/>
      <c r="Q47" s="1538">
        <f t="shared" si="8"/>
        <v>111</v>
      </c>
      <c r="R47" s="714" t="s">
        <v>17</v>
      </c>
      <c r="S47" s="715">
        <f t="shared" si="9"/>
        <v>100</v>
      </c>
      <c r="T47" s="714" t="s">
        <v>17</v>
      </c>
      <c r="U47" s="715">
        <f t="shared" si="10"/>
        <v>100</v>
      </c>
      <c r="V47" s="714" t="s">
        <v>17</v>
      </c>
      <c r="W47" s="715">
        <f t="shared" si="11"/>
        <v>100</v>
      </c>
      <c r="X47" s="1541"/>
      <c r="Y47" s="3394"/>
      <c r="Z47" s="1542">
        <f t="shared" si="12"/>
        <v>111</v>
      </c>
      <c r="AA47" s="1539">
        <f t="shared" si="3"/>
        <v>1</v>
      </c>
      <c r="AB47" s="1539">
        <f t="shared" si="4"/>
        <v>1</v>
      </c>
      <c r="AC47" s="2148">
        <f t="shared" si="5"/>
        <v>1</v>
      </c>
    </row>
    <row r="48" spans="1:29" ht="15">
      <c r="A48" s="438" t="s">
        <v>2396</v>
      </c>
      <c r="B48" s="439"/>
      <c r="C48" s="1316" t="s">
        <v>1</v>
      </c>
      <c r="D48" s="1317"/>
      <c r="E48" s="1318"/>
      <c r="F48" s="1319"/>
      <c r="G48" s="1320"/>
      <c r="H48" s="1321"/>
      <c r="I48" s="1318"/>
      <c r="J48" s="444"/>
      <c r="K48" s="723"/>
      <c r="L48" s="2950"/>
      <c r="M48" s="2942"/>
      <c r="N48" s="2942"/>
      <c r="O48" s="2942"/>
      <c r="P48" s="3368" t="str">
        <f>A48</f>
        <v>成交单价（元/平方米）</v>
      </c>
      <c r="Q48" s="3386"/>
      <c r="R48" s="3387">
        <f>E48</f>
        <v>0</v>
      </c>
      <c r="S48" s="3387"/>
      <c r="T48" s="3387">
        <f>G48</f>
        <v>0</v>
      </c>
      <c r="U48" s="3387"/>
      <c r="V48" s="3387">
        <f>I48</f>
        <v>0</v>
      </c>
      <c r="W48" s="3387"/>
      <c r="X48" s="405"/>
      <c r="Y48" s="721"/>
      <c r="Z48" s="405"/>
      <c r="AA48" s="405"/>
      <c r="AB48" s="405"/>
      <c r="AC48" s="586"/>
    </row>
    <row r="49" spans="1:29" ht="15.75" thickBot="1">
      <c r="A49" s="445" t="s">
        <v>2488</v>
      </c>
      <c r="B49" s="446"/>
      <c r="C49" s="1322" t="e">
        <f>R50</f>
        <v>#DIV/0!</v>
      </c>
      <c r="D49" s="2538" t="s">
        <v>2873</v>
      </c>
      <c r="E49" s="1323" t="e">
        <f>R49</f>
        <v>#DIV/0!</v>
      </c>
      <c r="F49" s="2539"/>
      <c r="G49" s="1322" t="e">
        <f>T49</f>
        <v>#DIV/0!</v>
      </c>
      <c r="H49" s="2539"/>
      <c r="I49" s="1323" t="e">
        <f>V49</f>
        <v>#DIV/0!</v>
      </c>
      <c r="J49" s="2539"/>
      <c r="K49" s="2541">
        <f>F49+H49+J49</f>
        <v>0</v>
      </c>
      <c r="L49" s="2950"/>
      <c r="M49" s="2942"/>
      <c r="N49" s="2942"/>
      <c r="O49" s="2942"/>
      <c r="P49" s="3368"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0"/>
      <c r="M50" s="2942"/>
      <c r="N50" s="2942"/>
      <c r="O50" s="2942"/>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2367</v>
      </c>
      <c r="B59" s="463"/>
      <c r="C59" s="1346" t="str">
        <f>YEAR(C7)&amp;"-"&amp;MONTH(C7)</f>
        <v>2021-4</v>
      </c>
      <c r="D59" s="1347">
        <f>EDATE(C59,-1)</f>
        <v>44256</v>
      </c>
      <c r="E59" s="1347">
        <f>EDATE(D59,-1)</f>
        <v>44228</v>
      </c>
      <c r="F59" s="1347">
        <f t="shared" ref="F59:O59" si="13">EDATE(E59,-1)</f>
        <v>44197</v>
      </c>
      <c r="G59" s="1347">
        <f t="shared" si="13"/>
        <v>44166</v>
      </c>
      <c r="H59" s="1347">
        <f t="shared" si="13"/>
        <v>44136</v>
      </c>
      <c r="I59" s="1347">
        <f t="shared" si="13"/>
        <v>44105</v>
      </c>
      <c r="J59" s="1347">
        <f t="shared" si="13"/>
        <v>44075</v>
      </c>
      <c r="K59" s="1347">
        <f t="shared" si="13"/>
        <v>44044</v>
      </c>
      <c r="L59" s="1347">
        <f t="shared" si="13"/>
        <v>44013</v>
      </c>
      <c r="M59" s="1347">
        <f t="shared" si="13"/>
        <v>43983</v>
      </c>
      <c r="N59" s="1347">
        <f t="shared" si="13"/>
        <v>43952</v>
      </c>
      <c r="O59" s="1347">
        <f t="shared" si="13"/>
        <v>43922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2377</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2432</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云南俊贤旅游开发有限公司：</v>
      </c>
    </row>
    <row r="4" spans="1:1" ht="36">
      <c r="A4" s="1667" t="str">
        <f>"受贵公司委托，我公司对"&amp;项目基本情况!S1&amp;"进行了预评估。"</f>
        <v>受贵公司委托，我公司对云南省昆明市官渡区官渡街道办事处出让国有建设用地使用权及在建建筑物房地产抵押价值进行了预评估。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官渡区官渡街道办事处出让国有建设用地使用权及在建建筑物房地产，为所有。根据《国有土地使用证》[]，估价对象（分摊）出让国有建设用地使用权面积为35823.8平方米，建筑面积为20460.7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官渡区官渡街道办事处出让国有建设用地使用权及在建建筑物房地产,为开发建设的，该项目尚在开发建设中。根据《国有土地使用证》[]，估价对象（分摊）出让国有建设用地使用权面积为35823.8平方米，规划建筑面积为20460.7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2021年4月30日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20460.700000000004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69" t="s">
        <v>2465</v>
      </c>
      <c r="D4" s="3370"/>
      <c r="E4" s="3371" t="s">
        <v>2466</v>
      </c>
      <c r="F4" s="3372"/>
      <c r="G4" s="3369" t="s">
        <v>2467</v>
      </c>
      <c r="H4" s="3370"/>
      <c r="I4" s="3369" t="s">
        <v>2468</v>
      </c>
      <c r="J4" s="3370"/>
      <c r="K4" s="567" t="s">
        <v>2469</v>
      </c>
      <c r="L4" s="1044"/>
      <c r="M4" s="1045"/>
      <c r="N4" s="1045"/>
      <c r="O4" s="1045"/>
      <c r="P4" s="3373" t="s">
        <v>2470</v>
      </c>
      <c r="Q4" s="3374"/>
      <c r="R4" s="3358" t="s">
        <v>2466</v>
      </c>
      <c r="S4" s="3359"/>
      <c r="T4" s="3358" t="s">
        <v>2467</v>
      </c>
      <c r="U4" s="3359"/>
      <c r="V4" s="3381" t="s">
        <v>2468</v>
      </c>
      <c r="W4" s="3381"/>
      <c r="X4" s="1541"/>
      <c r="Y4" s="3358" t="s">
        <v>2470</v>
      </c>
      <c r="Z4" s="3359"/>
      <c r="AA4" s="3353" t="s">
        <v>2466</v>
      </c>
      <c r="AB4" s="3354" t="s">
        <v>2467</v>
      </c>
      <c r="AC4" s="3353" t="s">
        <v>2468</v>
      </c>
    </row>
    <row r="5" spans="1:29" ht="15">
      <c r="A5" s="364"/>
      <c r="B5" s="365"/>
      <c r="C5" s="3398" t="s">
        <v>2361</v>
      </c>
      <c r="D5" s="3365"/>
      <c r="E5" s="3397" t="s">
        <v>2362</v>
      </c>
      <c r="F5" s="3363"/>
      <c r="G5" s="3398" t="s">
        <v>2363</v>
      </c>
      <c r="H5" s="3365"/>
      <c r="I5" s="3398" t="s">
        <v>2364</v>
      </c>
      <c r="J5" s="3365"/>
      <c r="K5" s="567"/>
      <c r="L5" s="1044"/>
      <c r="M5" s="1045"/>
      <c r="N5" s="1045"/>
      <c r="O5" s="1045"/>
      <c r="P5" s="3375"/>
      <c r="Q5" s="3376"/>
      <c r="R5" s="3360"/>
      <c r="S5" s="3361"/>
      <c r="T5" s="3360"/>
      <c r="U5" s="3361"/>
      <c r="V5" s="3381"/>
      <c r="W5" s="3381"/>
      <c r="X5" s="1541"/>
      <c r="Y5" s="3360"/>
      <c r="Z5" s="3361"/>
      <c r="AA5" s="3354"/>
      <c r="AB5" s="3354"/>
      <c r="AC5" s="3354"/>
    </row>
    <row r="6" spans="1:29" ht="15.75" thickBot="1">
      <c r="A6" s="366"/>
      <c r="B6" s="367"/>
      <c r="C6" s="3399" t="s">
        <v>2365</v>
      </c>
      <c r="D6" s="3367"/>
      <c r="E6" s="3400" t="s">
        <v>2365</v>
      </c>
      <c r="F6" s="3401"/>
      <c r="G6" s="3399" t="s">
        <v>2365</v>
      </c>
      <c r="H6" s="3367"/>
      <c r="I6" s="3399" t="s">
        <v>2365</v>
      </c>
      <c r="J6" s="3367"/>
      <c r="K6" s="567" t="s">
        <v>2366</v>
      </c>
      <c r="L6" s="1044"/>
      <c r="M6" s="1045"/>
      <c r="N6" s="1045"/>
      <c r="O6" s="1045"/>
      <c r="P6" s="3377"/>
      <c r="Q6" s="3378"/>
      <c r="R6" s="3360"/>
      <c r="S6" s="3361"/>
      <c r="T6" s="3379"/>
      <c r="U6" s="3380"/>
      <c r="V6" s="3381"/>
      <c r="W6" s="3381"/>
      <c r="X6" s="1541"/>
      <c r="Y6" s="3379"/>
      <c r="Z6" s="3380"/>
      <c r="AA6" s="3355"/>
      <c r="AB6" s="3355"/>
      <c r="AC6" s="3355"/>
    </row>
    <row r="7" spans="1:29" s="113" customFormat="1" ht="15.75" thickBot="1">
      <c r="A7" s="368" t="s">
        <v>2367</v>
      </c>
      <c r="B7" s="369"/>
      <c r="C7" s="370">
        <f>'数据-取费表'!B2</f>
        <v>44316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6" t="s">
        <v>2368</v>
      </c>
      <c r="Q7" s="3382"/>
      <c r="R7" s="710" t="s">
        <v>17</v>
      </c>
      <c r="S7" s="711">
        <f t="shared" ref="S7:S15" si="0">F7</f>
        <v>0</v>
      </c>
      <c r="T7" s="710" t="s">
        <v>17</v>
      </c>
      <c r="U7" s="711">
        <f t="shared" ref="U7:U15" si="1">H7</f>
        <v>0</v>
      </c>
      <c r="V7" s="710" t="s">
        <v>17</v>
      </c>
      <c r="W7" s="711">
        <f t="shared" ref="W7:W15" si="2">J7</f>
        <v>0</v>
      </c>
      <c r="X7" s="712"/>
      <c r="Y7" s="3356" t="s">
        <v>2368</v>
      </c>
      <c r="Z7" s="3357"/>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6" t="s">
        <v>2371</v>
      </c>
      <c r="Q8" s="3357"/>
      <c r="R8" s="710" t="s">
        <v>17</v>
      </c>
      <c r="S8" s="711">
        <f t="shared" si="0"/>
        <v>0</v>
      </c>
      <c r="T8" s="710" t="s">
        <v>17</v>
      </c>
      <c r="U8" s="711">
        <f t="shared" si="1"/>
        <v>0</v>
      </c>
      <c r="V8" s="710" t="s">
        <v>17</v>
      </c>
      <c r="W8" s="711">
        <f t="shared" si="2"/>
        <v>0</v>
      </c>
      <c r="X8" s="712"/>
      <c r="Y8" s="3356" t="s">
        <v>2371</v>
      </c>
      <c r="Z8" s="3357"/>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6" t="s">
        <v>2374</v>
      </c>
      <c r="Q9" s="1529" t="str">
        <f t="shared" ref="Q9:Q15" si="6">B9</f>
        <v>用途</v>
      </c>
      <c r="R9" s="710" t="s">
        <v>17</v>
      </c>
      <c r="S9" s="711">
        <f t="shared" si="0"/>
        <v>100</v>
      </c>
      <c r="T9" s="710" t="s">
        <v>17</v>
      </c>
      <c r="U9" s="711">
        <f t="shared" si="1"/>
        <v>100</v>
      </c>
      <c r="V9" s="710" t="s">
        <v>17</v>
      </c>
      <c r="W9" s="711">
        <f t="shared" si="2"/>
        <v>100</v>
      </c>
      <c r="X9" s="712"/>
      <c r="Y9" s="329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6"/>
      <c r="Q10" s="1529" t="str">
        <f t="shared" si="6"/>
        <v>土地使用年限（年）</v>
      </c>
      <c r="R10" s="710" t="s">
        <v>17</v>
      </c>
      <c r="S10" s="711">
        <f t="shared" si="0"/>
        <v>100</v>
      </c>
      <c r="T10" s="710" t="s">
        <v>17</v>
      </c>
      <c r="U10" s="711">
        <f t="shared" si="1"/>
        <v>100</v>
      </c>
      <c r="V10" s="710" t="s">
        <v>17</v>
      </c>
      <c r="W10" s="711">
        <f t="shared" si="2"/>
        <v>100</v>
      </c>
      <c r="X10" s="712"/>
      <c r="Y10" s="3298"/>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6"/>
      <c r="Q11" s="1529" t="str">
        <f t="shared" si="6"/>
        <v>容积率</v>
      </c>
      <c r="R11" s="710" t="s">
        <v>17</v>
      </c>
      <c r="S11" s="711" t="e">
        <f t="shared" si="0"/>
        <v>#N/A</v>
      </c>
      <c r="T11" s="710" t="s">
        <v>17</v>
      </c>
      <c r="U11" s="711" t="e">
        <f t="shared" si="1"/>
        <v>#N/A</v>
      </c>
      <c r="V11" s="710" t="s">
        <v>17</v>
      </c>
      <c r="W11" s="711" t="e">
        <f t="shared" si="2"/>
        <v>#N/A</v>
      </c>
      <c r="X11" s="712"/>
      <c r="Y11" s="3298"/>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86"/>
      <c r="Q12" s="1529">
        <f t="shared" si="6"/>
        <v>111</v>
      </c>
      <c r="R12" s="710" t="s">
        <v>17</v>
      </c>
      <c r="S12" s="711">
        <f t="shared" si="0"/>
        <v>100</v>
      </c>
      <c r="T12" s="710" t="s">
        <v>17</v>
      </c>
      <c r="U12" s="711">
        <f t="shared" si="1"/>
        <v>100</v>
      </c>
      <c r="V12" s="710" t="s">
        <v>17</v>
      </c>
      <c r="W12" s="711">
        <f t="shared" si="2"/>
        <v>100</v>
      </c>
      <c r="X12" s="712"/>
      <c r="Y12" s="3298"/>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86"/>
      <c r="Q13" s="1529">
        <f t="shared" si="6"/>
        <v>111</v>
      </c>
      <c r="R13" s="710" t="s">
        <v>17</v>
      </c>
      <c r="S13" s="711">
        <f t="shared" si="0"/>
        <v>100</v>
      </c>
      <c r="T13" s="710" t="s">
        <v>17</v>
      </c>
      <c r="U13" s="711">
        <f t="shared" si="1"/>
        <v>100</v>
      </c>
      <c r="V13" s="710" t="s">
        <v>17</v>
      </c>
      <c r="W13" s="711">
        <f t="shared" si="2"/>
        <v>100</v>
      </c>
      <c r="X13" s="712"/>
      <c r="Y13" s="3298"/>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86"/>
      <c r="Q14" s="1529">
        <f t="shared" si="6"/>
        <v>111</v>
      </c>
      <c r="R14" s="710" t="s">
        <v>17</v>
      </c>
      <c r="S14" s="711">
        <f t="shared" si="0"/>
        <v>100</v>
      </c>
      <c r="T14" s="710" t="s">
        <v>17</v>
      </c>
      <c r="U14" s="711">
        <f t="shared" si="1"/>
        <v>100</v>
      </c>
      <c r="V14" s="710" t="s">
        <v>17</v>
      </c>
      <c r="W14" s="711">
        <f t="shared" si="2"/>
        <v>100</v>
      </c>
      <c r="X14" s="712"/>
      <c r="Y14" s="3298"/>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88" t="s">
        <v>2379</v>
      </c>
      <c r="Q15" s="1538" t="str">
        <f t="shared" si="6"/>
        <v>产业集聚程度</v>
      </c>
      <c r="R15" s="714" t="s">
        <v>17</v>
      </c>
      <c r="S15" s="715">
        <f t="shared" si="0"/>
        <v>100</v>
      </c>
      <c r="T15" s="714" t="s">
        <v>17</v>
      </c>
      <c r="U15" s="715">
        <f t="shared" si="1"/>
        <v>100</v>
      </c>
      <c r="V15" s="714" t="s">
        <v>17</v>
      </c>
      <c r="W15" s="715">
        <f t="shared" si="2"/>
        <v>100</v>
      </c>
      <c r="X15" s="1541"/>
      <c r="Y15" s="3388"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89"/>
      <c r="Q16" s="1538"/>
      <c r="R16" s="714"/>
      <c r="S16" s="715"/>
      <c r="T16" s="714"/>
      <c r="U16" s="715"/>
      <c r="V16" s="714"/>
      <c r="W16" s="715"/>
      <c r="X16" s="1541"/>
      <c r="Y16" s="3389"/>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89"/>
      <c r="Q17" s="1538" t="str">
        <f>B17</f>
        <v>交通便捷度</v>
      </c>
      <c r="R17" s="714" t="s">
        <v>17</v>
      </c>
      <c r="S17" s="715">
        <f>F17</f>
        <v>100</v>
      </c>
      <c r="T17" s="714" t="s">
        <v>17</v>
      </c>
      <c r="U17" s="715">
        <f>H17</f>
        <v>100</v>
      </c>
      <c r="V17" s="714" t="s">
        <v>17</v>
      </c>
      <c r="W17" s="715">
        <f>J17</f>
        <v>100</v>
      </c>
      <c r="X17" s="1541"/>
      <c r="Y17" s="3389"/>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89"/>
      <c r="Q18" s="1538"/>
      <c r="R18" s="714"/>
      <c r="S18" s="715"/>
      <c r="T18" s="714"/>
      <c r="U18" s="715"/>
      <c r="V18" s="714"/>
      <c r="W18" s="715"/>
      <c r="X18" s="1541"/>
      <c r="Y18" s="3389"/>
      <c r="Z18" s="1542"/>
      <c r="AA18" s="1539">
        <v>1</v>
      </c>
      <c r="AB18" s="1539">
        <v>1</v>
      </c>
      <c r="AC18" s="1539">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89"/>
      <c r="Q19" s="1538" t="str">
        <f>B19</f>
        <v>公共配套设施</v>
      </c>
      <c r="R19" s="714" t="s">
        <v>17</v>
      </c>
      <c r="S19" s="715">
        <f>F19</f>
        <v>100</v>
      </c>
      <c r="T19" s="714" t="s">
        <v>17</v>
      </c>
      <c r="U19" s="715">
        <f>H19</f>
        <v>100</v>
      </c>
      <c r="V19" s="714" t="s">
        <v>17</v>
      </c>
      <c r="W19" s="715">
        <f>J19</f>
        <v>100</v>
      </c>
      <c r="X19" s="1541"/>
      <c r="Y19" s="3389"/>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89"/>
      <c r="Q20" s="1538"/>
      <c r="R20" s="714"/>
      <c r="S20" s="715"/>
      <c r="T20" s="714"/>
      <c r="U20" s="715"/>
      <c r="V20" s="714"/>
      <c r="W20" s="715"/>
      <c r="X20" s="1541"/>
      <c r="Y20" s="3389"/>
      <c r="Z20" s="1542"/>
      <c r="AA20" s="1539">
        <v>1</v>
      </c>
      <c r="AB20" s="1539">
        <v>1</v>
      </c>
      <c r="AC20" s="1539">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89"/>
      <c r="Q21" s="1538" t="str">
        <f>B21</f>
        <v>基础设施水平</v>
      </c>
      <c r="R21" s="714" t="s">
        <v>17</v>
      </c>
      <c r="S21" s="715">
        <f>F21</f>
        <v>100</v>
      </c>
      <c r="T21" s="714" t="s">
        <v>17</v>
      </c>
      <c r="U21" s="715">
        <f>H21</f>
        <v>100</v>
      </c>
      <c r="V21" s="714" t="s">
        <v>17</v>
      </c>
      <c r="W21" s="715">
        <f>J21</f>
        <v>100</v>
      </c>
      <c r="X21" s="1541"/>
      <c r="Y21" s="3389"/>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1054"/>
      <c r="M22" s="1045"/>
      <c r="N22" s="1045"/>
      <c r="O22" s="1053"/>
      <c r="P22" s="3389"/>
      <c r="Q22" s="1538"/>
      <c r="R22" s="714"/>
      <c r="S22" s="715"/>
      <c r="T22" s="714"/>
      <c r="U22" s="715"/>
      <c r="V22" s="714"/>
      <c r="W22" s="715"/>
      <c r="X22" s="1541"/>
      <c r="Y22" s="3389"/>
      <c r="Z22" s="1542"/>
      <c r="AA22" s="1539">
        <v>1</v>
      </c>
      <c r="AB22" s="1539">
        <v>1</v>
      </c>
      <c r="AC22" s="1539">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89"/>
      <c r="Q23" s="1538" t="str">
        <f>B23</f>
        <v>环境质量</v>
      </c>
      <c r="R23" s="714" t="s">
        <v>17</v>
      </c>
      <c r="S23" s="715">
        <f>F23</f>
        <v>100</v>
      </c>
      <c r="T23" s="714" t="s">
        <v>17</v>
      </c>
      <c r="U23" s="715">
        <f>H23</f>
        <v>100</v>
      </c>
      <c r="V23" s="714" t="s">
        <v>17</v>
      </c>
      <c r="W23" s="715">
        <f>J23</f>
        <v>100</v>
      </c>
      <c r="X23" s="1541"/>
      <c r="Y23" s="3389"/>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89"/>
      <c r="Q24" s="1538"/>
      <c r="R24" s="714"/>
      <c r="S24" s="715"/>
      <c r="T24" s="714"/>
      <c r="U24" s="715"/>
      <c r="V24" s="714"/>
      <c r="W24" s="715"/>
      <c r="X24" s="1541"/>
      <c r="Y24" s="338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89"/>
      <c r="Q25" s="1538">
        <f>B25</f>
        <v>111</v>
      </c>
      <c r="R25" s="714" t="s">
        <v>17</v>
      </c>
      <c r="S25" s="715">
        <f>F25</f>
        <v>100</v>
      </c>
      <c r="T25" s="714" t="s">
        <v>17</v>
      </c>
      <c r="U25" s="715">
        <f>H25</f>
        <v>100</v>
      </c>
      <c r="V25" s="714" t="s">
        <v>17</v>
      </c>
      <c r="W25" s="715">
        <f>J25</f>
        <v>100</v>
      </c>
      <c r="X25" s="1541"/>
      <c r="Y25" s="338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89"/>
      <c r="Q26" s="1538">
        <f t="shared" ref="Q26:Q40" si="8">B26</f>
        <v>111</v>
      </c>
      <c r="R26" s="714" t="s">
        <v>17</v>
      </c>
      <c r="S26" s="715">
        <f>F26</f>
        <v>100</v>
      </c>
      <c r="T26" s="714" t="s">
        <v>17</v>
      </c>
      <c r="U26" s="715">
        <f>H26</f>
        <v>100</v>
      </c>
      <c r="V26" s="714" t="s">
        <v>17</v>
      </c>
      <c r="W26" s="715">
        <f>J26</f>
        <v>100</v>
      </c>
      <c r="X26" s="1541"/>
      <c r="Y26" s="338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89"/>
      <c r="Q27" s="1529">
        <f t="shared" si="8"/>
        <v>111</v>
      </c>
      <c r="R27" s="710" t="s">
        <v>17</v>
      </c>
      <c r="S27" s="711">
        <f>F27</f>
        <v>100</v>
      </c>
      <c r="T27" s="710" t="s">
        <v>17</v>
      </c>
      <c r="U27" s="711">
        <f>H27</f>
        <v>100</v>
      </c>
      <c r="V27" s="710" t="s">
        <v>17</v>
      </c>
      <c r="W27" s="711">
        <f>J27</f>
        <v>100</v>
      </c>
      <c r="X27" s="712"/>
      <c r="Y27" s="338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89"/>
      <c r="Q28" s="1538">
        <f t="shared" si="8"/>
        <v>111</v>
      </c>
      <c r="R28" s="714" t="s">
        <v>17</v>
      </c>
      <c r="S28" s="715">
        <f t="shared" ref="S28:S40" si="9">F28</f>
        <v>100</v>
      </c>
      <c r="T28" s="714" t="s">
        <v>17</v>
      </c>
      <c r="U28" s="715">
        <f t="shared" ref="U28:U40" si="10">H28</f>
        <v>100</v>
      </c>
      <c r="V28" s="714" t="s">
        <v>17</v>
      </c>
      <c r="W28" s="715">
        <f t="shared" ref="W28:W40" si="11">J28</f>
        <v>100</v>
      </c>
      <c r="X28" s="1541"/>
      <c r="Y28" s="3389"/>
      <c r="Z28" s="1542">
        <f t="shared" ref="Z28:Z40" si="12">Q28</f>
        <v>111</v>
      </c>
      <c r="AA28" s="1539">
        <f t="shared" si="3"/>
        <v>1</v>
      </c>
      <c r="AB28" s="1539">
        <f t="shared" si="4"/>
        <v>1</v>
      </c>
      <c r="AC28" s="1539">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17" t="s">
        <v>2384</v>
      </c>
      <c r="Q29" s="1538" t="str">
        <f t="shared" si="8"/>
        <v>建筑类型</v>
      </c>
      <c r="R29" s="714" t="s">
        <v>17</v>
      </c>
      <c r="S29" s="715">
        <f t="shared" si="9"/>
        <v>100</v>
      </c>
      <c r="T29" s="714" t="s">
        <v>17</v>
      </c>
      <c r="U29" s="715">
        <f t="shared" si="10"/>
        <v>100</v>
      </c>
      <c r="V29" s="714" t="s">
        <v>17</v>
      </c>
      <c r="W29" s="715">
        <f t="shared" si="11"/>
        <v>100</v>
      </c>
      <c r="X29" s="1541"/>
      <c r="Y29" s="3393" t="s">
        <v>2384</v>
      </c>
      <c r="Z29" s="1542" t="str">
        <f t="shared" si="12"/>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93"/>
      <c r="Q30" s="716" t="str">
        <f t="shared" si="8"/>
        <v>项目建筑规模</v>
      </c>
      <c r="R30" s="717" t="s">
        <v>17</v>
      </c>
      <c r="S30" s="718" t="e">
        <f t="shared" si="9"/>
        <v>#N/A</v>
      </c>
      <c r="T30" s="717" t="s">
        <v>17</v>
      </c>
      <c r="U30" s="718" t="e">
        <f t="shared" si="10"/>
        <v>#N/A</v>
      </c>
      <c r="V30" s="717" t="s">
        <v>17</v>
      </c>
      <c r="W30" s="718" t="e">
        <f t="shared" si="11"/>
        <v>#N/A</v>
      </c>
      <c r="X30" s="719"/>
      <c r="Y30" s="3393"/>
      <c r="Z30" s="720" t="str">
        <f t="shared" si="12"/>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93"/>
      <c r="Q31" s="1538" t="str">
        <f t="shared" si="8"/>
        <v>建筑结构</v>
      </c>
      <c r="R31" s="714" t="s">
        <v>17</v>
      </c>
      <c r="S31" s="715">
        <f t="shared" si="9"/>
        <v>100</v>
      </c>
      <c r="T31" s="714" t="s">
        <v>17</v>
      </c>
      <c r="U31" s="715">
        <f t="shared" si="10"/>
        <v>100</v>
      </c>
      <c r="V31" s="714" t="s">
        <v>17</v>
      </c>
      <c r="W31" s="715">
        <f t="shared" si="11"/>
        <v>100</v>
      </c>
      <c r="X31" s="1541"/>
      <c r="Y31" s="3393"/>
      <c r="Z31" s="1542" t="str">
        <f t="shared" si="12"/>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93"/>
      <c r="Q32" s="1538" t="str">
        <f t="shared" si="8"/>
        <v>公共部分装修</v>
      </c>
      <c r="R32" s="714" t="s">
        <v>17</v>
      </c>
      <c r="S32" s="715">
        <f t="shared" si="9"/>
        <v>100</v>
      </c>
      <c r="T32" s="714" t="s">
        <v>17</v>
      </c>
      <c r="U32" s="715">
        <f t="shared" si="10"/>
        <v>100</v>
      </c>
      <c r="V32" s="714" t="s">
        <v>17</v>
      </c>
      <c r="W32" s="715">
        <f t="shared" si="11"/>
        <v>100</v>
      </c>
      <c r="X32" s="1541"/>
      <c r="Y32" s="3393"/>
      <c r="Z32" s="1542" t="str">
        <f t="shared" si="12"/>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93"/>
      <c r="Q33" s="1538" t="str">
        <f t="shared" si="8"/>
        <v>成新度</v>
      </c>
      <c r="R33" s="714" t="s">
        <v>17</v>
      </c>
      <c r="S33" s="715" t="e">
        <f t="shared" si="9"/>
        <v>#N/A</v>
      </c>
      <c r="T33" s="714" t="s">
        <v>17</v>
      </c>
      <c r="U33" s="715" t="e">
        <f t="shared" si="10"/>
        <v>#N/A</v>
      </c>
      <c r="V33" s="714" t="s">
        <v>17</v>
      </c>
      <c r="W33" s="715" t="e">
        <f t="shared" si="11"/>
        <v>#N/A</v>
      </c>
      <c r="X33" s="1541"/>
      <c r="Y33" s="3393"/>
      <c r="Z33" s="1542" t="str">
        <f t="shared" si="12"/>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93"/>
      <c r="Q34" s="1529" t="str">
        <f t="shared" si="8"/>
        <v>物业管理</v>
      </c>
      <c r="R34" s="710" t="s">
        <v>17</v>
      </c>
      <c r="S34" s="711">
        <f t="shared" si="9"/>
        <v>100</v>
      </c>
      <c r="T34" s="710" t="s">
        <v>17</v>
      </c>
      <c r="U34" s="711">
        <f t="shared" si="10"/>
        <v>100</v>
      </c>
      <c r="V34" s="710" t="s">
        <v>17</v>
      </c>
      <c r="W34" s="711">
        <f t="shared" si="11"/>
        <v>100</v>
      </c>
      <c r="X34" s="712"/>
      <c r="Y34" s="3393"/>
      <c r="Z34" s="55" t="str">
        <f t="shared" si="12"/>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93" t="s">
        <v>2384</v>
      </c>
      <c r="Q35" s="1538" t="str">
        <f t="shared" si="8"/>
        <v>市政基础设施</v>
      </c>
      <c r="R35" s="714" t="s">
        <v>17</v>
      </c>
      <c r="S35" s="715">
        <f t="shared" si="9"/>
        <v>100</v>
      </c>
      <c r="T35" s="714" t="s">
        <v>17</v>
      </c>
      <c r="U35" s="715">
        <f t="shared" si="10"/>
        <v>100</v>
      </c>
      <c r="V35" s="714" t="s">
        <v>17</v>
      </c>
      <c r="W35" s="715">
        <f t="shared" si="11"/>
        <v>100</v>
      </c>
      <c r="X35" s="1541"/>
      <c r="Y35" s="3393" t="s">
        <v>2384</v>
      </c>
      <c r="Z35" s="1542" t="str">
        <f t="shared" si="12"/>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93"/>
      <c r="Q36" s="1538" t="str">
        <f t="shared" si="8"/>
        <v>内部装修</v>
      </c>
      <c r="R36" s="714" t="s">
        <v>17</v>
      </c>
      <c r="S36" s="715">
        <f t="shared" si="9"/>
        <v>100</v>
      </c>
      <c r="T36" s="714" t="s">
        <v>17</v>
      </c>
      <c r="U36" s="715">
        <f t="shared" si="10"/>
        <v>100</v>
      </c>
      <c r="V36" s="714" t="s">
        <v>17</v>
      </c>
      <c r="W36" s="715">
        <f t="shared" si="11"/>
        <v>100</v>
      </c>
      <c r="X36" s="1541"/>
      <c r="Y36" s="3393"/>
      <c r="Z36" s="1542" t="str">
        <f t="shared" si="12"/>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93"/>
      <c r="Q37" s="1538" t="str">
        <f t="shared" si="8"/>
        <v>内部装修状况</v>
      </c>
      <c r="R37" s="714" t="s">
        <v>17</v>
      </c>
      <c r="S37" s="715">
        <f t="shared" si="9"/>
        <v>100</v>
      </c>
      <c r="T37" s="714" t="s">
        <v>17</v>
      </c>
      <c r="U37" s="715">
        <f t="shared" si="10"/>
        <v>100</v>
      </c>
      <c r="V37" s="714" t="s">
        <v>17</v>
      </c>
      <c r="W37" s="715">
        <f t="shared" si="11"/>
        <v>100</v>
      </c>
      <c r="X37" s="1541"/>
      <c r="Y37" s="3393"/>
      <c r="Z37" s="1542" t="str">
        <f t="shared" si="12"/>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93"/>
      <c r="Q38" s="716">
        <f t="shared" si="8"/>
        <v>111</v>
      </c>
      <c r="R38" s="717" t="s">
        <v>17</v>
      </c>
      <c r="S38" s="718">
        <f t="shared" si="9"/>
        <v>100</v>
      </c>
      <c r="T38" s="717" t="s">
        <v>17</v>
      </c>
      <c r="U38" s="718">
        <f t="shared" si="10"/>
        <v>100</v>
      </c>
      <c r="V38" s="717" t="s">
        <v>17</v>
      </c>
      <c r="W38" s="718">
        <f t="shared" si="11"/>
        <v>100</v>
      </c>
      <c r="X38" s="719"/>
      <c r="Y38" s="3393"/>
      <c r="Z38" s="720">
        <f t="shared" si="12"/>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93"/>
      <c r="Q39" s="1538">
        <f t="shared" si="8"/>
        <v>111</v>
      </c>
      <c r="R39" s="714" t="s">
        <v>17</v>
      </c>
      <c r="S39" s="715">
        <f t="shared" si="9"/>
        <v>100</v>
      </c>
      <c r="T39" s="714" t="s">
        <v>17</v>
      </c>
      <c r="U39" s="715">
        <f t="shared" si="10"/>
        <v>100</v>
      </c>
      <c r="V39" s="714" t="s">
        <v>17</v>
      </c>
      <c r="W39" s="715">
        <f t="shared" si="11"/>
        <v>100</v>
      </c>
      <c r="X39" s="1541"/>
      <c r="Y39" s="3393"/>
      <c r="Z39" s="1542">
        <f t="shared" si="12"/>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8">
        <f t="shared" si="8"/>
        <v>111</v>
      </c>
      <c r="R40" s="714" t="s">
        <v>17</v>
      </c>
      <c r="S40" s="715">
        <f t="shared" si="9"/>
        <v>100</v>
      </c>
      <c r="T40" s="714" t="s">
        <v>17</v>
      </c>
      <c r="U40" s="715">
        <f t="shared" si="10"/>
        <v>100</v>
      </c>
      <c r="V40" s="714" t="s">
        <v>17</v>
      </c>
      <c r="W40" s="715">
        <f t="shared" si="11"/>
        <v>100</v>
      </c>
      <c r="X40" s="1541"/>
      <c r="Y40" s="3394"/>
      <c r="Z40" s="1542">
        <f t="shared" si="12"/>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86" t="str">
        <f>A41</f>
        <v>成交单价（元/平方米）</v>
      </c>
      <c r="Q41" s="3386"/>
      <c r="R41" s="3387">
        <f>E41</f>
        <v>0</v>
      </c>
      <c r="S41" s="3387"/>
      <c r="T41" s="3387">
        <f>G41</f>
        <v>0</v>
      </c>
      <c r="U41" s="3387"/>
      <c r="V41" s="3387">
        <f>I41</f>
        <v>0</v>
      </c>
      <c r="W41" s="3387"/>
      <c r="X41" s="699"/>
      <c r="Y41" s="721"/>
      <c r="Z41" s="699"/>
      <c r="AA41" s="699"/>
      <c r="AB41" s="699"/>
      <c r="AC41" s="699"/>
    </row>
    <row r="42" spans="1:29" ht="15.75" thickBot="1">
      <c r="A42" s="445" t="s">
        <v>2488</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2021-4</v>
      </c>
      <c r="D52" s="1347">
        <f>EDATE(C52,-1)</f>
        <v>44256</v>
      </c>
      <c r="E52" s="1347">
        <f t="shared" ref="E52:O52" si="13">EDATE(D52,-1)</f>
        <v>44228</v>
      </c>
      <c r="F52" s="1347">
        <f t="shared" si="13"/>
        <v>44197</v>
      </c>
      <c r="G52" s="1347">
        <f t="shared" si="13"/>
        <v>44166</v>
      </c>
      <c r="H52" s="1347">
        <f t="shared" si="13"/>
        <v>44136</v>
      </c>
      <c r="I52" s="1347">
        <f t="shared" si="13"/>
        <v>44105</v>
      </c>
      <c r="J52" s="1347">
        <f t="shared" si="13"/>
        <v>44075</v>
      </c>
      <c r="K52" s="1347">
        <f t="shared" si="13"/>
        <v>44044</v>
      </c>
      <c r="L52" s="1347">
        <f t="shared" si="13"/>
        <v>44013</v>
      </c>
      <c r="M52" s="1347">
        <f t="shared" si="13"/>
        <v>43983</v>
      </c>
      <c r="N52" s="1347">
        <f t="shared" si="13"/>
        <v>43952</v>
      </c>
      <c r="O52" s="1347">
        <f t="shared" si="13"/>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6"/>
      <c r="O54" s="2997"/>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2432</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D3" sqref="D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1343</v>
      </c>
      <c r="C1" s="1392" t="s">
        <v>2349</v>
      </c>
      <c r="D1" s="1393" t="s">
        <v>48</v>
      </c>
      <c r="E1" s="1394"/>
      <c r="F1" s="2066" t="s">
        <v>3574</v>
      </c>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1826</v>
      </c>
      <c r="C2" s="2068" t="s">
        <v>70</v>
      </c>
      <c r="D2" s="1038" t="e">
        <f ca="1">SUMIF(INDIRECT("'"&amp;F2&amp;"'"&amp;"!A:A"),"承租人权益价值",INDIRECT("'"&amp;F2&amp;"'"&amp;"!c:c"))</f>
        <v>#REF!</v>
      </c>
      <c r="E2" s="2069" t="s">
        <v>2150</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2929</v>
      </c>
      <c r="C3" s="360" t="s">
        <v>2463</v>
      </c>
      <c r="D3" s="359">
        <f>SUMIF('数据-汇总表'!$C19:$C33,D1,'数据-汇总表'!$E19:$E33)</f>
        <v>6234.45</v>
      </c>
      <c r="E3" s="360" t="s">
        <v>2527</v>
      </c>
      <c r="F3" s="359">
        <f>SUMIF('数据-取费表'!A5:A15,D1,'数据-取费表'!AH5:AH15)</f>
        <v>113</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2464</v>
      </c>
      <c r="B4" s="362"/>
      <c r="C4" s="3369" t="s">
        <v>2465</v>
      </c>
      <c r="D4" s="3370"/>
      <c r="E4" s="3371" t="s">
        <v>2466</v>
      </c>
      <c r="F4" s="3372"/>
      <c r="G4" s="3369" t="s">
        <v>2467</v>
      </c>
      <c r="H4" s="3370"/>
      <c r="I4" s="3369" t="s">
        <v>2468</v>
      </c>
      <c r="J4" s="3370"/>
      <c r="K4" s="567" t="s">
        <v>2469</v>
      </c>
      <c r="L4" s="2941"/>
      <c r="M4" s="2942"/>
      <c r="N4" s="2942"/>
      <c r="O4" s="2942"/>
      <c r="P4" s="3373" t="s">
        <v>2470</v>
      </c>
      <c r="Q4" s="3374"/>
      <c r="R4" s="3358" t="s">
        <v>2466</v>
      </c>
      <c r="S4" s="3359"/>
      <c r="T4" s="3358" t="s">
        <v>2467</v>
      </c>
      <c r="U4" s="3359"/>
      <c r="V4" s="3381" t="s">
        <v>2468</v>
      </c>
      <c r="W4" s="3381"/>
      <c r="X4" s="1541"/>
      <c r="Y4" s="3358" t="s">
        <v>2470</v>
      </c>
      <c r="Z4" s="3359"/>
      <c r="AA4" s="3353" t="s">
        <v>2466</v>
      </c>
      <c r="AB4" s="3354" t="s">
        <v>2467</v>
      </c>
      <c r="AC4" s="3353" t="s">
        <v>2468</v>
      </c>
    </row>
    <row r="5" spans="1:29" ht="15">
      <c r="A5" s="364"/>
      <c r="B5" s="365"/>
      <c r="C5" s="3398" t="str">
        <f>'比较法-住宅'!C5:D5</f>
        <v>巅峰荟</v>
      </c>
      <c r="D5" s="3365"/>
      <c r="E5" s="3362" t="s">
        <v>3576</v>
      </c>
      <c r="F5" s="3363"/>
      <c r="G5" s="3398" t="str">
        <f>'比较法-住宅'!G5:H5</f>
        <v>昆明恒大云玺</v>
      </c>
      <c r="H5" s="3365"/>
      <c r="I5" s="3398" t="str">
        <f>'比较法-住宅'!I5:J5</f>
        <v>海东俊园</v>
      </c>
      <c r="J5" s="3365"/>
      <c r="K5" s="567"/>
      <c r="L5" s="2941"/>
      <c r="M5" s="2942"/>
      <c r="N5" s="2942"/>
      <c r="O5" s="2942"/>
      <c r="P5" s="3375"/>
      <c r="Q5" s="3376"/>
      <c r="R5" s="3360"/>
      <c r="S5" s="3361"/>
      <c r="T5" s="3360"/>
      <c r="U5" s="3361"/>
      <c r="V5" s="3381"/>
      <c r="W5" s="3381"/>
      <c r="X5" s="1541"/>
      <c r="Y5" s="3360"/>
      <c r="Z5" s="3361"/>
      <c r="AA5" s="3354"/>
      <c r="AB5" s="3354"/>
      <c r="AC5" s="3354"/>
    </row>
    <row r="6" spans="1:29" ht="15.75" thickBot="1">
      <c r="A6" s="366"/>
      <c r="B6" s="367"/>
      <c r="C6" s="3366" t="s">
        <v>3575</v>
      </c>
      <c r="D6" s="3367"/>
      <c r="E6" s="3366" t="s">
        <v>3575</v>
      </c>
      <c r="F6" s="3367"/>
      <c r="G6" s="3366" t="s">
        <v>3575</v>
      </c>
      <c r="H6" s="3367"/>
      <c r="I6" s="3366" t="s">
        <v>3575</v>
      </c>
      <c r="J6" s="3367"/>
      <c r="K6" s="567" t="s">
        <v>2366</v>
      </c>
      <c r="L6" s="2941"/>
      <c r="M6" s="2942"/>
      <c r="N6" s="2942"/>
      <c r="O6" s="2942"/>
      <c r="P6" s="3377"/>
      <c r="Q6" s="3378"/>
      <c r="R6" s="3360"/>
      <c r="S6" s="3361"/>
      <c r="T6" s="3379"/>
      <c r="U6" s="3380"/>
      <c r="V6" s="3381"/>
      <c r="W6" s="3381"/>
      <c r="X6" s="1541"/>
      <c r="Y6" s="3379"/>
      <c r="Z6" s="3380"/>
      <c r="AA6" s="3355"/>
      <c r="AB6" s="3355"/>
      <c r="AC6" s="3355"/>
    </row>
    <row r="7" spans="1:29" s="113" customFormat="1" ht="15.75" thickBot="1">
      <c r="A7" s="368" t="s">
        <v>2367</v>
      </c>
      <c r="B7" s="369"/>
      <c r="C7" s="370">
        <f>'数据-取费表'!B2</f>
        <v>44316</v>
      </c>
      <c r="D7" s="371">
        <v>100</v>
      </c>
      <c r="E7" s="372">
        <v>44256</v>
      </c>
      <c r="F7" s="373">
        <f>SUMIF(48:48,YEAR(E7)&amp;"-"&amp;MONTH(E7),49:49)</f>
        <v>100</v>
      </c>
      <c r="G7" s="372">
        <v>44256</v>
      </c>
      <c r="H7" s="371">
        <f>SUMIF(48:48,YEAR(G7)&amp;"-"&amp;MONTH(G7),49:49)</f>
        <v>100</v>
      </c>
      <c r="I7" s="372">
        <v>44256</v>
      </c>
      <c r="J7" s="371">
        <f>SUMIF(48:48,YEAR(I7)&amp;"-"&amp;MONTH(I7),49:49)</f>
        <v>100</v>
      </c>
      <c r="K7" s="568"/>
      <c r="L7" s="2943"/>
      <c r="M7" s="2944"/>
      <c r="N7" s="2944"/>
      <c r="O7" s="2944"/>
      <c r="P7" s="3356" t="s">
        <v>2368</v>
      </c>
      <c r="Q7" s="3382"/>
      <c r="R7" s="710" t="s">
        <v>17</v>
      </c>
      <c r="S7" s="711">
        <f t="shared" ref="S7:S14" si="0">F7</f>
        <v>100</v>
      </c>
      <c r="T7" s="710" t="s">
        <v>17</v>
      </c>
      <c r="U7" s="711">
        <f t="shared" ref="U7:U14" si="1">H7</f>
        <v>100</v>
      </c>
      <c r="V7" s="710" t="s">
        <v>17</v>
      </c>
      <c r="W7" s="711">
        <f t="shared" ref="W7:W14" si="2">J7</f>
        <v>100</v>
      </c>
      <c r="X7" s="712"/>
      <c r="Y7" s="3356" t="s">
        <v>2368</v>
      </c>
      <c r="Z7" s="3357"/>
      <c r="AA7" s="713">
        <f>D7/F7</f>
        <v>1</v>
      </c>
      <c r="AB7" s="713">
        <f>D7/H7</f>
        <v>1</v>
      </c>
      <c r="AC7" s="713">
        <f>D7/J7</f>
        <v>1</v>
      </c>
    </row>
    <row r="8" spans="1:29" s="113" customFormat="1" ht="15.75" thickBot="1">
      <c r="A8" s="368" t="s">
        <v>2369</v>
      </c>
      <c r="B8" s="369"/>
      <c r="C8" s="374" t="s">
        <v>2471</v>
      </c>
      <c r="D8" s="371">
        <v>100</v>
      </c>
      <c r="E8" s="374" t="s">
        <v>3470</v>
      </c>
      <c r="F8" s="373">
        <f>SUMIF(51:51,E8,52:52)-SUMIF(51:51,C8,52:52)+100</f>
        <v>100</v>
      </c>
      <c r="G8" s="374" t="s">
        <v>3470</v>
      </c>
      <c r="H8" s="371">
        <f>SUMIF(51:51,G8,52:52)-SUMIF(51:51,C8,52:52)+100</f>
        <v>100</v>
      </c>
      <c r="I8" s="374" t="s">
        <v>3470</v>
      </c>
      <c r="J8" s="371">
        <f>SUMIF(51:51,I8,52:52)-SUMIF(51:51,C8,52:52)+100</f>
        <v>100</v>
      </c>
      <c r="K8" s="568"/>
      <c r="L8" s="2943"/>
      <c r="M8" s="2944"/>
      <c r="N8" s="2944"/>
      <c r="O8" s="2944"/>
      <c r="P8" s="3356" t="s">
        <v>2371</v>
      </c>
      <c r="Q8" s="3357"/>
      <c r="R8" s="710" t="s">
        <v>17</v>
      </c>
      <c r="S8" s="711">
        <f t="shared" si="0"/>
        <v>100</v>
      </c>
      <c r="T8" s="710" t="s">
        <v>17</v>
      </c>
      <c r="U8" s="711">
        <f t="shared" si="1"/>
        <v>100</v>
      </c>
      <c r="V8" s="710" t="s">
        <v>17</v>
      </c>
      <c r="W8" s="711">
        <f t="shared" si="2"/>
        <v>100</v>
      </c>
      <c r="X8" s="712"/>
      <c r="Y8" s="3356" t="s">
        <v>2371</v>
      </c>
      <c r="Z8" s="3357"/>
      <c r="AA8" s="713">
        <f t="shared" ref="AA8:AA36" si="3">D8/F8</f>
        <v>1</v>
      </c>
      <c r="AB8" s="713">
        <f t="shared" ref="AB8:AB36" si="4">D8/H8</f>
        <v>1</v>
      </c>
      <c r="AC8" s="713">
        <f t="shared" ref="AC8:AC36" si="5">D8/J8</f>
        <v>1</v>
      </c>
    </row>
    <row r="9" spans="1:29" s="113" customFormat="1">
      <c r="A9" s="64" t="s">
        <v>2372</v>
      </c>
      <c r="B9" s="596" t="s">
        <v>2373</v>
      </c>
      <c r="C9" s="3098" t="s">
        <v>3577</v>
      </c>
      <c r="D9" s="131">
        <v>100</v>
      </c>
      <c r="E9" s="379" t="s">
        <v>3472</v>
      </c>
      <c r="F9" s="131">
        <f>SUMIF(53:53,E9,54:54)-SUMIF(53:53,C9,54:54)+100</f>
        <v>100</v>
      </c>
      <c r="G9" s="379" t="s">
        <v>3472</v>
      </c>
      <c r="H9" s="131">
        <f>SUMIF(53:53,G9,54:54)-SUMIF(53:53,C9,54:54)+100</f>
        <v>100</v>
      </c>
      <c r="I9" s="379" t="s">
        <v>3472</v>
      </c>
      <c r="J9" s="131">
        <f>SUMIF(53:53,I9,54:54)-SUMIF(53:53,C9,54:54)+100</f>
        <v>100</v>
      </c>
      <c r="K9" s="568"/>
      <c r="L9" s="2943"/>
      <c r="M9" s="2944"/>
      <c r="N9" s="2944"/>
      <c r="O9" s="2944"/>
      <c r="P9" s="3386" t="s">
        <v>2374</v>
      </c>
      <c r="Q9" s="1529" t="str">
        <f t="shared" ref="Q9:Q14" si="6">B9</f>
        <v>用途</v>
      </c>
      <c r="R9" s="710" t="s">
        <v>17</v>
      </c>
      <c r="S9" s="711">
        <f t="shared" si="0"/>
        <v>100</v>
      </c>
      <c r="T9" s="710" t="s">
        <v>17</v>
      </c>
      <c r="U9" s="711">
        <f t="shared" si="1"/>
        <v>100</v>
      </c>
      <c r="V9" s="710" t="s">
        <v>17</v>
      </c>
      <c r="W9" s="711">
        <f t="shared" si="2"/>
        <v>100</v>
      </c>
      <c r="X9" s="712"/>
      <c r="Y9" s="3298" t="s">
        <v>2375</v>
      </c>
      <c r="Z9" s="55" t="str">
        <f t="shared" ref="Z9:Z14" si="7">Q9</f>
        <v>用途</v>
      </c>
      <c r="AA9" s="713">
        <f t="shared" si="3"/>
        <v>1</v>
      </c>
      <c r="AB9" s="713">
        <f t="shared" si="4"/>
        <v>1</v>
      </c>
      <c r="AC9" s="713">
        <f t="shared" si="5"/>
        <v>1</v>
      </c>
    </row>
    <row r="10" spans="1:29" s="386" customFormat="1" ht="27.75" thickBot="1">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86"/>
      <c r="Q10" s="1529" t="str">
        <f t="shared" si="6"/>
        <v>土地使用年限（年）</v>
      </c>
      <c r="R10" s="710" t="s">
        <v>17</v>
      </c>
      <c r="S10" s="711">
        <f t="shared" si="0"/>
        <v>100</v>
      </c>
      <c r="T10" s="710" t="s">
        <v>17</v>
      </c>
      <c r="U10" s="711">
        <f t="shared" si="1"/>
        <v>100</v>
      </c>
      <c r="V10" s="710" t="s">
        <v>17</v>
      </c>
      <c r="W10" s="711">
        <f t="shared" si="2"/>
        <v>100</v>
      </c>
      <c r="X10" s="712"/>
      <c r="Y10" s="3298"/>
      <c r="Z10" s="55" t="str">
        <f t="shared" si="7"/>
        <v>土地使用年限（年）</v>
      </c>
      <c r="AA10" s="713">
        <f t="shared" si="3"/>
        <v>1</v>
      </c>
      <c r="AB10" s="713">
        <f t="shared" si="4"/>
        <v>1</v>
      </c>
      <c r="AC10" s="713">
        <f t="shared" si="5"/>
        <v>1</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86"/>
      <c r="Q11" s="1529">
        <f t="shared" si="6"/>
        <v>111</v>
      </c>
      <c r="R11" s="710" t="s">
        <v>17</v>
      </c>
      <c r="S11" s="711">
        <f t="shared" si="0"/>
        <v>100</v>
      </c>
      <c r="T11" s="710" t="s">
        <v>17</v>
      </c>
      <c r="U11" s="711">
        <f t="shared" si="1"/>
        <v>100</v>
      </c>
      <c r="V11" s="710" t="s">
        <v>17</v>
      </c>
      <c r="W11" s="711">
        <f t="shared" si="2"/>
        <v>100</v>
      </c>
      <c r="X11" s="712"/>
      <c r="Y11" s="3298"/>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86"/>
      <c r="Q12" s="1529">
        <f t="shared" si="6"/>
        <v>111</v>
      </c>
      <c r="R12" s="710" t="s">
        <v>17</v>
      </c>
      <c r="S12" s="711">
        <f t="shared" si="0"/>
        <v>100</v>
      </c>
      <c r="T12" s="710" t="s">
        <v>17</v>
      </c>
      <c r="U12" s="711">
        <f t="shared" si="1"/>
        <v>100</v>
      </c>
      <c r="V12" s="710" t="s">
        <v>17</v>
      </c>
      <c r="W12" s="711">
        <f t="shared" si="2"/>
        <v>100</v>
      </c>
      <c r="X12" s="712"/>
      <c r="Y12" s="3298"/>
      <c r="Z12" s="55">
        <f t="shared" si="7"/>
        <v>111</v>
      </c>
      <c r="AA12" s="713">
        <f>D12/F12</f>
        <v>1</v>
      </c>
      <c r="AB12" s="713">
        <f>D12/H12</f>
        <v>1</v>
      </c>
      <c r="AC12" s="713">
        <f>D12/J12</f>
        <v>1</v>
      </c>
    </row>
    <row r="13" spans="1:29" ht="15.7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86"/>
      <c r="Q13" s="1529">
        <f t="shared" si="6"/>
        <v>111</v>
      </c>
      <c r="R13" s="710" t="s">
        <v>17</v>
      </c>
      <c r="S13" s="711">
        <f t="shared" si="0"/>
        <v>100</v>
      </c>
      <c r="T13" s="710" t="s">
        <v>17</v>
      </c>
      <c r="U13" s="711">
        <f t="shared" si="1"/>
        <v>100</v>
      </c>
      <c r="V13" s="710" t="s">
        <v>17</v>
      </c>
      <c r="W13" s="711">
        <f t="shared" si="2"/>
        <v>100</v>
      </c>
      <c r="X13" s="712"/>
      <c r="Y13" s="3298"/>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8"/>
      <c r="M14" s="2942"/>
      <c r="N14" s="2942"/>
      <c r="O14" s="2942"/>
      <c r="P14" s="3388" t="s">
        <v>2379</v>
      </c>
      <c r="Q14" s="1538" t="str">
        <f t="shared" si="6"/>
        <v>交通便捷度</v>
      </c>
      <c r="R14" s="714" t="s">
        <v>17</v>
      </c>
      <c r="S14" s="715">
        <f t="shared" si="0"/>
        <v>100</v>
      </c>
      <c r="T14" s="714" t="s">
        <v>17</v>
      </c>
      <c r="U14" s="715">
        <f t="shared" si="1"/>
        <v>100</v>
      </c>
      <c r="V14" s="714" t="s">
        <v>17</v>
      </c>
      <c r="W14" s="715">
        <f t="shared" si="2"/>
        <v>100</v>
      </c>
      <c r="X14" s="1541"/>
      <c r="Y14" s="3388" t="s">
        <v>2379</v>
      </c>
      <c r="Z14" s="1542" t="str">
        <f t="shared" si="7"/>
        <v>交通便捷度</v>
      </c>
      <c r="AA14" s="1539">
        <f t="shared" si="3"/>
        <v>1</v>
      </c>
      <c r="AB14" s="1539">
        <f t="shared" si="4"/>
        <v>1</v>
      </c>
      <c r="AC14" s="1539">
        <f t="shared" si="5"/>
        <v>1</v>
      </c>
    </row>
    <row r="15" spans="1:29" ht="15">
      <c r="A15" s="364"/>
      <c r="B15" s="603"/>
      <c r="C15" s="406" t="s">
        <v>3520</v>
      </c>
      <c r="D15" s="407"/>
      <c r="E15" s="406" t="s">
        <v>3520</v>
      </c>
      <c r="F15" s="408"/>
      <c r="G15" s="406" t="s">
        <v>3520</v>
      </c>
      <c r="H15" s="409"/>
      <c r="I15" s="406" t="s">
        <v>3520</v>
      </c>
      <c r="J15" s="407"/>
      <c r="K15" s="572"/>
      <c r="L15" s="2948"/>
      <c r="M15" s="2942"/>
      <c r="N15" s="2942"/>
      <c r="O15" s="2942"/>
      <c r="P15" s="3389"/>
      <c r="Q15" s="1538"/>
      <c r="R15" s="714"/>
      <c r="S15" s="715"/>
      <c r="T15" s="714"/>
      <c r="U15" s="715"/>
      <c r="V15" s="714"/>
      <c r="W15" s="715"/>
      <c r="X15" s="1541"/>
      <c r="Y15" s="3389"/>
      <c r="Z15" s="1542"/>
      <c r="AA15" s="1539">
        <v>1</v>
      </c>
      <c r="AB15" s="1539">
        <v>1</v>
      </c>
      <c r="AC15" s="1539">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8"/>
      <c r="M16" s="2942"/>
      <c r="N16" s="2942"/>
      <c r="O16" s="2942"/>
      <c r="P16" s="3389"/>
      <c r="Q16" s="1538" t="str">
        <f>B16</f>
        <v>公共配套设施</v>
      </c>
      <c r="R16" s="714" t="s">
        <v>17</v>
      </c>
      <c r="S16" s="715">
        <f>F16</f>
        <v>100</v>
      </c>
      <c r="T16" s="714" t="s">
        <v>17</v>
      </c>
      <c r="U16" s="715">
        <f>H16</f>
        <v>100</v>
      </c>
      <c r="V16" s="714" t="s">
        <v>17</v>
      </c>
      <c r="W16" s="715">
        <f>J16</f>
        <v>100</v>
      </c>
      <c r="X16" s="1541"/>
      <c r="Y16" s="3389"/>
      <c r="Z16" s="1542" t="str">
        <f>Q16</f>
        <v>公共配套设施</v>
      </c>
      <c r="AA16" s="1539">
        <f t="shared" si="3"/>
        <v>1</v>
      </c>
      <c r="AB16" s="1539">
        <f t="shared" si="4"/>
        <v>1</v>
      </c>
      <c r="AC16" s="1539">
        <f t="shared" si="5"/>
        <v>1</v>
      </c>
    </row>
    <row r="17" spans="1:29" ht="15">
      <c r="A17" s="364"/>
      <c r="B17" s="588"/>
      <c r="C17" s="2088" t="s">
        <v>3520</v>
      </c>
      <c r="D17" s="407"/>
      <c r="E17" s="2088" t="s">
        <v>3520</v>
      </c>
      <c r="F17" s="408"/>
      <c r="G17" s="2088" t="s">
        <v>3520</v>
      </c>
      <c r="H17" s="407"/>
      <c r="I17" s="2088" t="s">
        <v>3520</v>
      </c>
      <c r="J17" s="407"/>
      <c r="K17" s="572"/>
      <c r="L17" s="2948"/>
      <c r="M17" s="2942"/>
      <c r="N17" s="2942"/>
      <c r="O17" s="2942"/>
      <c r="P17" s="3389"/>
      <c r="Q17" s="1538"/>
      <c r="R17" s="714"/>
      <c r="S17" s="715"/>
      <c r="T17" s="714"/>
      <c r="U17" s="715"/>
      <c r="V17" s="714"/>
      <c r="W17" s="715"/>
      <c r="X17" s="1541"/>
      <c r="Y17" s="3389"/>
      <c r="Z17" s="1542"/>
      <c r="AA17" s="1539">
        <v>1</v>
      </c>
      <c r="AB17" s="1539">
        <v>1</v>
      </c>
      <c r="AC17" s="1539">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8"/>
      <c r="M18" s="2942"/>
      <c r="N18" s="2942"/>
      <c r="O18" s="2942"/>
      <c r="P18" s="3389"/>
      <c r="Q18" s="1538" t="str">
        <f>B18</f>
        <v>基础设施水平</v>
      </c>
      <c r="R18" s="714" t="s">
        <v>17</v>
      </c>
      <c r="S18" s="715">
        <f>F18</f>
        <v>100</v>
      </c>
      <c r="T18" s="714" t="s">
        <v>17</v>
      </c>
      <c r="U18" s="715">
        <f>H18</f>
        <v>100</v>
      </c>
      <c r="V18" s="714" t="s">
        <v>17</v>
      </c>
      <c r="W18" s="715">
        <f>J18</f>
        <v>100</v>
      </c>
      <c r="X18" s="1541"/>
      <c r="Y18" s="3389"/>
      <c r="Z18" s="1542" t="str">
        <f>Q18</f>
        <v>基础设施水平</v>
      </c>
      <c r="AA18" s="1539">
        <f>D18/F18</f>
        <v>1</v>
      </c>
      <c r="AB18" s="1539">
        <f>D18/H18</f>
        <v>1</v>
      </c>
      <c r="AC18" s="1539">
        <f>D18/J18</f>
        <v>1</v>
      </c>
    </row>
    <row r="19" spans="1:29" ht="15">
      <c r="A19" s="364"/>
      <c r="B19" s="589"/>
      <c r="C19" s="2088" t="s">
        <v>3514</v>
      </c>
      <c r="D19" s="409"/>
      <c r="E19" s="2088" t="s">
        <v>3514</v>
      </c>
      <c r="F19" s="412"/>
      <c r="G19" s="2088" t="s">
        <v>3514</v>
      </c>
      <c r="H19" s="407"/>
      <c r="I19" s="2088" t="s">
        <v>3514</v>
      </c>
      <c r="J19" s="407"/>
      <c r="K19" s="1292"/>
      <c r="L19" s="2948"/>
      <c r="M19" s="2942"/>
      <c r="N19" s="2942"/>
      <c r="O19" s="2942"/>
      <c r="P19" s="3389"/>
      <c r="Q19" s="1538"/>
      <c r="R19" s="714"/>
      <c r="S19" s="715"/>
      <c r="T19" s="714"/>
      <c r="U19" s="715"/>
      <c r="V19" s="714"/>
      <c r="W19" s="715"/>
      <c r="X19" s="1541"/>
      <c r="Y19" s="3389"/>
      <c r="Z19" s="1542"/>
      <c r="AA19" s="1539">
        <v>1</v>
      </c>
      <c r="AB19" s="1539">
        <v>1</v>
      </c>
      <c r="AC19" s="1539">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8"/>
      <c r="M20" s="2942"/>
      <c r="N20" s="2942"/>
      <c r="O20" s="2942"/>
      <c r="P20" s="3389"/>
      <c r="Q20" s="1538" t="str">
        <f>B20</f>
        <v>自然及人文环境</v>
      </c>
      <c r="R20" s="714" t="s">
        <v>17</v>
      </c>
      <c r="S20" s="715">
        <f>F20</f>
        <v>100</v>
      </c>
      <c r="T20" s="714" t="s">
        <v>17</v>
      </c>
      <c r="U20" s="715">
        <f>H20</f>
        <v>100</v>
      </c>
      <c r="V20" s="714" t="s">
        <v>17</v>
      </c>
      <c r="W20" s="715">
        <f>J20</f>
        <v>100</v>
      </c>
      <c r="X20" s="1541"/>
      <c r="Y20" s="3389"/>
      <c r="Z20" s="1542" t="str">
        <f>Q20</f>
        <v>自然及人文环境</v>
      </c>
      <c r="AA20" s="1539">
        <f t="shared" si="3"/>
        <v>1</v>
      </c>
      <c r="AB20" s="1539">
        <f t="shared" si="4"/>
        <v>1</v>
      </c>
      <c r="AC20" s="1539">
        <f t="shared" si="5"/>
        <v>1</v>
      </c>
    </row>
    <row r="21" spans="1:29" ht="15">
      <c r="A21" s="364"/>
      <c r="B21" s="588"/>
      <c r="C21" s="406" t="s">
        <v>3520</v>
      </c>
      <c r="D21" s="407"/>
      <c r="E21" s="2088" t="s">
        <v>3520</v>
      </c>
      <c r="F21" s="408"/>
      <c r="G21" s="2088" t="s">
        <v>3520</v>
      </c>
      <c r="H21" s="407"/>
      <c r="I21" s="2088" t="s">
        <v>3520</v>
      </c>
      <c r="J21" s="407"/>
      <c r="K21" s="572"/>
      <c r="L21" s="2948"/>
      <c r="M21" s="2942"/>
      <c r="N21" s="2942"/>
      <c r="O21" s="2942"/>
      <c r="P21" s="3389"/>
      <c r="Q21" s="1538"/>
      <c r="R21" s="714"/>
      <c r="S21" s="715"/>
      <c r="T21" s="714"/>
      <c r="U21" s="715"/>
      <c r="V21" s="714"/>
      <c r="W21" s="715"/>
      <c r="X21" s="1541"/>
      <c r="Y21" s="3389"/>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89"/>
      <c r="Q22" s="1538" t="str">
        <f>B22</f>
        <v>楼层</v>
      </c>
      <c r="R22" s="714" t="s">
        <v>17</v>
      </c>
      <c r="S22" s="715">
        <f>F22</f>
        <v>100</v>
      </c>
      <c r="T22" s="714" t="s">
        <v>17</v>
      </c>
      <c r="U22" s="715">
        <f>H22</f>
        <v>100</v>
      </c>
      <c r="V22" s="714" t="s">
        <v>17</v>
      </c>
      <c r="W22" s="715">
        <f>J22</f>
        <v>100</v>
      </c>
      <c r="X22" s="1541"/>
      <c r="Y22" s="338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89"/>
      <c r="Q23" s="1538">
        <f>B23</f>
        <v>111</v>
      </c>
      <c r="R23" s="714" t="s">
        <v>17</v>
      </c>
      <c r="S23" s="715">
        <f>F23</f>
        <v>100</v>
      </c>
      <c r="T23" s="714" t="s">
        <v>17</v>
      </c>
      <c r="U23" s="715">
        <f>H23</f>
        <v>100</v>
      </c>
      <c r="V23" s="714" t="s">
        <v>17</v>
      </c>
      <c r="W23" s="715">
        <f>J23</f>
        <v>100</v>
      </c>
      <c r="X23" s="1541"/>
      <c r="Y23" s="338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89"/>
      <c r="Q24" s="1538">
        <f t="shared" ref="Q24:Q36" si="8">B24</f>
        <v>111</v>
      </c>
      <c r="R24" s="714" t="s">
        <v>17</v>
      </c>
      <c r="S24" s="715">
        <f>F24</f>
        <v>100</v>
      </c>
      <c r="T24" s="714" t="s">
        <v>17</v>
      </c>
      <c r="U24" s="715">
        <f>H24</f>
        <v>100</v>
      </c>
      <c r="V24" s="714" t="s">
        <v>17</v>
      </c>
      <c r="W24" s="715">
        <f>J24</f>
        <v>100</v>
      </c>
      <c r="X24" s="1541"/>
      <c r="Y24" s="338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89"/>
      <c r="Q25" s="1529">
        <f t="shared" si="8"/>
        <v>111</v>
      </c>
      <c r="R25" s="710" t="s">
        <v>17</v>
      </c>
      <c r="S25" s="711">
        <f>F25</f>
        <v>100</v>
      </c>
      <c r="T25" s="710" t="s">
        <v>17</v>
      </c>
      <c r="U25" s="711">
        <f>H25</f>
        <v>100</v>
      </c>
      <c r="V25" s="710" t="s">
        <v>17</v>
      </c>
      <c r="W25" s="711">
        <f>J25</f>
        <v>100</v>
      </c>
      <c r="X25" s="712"/>
      <c r="Y25" s="3389"/>
      <c r="Z25" s="55">
        <f>Q25</f>
        <v>111</v>
      </c>
      <c r="AA25" s="1539">
        <f>D25/F25</f>
        <v>1</v>
      </c>
      <c r="AB25" s="1539">
        <f>D25/H25</f>
        <v>1</v>
      </c>
      <c r="AC25" s="1539">
        <f>D25/J25</f>
        <v>1</v>
      </c>
    </row>
    <row r="26" spans="1:29" ht="28.5">
      <c r="A26" s="608" t="s">
        <v>2382</v>
      </c>
      <c r="B26" s="66" t="s">
        <v>2531</v>
      </c>
      <c r="C26" s="2158" t="str">
        <f>B1</f>
        <v>商业</v>
      </c>
      <c r="D26" s="407">
        <v>100</v>
      </c>
      <c r="E26" s="406" t="s">
        <v>3534</v>
      </c>
      <c r="F26" s="408">
        <f>SUMIF(79:79,E26,80:80)-SUMIF(79:79,C26,80:80)+100</f>
        <v>100</v>
      </c>
      <c r="G26" s="406" t="s">
        <v>3534</v>
      </c>
      <c r="H26" s="407">
        <f>SUMIF(79:79,G26,80:80)-SUMIF(79:79,C26,80:80)+100</f>
        <v>100</v>
      </c>
      <c r="I26" s="406" t="s">
        <v>3534</v>
      </c>
      <c r="J26" s="407">
        <f>SUMIF(79:79,I26,80:80)-SUMIF(79:79,C26,80:80)+100</f>
        <v>100</v>
      </c>
      <c r="K26" s="569"/>
      <c r="L26" s="2948"/>
      <c r="M26" s="2942"/>
      <c r="N26" s="2942"/>
      <c r="O26" s="2942"/>
      <c r="P26" s="3417" t="s">
        <v>2384</v>
      </c>
      <c r="Q26" s="1538" t="str">
        <f t="shared" si="8"/>
        <v>配套类型</v>
      </c>
      <c r="R26" s="714" t="s">
        <v>17</v>
      </c>
      <c r="S26" s="715">
        <f t="shared" ref="S26:S36" si="9">F26</f>
        <v>100</v>
      </c>
      <c r="T26" s="714" t="s">
        <v>17</v>
      </c>
      <c r="U26" s="715">
        <f t="shared" ref="U26:U36" si="10">H26</f>
        <v>100</v>
      </c>
      <c r="V26" s="714" t="s">
        <v>17</v>
      </c>
      <c r="W26" s="715">
        <f t="shared" ref="W26:W36" si="11">J26</f>
        <v>100</v>
      </c>
      <c r="X26" s="1541"/>
      <c r="Y26" s="3393" t="s">
        <v>2384</v>
      </c>
      <c r="Z26" s="1542" t="str">
        <f t="shared" ref="Z26:Z36" si="12">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93"/>
      <c r="Q27" s="716" t="str">
        <f t="shared" si="8"/>
        <v>项目停车位配比</v>
      </c>
      <c r="R27" s="717" t="s">
        <v>17</v>
      </c>
      <c r="S27" s="718">
        <f t="shared" si="9"/>
        <v>100</v>
      </c>
      <c r="T27" s="717" t="s">
        <v>17</v>
      </c>
      <c r="U27" s="718">
        <f t="shared" si="10"/>
        <v>100</v>
      </c>
      <c r="V27" s="717" t="s">
        <v>17</v>
      </c>
      <c r="W27" s="718">
        <f t="shared" si="11"/>
        <v>100</v>
      </c>
      <c r="X27" s="719"/>
      <c r="Y27" s="3393"/>
      <c r="Z27" s="720" t="str">
        <f t="shared" si="12"/>
        <v>项目停车位配比</v>
      </c>
      <c r="AA27" s="1539">
        <f t="shared" si="3"/>
        <v>1</v>
      </c>
      <c r="AB27" s="1539">
        <f t="shared" si="4"/>
        <v>1</v>
      </c>
      <c r="AC27" s="1539">
        <f t="shared" si="5"/>
        <v>1</v>
      </c>
    </row>
    <row r="28" spans="1:29" ht="15">
      <c r="A28" s="612"/>
      <c r="B28" s="610" t="s">
        <v>2533</v>
      </c>
      <c r="C28" s="419" t="s">
        <v>3581</v>
      </c>
      <c r="D28" s="394">
        <v>100</v>
      </c>
      <c r="E28" s="419" t="s">
        <v>3581</v>
      </c>
      <c r="F28" s="420">
        <f>SUMIF(83:83,E28,84:84)-SUMIF(83:83,C28,84:84)+100</f>
        <v>100</v>
      </c>
      <c r="G28" s="419" t="s">
        <v>3581</v>
      </c>
      <c r="H28" s="394">
        <f>SUMIF(83:83,G28,84:84)-SUMIF(83:83,C28,84:84)+100</f>
        <v>100</v>
      </c>
      <c r="I28" s="419" t="s">
        <v>3581</v>
      </c>
      <c r="J28" s="394">
        <f>SUMIF(83:83,I28,84:84)-SUMIF(83:83,C28,84:84)+100</f>
        <v>100</v>
      </c>
      <c r="K28" s="569"/>
      <c r="L28" s="2948"/>
      <c r="M28" s="2942"/>
      <c r="N28" s="2942"/>
      <c r="O28" s="2942"/>
      <c r="P28" s="3393"/>
      <c r="Q28" s="1538" t="str">
        <f t="shared" si="8"/>
        <v>公共部分装修</v>
      </c>
      <c r="R28" s="714" t="s">
        <v>17</v>
      </c>
      <c r="S28" s="715">
        <f t="shared" si="9"/>
        <v>100</v>
      </c>
      <c r="T28" s="714" t="s">
        <v>17</v>
      </c>
      <c r="U28" s="715">
        <f t="shared" si="10"/>
        <v>100</v>
      </c>
      <c r="V28" s="714" t="s">
        <v>17</v>
      </c>
      <c r="W28" s="715">
        <f t="shared" si="11"/>
        <v>100</v>
      </c>
      <c r="X28" s="1541"/>
      <c r="Y28" s="3393"/>
      <c r="Z28" s="1542" t="str">
        <f t="shared" si="12"/>
        <v>公共部分装修</v>
      </c>
      <c r="AA28" s="1539">
        <f t="shared" si="3"/>
        <v>1</v>
      </c>
      <c r="AB28" s="1539">
        <f t="shared" si="4"/>
        <v>1</v>
      </c>
      <c r="AC28" s="1539">
        <f t="shared" si="5"/>
        <v>1</v>
      </c>
    </row>
    <row r="29" spans="1:29" ht="15">
      <c r="A29" s="612"/>
      <c r="B29" s="610" t="s">
        <v>2534</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8"/>
      <c r="M29" s="2942"/>
      <c r="N29" s="2942"/>
      <c r="O29" s="2942"/>
      <c r="P29" s="3393"/>
      <c r="Q29" s="1538" t="str">
        <f t="shared" si="8"/>
        <v>成新率</v>
      </c>
      <c r="R29" s="714" t="s">
        <v>17</v>
      </c>
      <c r="S29" s="715">
        <f t="shared" si="9"/>
        <v>100</v>
      </c>
      <c r="T29" s="714" t="s">
        <v>17</v>
      </c>
      <c r="U29" s="715">
        <f t="shared" si="10"/>
        <v>100</v>
      </c>
      <c r="V29" s="714" t="s">
        <v>17</v>
      </c>
      <c r="W29" s="715">
        <f t="shared" si="11"/>
        <v>100</v>
      </c>
      <c r="X29" s="1541"/>
      <c r="Y29" s="3393"/>
      <c r="Z29" s="1542" t="str">
        <f t="shared" si="12"/>
        <v>成新率</v>
      </c>
      <c r="AA29" s="1539">
        <f t="shared" si="3"/>
        <v>1</v>
      </c>
      <c r="AB29" s="1539">
        <f t="shared" si="4"/>
        <v>1</v>
      </c>
      <c r="AC29" s="1539">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93"/>
      <c r="Q30" s="1538" t="str">
        <f t="shared" si="8"/>
        <v>物业等级</v>
      </c>
      <c r="R30" s="714" t="s">
        <v>17</v>
      </c>
      <c r="S30" s="715">
        <f t="shared" si="9"/>
        <v>100</v>
      </c>
      <c r="T30" s="714" t="s">
        <v>17</v>
      </c>
      <c r="U30" s="715">
        <f t="shared" si="10"/>
        <v>100</v>
      </c>
      <c r="V30" s="714" t="s">
        <v>17</v>
      </c>
      <c r="W30" s="715">
        <f t="shared" si="11"/>
        <v>100</v>
      </c>
      <c r="X30" s="1541"/>
      <c r="Y30" s="3393"/>
      <c r="Z30" s="1542" t="str">
        <f t="shared" si="12"/>
        <v>物业等级</v>
      </c>
      <c r="AA30" s="1539">
        <f t="shared" si="3"/>
        <v>1</v>
      </c>
      <c r="AB30" s="1539">
        <f t="shared" si="4"/>
        <v>1</v>
      </c>
      <c r="AC30" s="1539">
        <f t="shared" si="5"/>
        <v>1</v>
      </c>
    </row>
    <row r="31" spans="1:29" s="113" customFormat="1" ht="15">
      <c r="A31" s="614"/>
      <c r="B31" s="610" t="s">
        <v>2536</v>
      </c>
      <c r="C31" s="428">
        <v>55.17</v>
      </c>
      <c r="D31" s="132">
        <v>100</v>
      </c>
      <c r="E31" s="428">
        <v>40</v>
      </c>
      <c r="F31" s="420">
        <f>LOOKUP(E31,91:91,92:92)-LOOKUP(C31,91:91,92:92)+100</f>
        <v>99</v>
      </c>
      <c r="G31" s="428">
        <v>35</v>
      </c>
      <c r="H31" s="394">
        <f>LOOKUP(G31,91:91,92:92)-LOOKUP(C31,91:91,92:92)+100</f>
        <v>99</v>
      </c>
      <c r="I31" s="428">
        <v>40</v>
      </c>
      <c r="J31" s="394">
        <f>LOOKUP(I31,91:91,92:92)-LOOKUP(C31,91:91,92:92)+100</f>
        <v>99</v>
      </c>
      <c r="K31" s="569"/>
      <c r="L31" s="2943"/>
      <c r="M31" s="2944"/>
      <c r="N31" s="2944"/>
      <c r="O31" s="2944"/>
      <c r="P31" s="3393"/>
      <c r="Q31" s="1529" t="str">
        <f t="shared" si="8"/>
        <v>停车位面积</v>
      </c>
      <c r="R31" s="710" t="s">
        <v>17</v>
      </c>
      <c r="S31" s="711">
        <f t="shared" si="9"/>
        <v>99</v>
      </c>
      <c r="T31" s="710" t="s">
        <v>17</v>
      </c>
      <c r="U31" s="711">
        <f t="shared" si="10"/>
        <v>99</v>
      </c>
      <c r="V31" s="710" t="s">
        <v>17</v>
      </c>
      <c r="W31" s="711">
        <f t="shared" si="11"/>
        <v>99</v>
      </c>
      <c r="X31" s="712"/>
      <c r="Y31" s="3393"/>
      <c r="Z31" s="55" t="str">
        <f t="shared" si="12"/>
        <v>停车位面积</v>
      </c>
      <c r="AA31" s="713">
        <f t="shared" si="3"/>
        <v>1.0101010101010102</v>
      </c>
      <c r="AB31" s="713">
        <f t="shared" si="4"/>
        <v>1.0101010101010102</v>
      </c>
      <c r="AC31" s="713">
        <f t="shared" si="5"/>
        <v>1.0101010101010102</v>
      </c>
    </row>
    <row r="32" spans="1:29" ht="15">
      <c r="A32" s="612"/>
      <c r="B32" s="610" t="s">
        <v>2537</v>
      </c>
      <c r="C32" s="419" t="s">
        <v>3579</v>
      </c>
      <c r="D32" s="394">
        <v>100</v>
      </c>
      <c r="E32" s="419" t="s">
        <v>3579</v>
      </c>
      <c r="F32" s="420">
        <f>SUMIF(93:93,E32,94:94)-SUMIF(93:93,C32,94:94)+100</f>
        <v>100</v>
      </c>
      <c r="G32" s="419" t="s">
        <v>3579</v>
      </c>
      <c r="H32" s="394">
        <f>SUMIF(93:93,G32,94:94)-SUMIF(93:93,C32,94:94)+100</f>
        <v>100</v>
      </c>
      <c r="I32" s="419" t="s">
        <v>3579</v>
      </c>
      <c r="J32" s="394">
        <f>SUMIF(93:93,I32,94:94)-SUMIF(93:93,C32,94:94)+100</f>
        <v>100</v>
      </c>
      <c r="K32" s="569"/>
      <c r="L32" s="2948"/>
      <c r="M32" s="2942"/>
      <c r="N32" s="2942"/>
      <c r="O32" s="2942"/>
      <c r="P32" s="3393" t="s">
        <v>2384</v>
      </c>
      <c r="Q32" s="1538" t="str">
        <f t="shared" si="8"/>
        <v>车位类型</v>
      </c>
      <c r="R32" s="714" t="s">
        <v>17</v>
      </c>
      <c r="S32" s="715">
        <f t="shared" si="9"/>
        <v>100</v>
      </c>
      <c r="T32" s="714" t="s">
        <v>17</v>
      </c>
      <c r="U32" s="715">
        <f t="shared" si="10"/>
        <v>100</v>
      </c>
      <c r="V32" s="714" t="s">
        <v>17</v>
      </c>
      <c r="W32" s="715">
        <f t="shared" si="11"/>
        <v>100</v>
      </c>
      <c r="X32" s="1541"/>
      <c r="Y32" s="3393" t="s">
        <v>2384</v>
      </c>
      <c r="Z32" s="1542" t="str">
        <f t="shared" si="12"/>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93"/>
      <c r="Q33" s="1538" t="str">
        <f t="shared" si="8"/>
        <v>是否直接入户</v>
      </c>
      <c r="R33" s="714" t="s">
        <v>17</v>
      </c>
      <c r="S33" s="715">
        <f t="shared" si="9"/>
        <v>100</v>
      </c>
      <c r="T33" s="714" t="s">
        <v>17</v>
      </c>
      <c r="U33" s="715">
        <f t="shared" si="10"/>
        <v>100</v>
      </c>
      <c r="V33" s="714" t="s">
        <v>17</v>
      </c>
      <c r="W33" s="715">
        <f t="shared" si="11"/>
        <v>100</v>
      </c>
      <c r="X33" s="1541"/>
      <c r="Y33" s="3393"/>
      <c r="Z33" s="1542" t="str">
        <f t="shared" si="12"/>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93"/>
      <c r="Q34" s="1538">
        <f t="shared" si="8"/>
        <v>111</v>
      </c>
      <c r="R34" s="714" t="s">
        <v>17</v>
      </c>
      <c r="S34" s="715">
        <f t="shared" si="9"/>
        <v>100</v>
      </c>
      <c r="T34" s="714" t="s">
        <v>17</v>
      </c>
      <c r="U34" s="715">
        <f t="shared" si="10"/>
        <v>100</v>
      </c>
      <c r="V34" s="714" t="s">
        <v>17</v>
      </c>
      <c r="W34" s="715">
        <f t="shared" si="11"/>
        <v>100</v>
      </c>
      <c r="X34" s="1541"/>
      <c r="Y34" s="3393"/>
      <c r="Z34" s="1542">
        <f t="shared" si="12"/>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93"/>
      <c r="Q35" s="716">
        <f t="shared" si="8"/>
        <v>111</v>
      </c>
      <c r="R35" s="717" t="s">
        <v>17</v>
      </c>
      <c r="S35" s="718">
        <f t="shared" si="9"/>
        <v>100</v>
      </c>
      <c r="T35" s="717" t="s">
        <v>17</v>
      </c>
      <c r="U35" s="718">
        <f t="shared" si="10"/>
        <v>100</v>
      </c>
      <c r="V35" s="717" t="s">
        <v>17</v>
      </c>
      <c r="W35" s="718">
        <f t="shared" si="11"/>
        <v>100</v>
      </c>
      <c r="X35" s="719"/>
      <c r="Y35" s="3393"/>
      <c r="Z35" s="720">
        <f t="shared" si="12"/>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93"/>
      <c r="Q36" s="1538">
        <f t="shared" si="8"/>
        <v>111</v>
      </c>
      <c r="R36" s="714" t="s">
        <v>17</v>
      </c>
      <c r="S36" s="715">
        <f t="shared" si="9"/>
        <v>100</v>
      </c>
      <c r="T36" s="714" t="s">
        <v>17</v>
      </c>
      <c r="U36" s="715">
        <f t="shared" si="10"/>
        <v>100</v>
      </c>
      <c r="V36" s="714" t="s">
        <v>17</v>
      </c>
      <c r="W36" s="715">
        <f t="shared" si="11"/>
        <v>100</v>
      </c>
      <c r="X36" s="1541"/>
      <c r="Y36" s="3393"/>
      <c r="Z36" s="1542">
        <f t="shared" si="12"/>
        <v>111</v>
      </c>
      <c r="AA36" s="1539">
        <f t="shared" si="3"/>
        <v>1</v>
      </c>
      <c r="AB36" s="1539">
        <f t="shared" si="4"/>
        <v>1</v>
      </c>
      <c r="AC36" s="1539">
        <f t="shared" si="5"/>
        <v>1</v>
      </c>
    </row>
    <row r="37" spans="1:29" ht="15">
      <c r="A37" s="438" t="s">
        <v>2539</v>
      </c>
      <c r="B37" s="2159" t="s">
        <v>3578</v>
      </c>
      <c r="C37" s="1316" t="s">
        <v>1</v>
      </c>
      <c r="D37" s="1317"/>
      <c r="E37" s="1318">
        <v>150000</v>
      </c>
      <c r="F37" s="1319"/>
      <c r="G37" s="1320">
        <v>150000</v>
      </c>
      <c r="H37" s="1321"/>
      <c r="I37" s="1318">
        <v>180000</v>
      </c>
      <c r="J37" s="1321"/>
      <c r="K37" s="576"/>
      <c r="L37" s="2950"/>
      <c r="M37" s="2951"/>
      <c r="N37" s="2942"/>
      <c r="O37" s="2951"/>
      <c r="P37" s="3386" t="str">
        <f>A37</f>
        <v>成交单价</v>
      </c>
      <c r="Q37" s="3386"/>
      <c r="R37" s="3387">
        <f>E37</f>
        <v>150000</v>
      </c>
      <c r="S37" s="3387"/>
      <c r="T37" s="3387">
        <f>G37</f>
        <v>150000</v>
      </c>
      <c r="U37" s="3387"/>
      <c r="V37" s="3387">
        <f>I37</f>
        <v>180000</v>
      </c>
      <c r="W37" s="3387"/>
      <c r="X37" s="699"/>
      <c r="Y37" s="721"/>
      <c r="Z37" s="699"/>
      <c r="AA37" s="699"/>
      <c r="AB37" s="699"/>
      <c r="AC37" s="699"/>
    </row>
    <row r="38" spans="1:29" ht="15.75" thickBot="1">
      <c r="A38" s="445" t="s">
        <v>2540</v>
      </c>
      <c r="B38" s="446" t="str">
        <f>B37</f>
        <v>元/车位</v>
      </c>
      <c r="C38" s="1322">
        <f>R39</f>
        <v>161616</v>
      </c>
      <c r="D38" s="2538" t="s">
        <v>2873</v>
      </c>
      <c r="E38" s="1323">
        <f>R38</f>
        <v>151515</v>
      </c>
      <c r="F38" s="2539"/>
      <c r="G38" s="1322">
        <f>T38</f>
        <v>151515</v>
      </c>
      <c r="H38" s="2539"/>
      <c r="I38" s="1323">
        <f>V38</f>
        <v>181818</v>
      </c>
      <c r="J38" s="2539"/>
      <c r="K38" s="2541">
        <f>F38+H38+J38</f>
        <v>0</v>
      </c>
      <c r="L38" s="2950"/>
      <c r="M38" s="2951"/>
      <c r="N38" s="2951"/>
      <c r="O38" s="2951"/>
      <c r="P38" s="3386" t="str">
        <f>A38</f>
        <v>比较价值（元/平方米）</v>
      </c>
      <c r="Q38" s="3386"/>
      <c r="R38" s="3387">
        <f>IF(F1="售价",ROUND(PRODUCT(R37,AA7:AA36),0),ROUND(PRODUCT(R37,AA7:AA36),1))</f>
        <v>151515</v>
      </c>
      <c r="S38" s="3387"/>
      <c r="T38" s="3387">
        <f>IF(F1="售价",ROUND(PRODUCT(T37,AB7:AB36),0),ROUND(PRODUCT(T37,AB7:AB36),1))</f>
        <v>151515</v>
      </c>
      <c r="U38" s="3387"/>
      <c r="V38" s="3387">
        <f>IF(F1="售价",ROUND(PRODUCT(V37,AC7:AC36),0),ROUND(PRODUCT(V37,AC7:AC36),1))</f>
        <v>181818</v>
      </c>
      <c r="W38" s="3387"/>
      <c r="X38" s="699"/>
      <c r="Y38" s="699"/>
      <c r="Z38" s="699"/>
      <c r="AA38" s="699"/>
      <c r="AB38" s="699"/>
      <c r="AC38" s="699"/>
    </row>
    <row r="39" spans="1:29" ht="15.75" thickBot="1">
      <c r="A39" s="449" t="s">
        <v>2541</v>
      </c>
      <c r="B39" s="450"/>
      <c r="C39" s="1325">
        <f>R39</f>
        <v>161616</v>
      </c>
      <c r="D39" s="1325"/>
      <c r="E39" s="1325"/>
      <c r="F39" s="1325"/>
      <c r="G39" s="1325"/>
      <c r="H39" s="1325"/>
      <c r="I39" s="1325"/>
      <c r="J39" s="1325"/>
      <c r="K39" s="577"/>
      <c r="L39" s="2950"/>
      <c r="M39" s="2951"/>
      <c r="N39" s="2951"/>
      <c r="O39" s="2951"/>
      <c r="P39" s="3383" t="str">
        <f>A39</f>
        <v>估价对象XX用房的比较价值（楼面单价，元/平方米）</v>
      </c>
      <c r="Q39" s="3384"/>
      <c r="R39" s="3418">
        <f>IF(F1="售价",ROUND(IF(D38="简单平均",AVERAGE(R38:W38),R38*F38+T38*H38+V38*J38),0),ROUND(IF(D38="简单平均",AVERAGE(R38:V38),R38*F38+T38*H38+V38*J38),1))</f>
        <v>161616</v>
      </c>
      <c r="S39" s="3418"/>
      <c r="T39" s="3418"/>
      <c r="U39" s="3418"/>
      <c r="V39" s="3418"/>
      <c r="W39" s="3418"/>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f>IF(E37&lt;E38,E38/E37-1,E37/E38-1)</f>
        <v>1.0099999999999998E-2</v>
      </c>
      <c r="F42" s="457" t="str">
        <f>IF(OR(E42&gt;=0.3,E42&lt;=-0.3),"超过30%","")</f>
        <v/>
      </c>
      <c r="G42" s="456">
        <f>IF(G37&lt;G38,G38/G37-1,G37/G38-1)</f>
        <v>1.0099999999999998E-2</v>
      </c>
      <c r="H42" s="457" t="str">
        <f>IF(OR(G42&gt;=0.3,G42&lt;=-0.3),"超过30%","")</f>
        <v/>
      </c>
      <c r="I42" s="456">
        <f>IF(I37&lt;I38,I38/I37-1,I37/I38-1)</f>
        <v>1.0099999999999998E-2</v>
      </c>
      <c r="J42" s="457" t="str">
        <f>IF(OR(I42&gt;=0.3,I42&lt;=-0.3),"超过30%","")</f>
        <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f>IF(E38&lt;G38,G38/E38-1,E38/G38-1)</f>
        <v>0</v>
      </c>
      <c r="F43" s="457" t="str">
        <f>IF(OR(E43&gt;=0.2,E43&lt;=-0.2),"超过20%","")</f>
        <v/>
      </c>
      <c r="G43" s="456">
        <f>IF(G38&lt;I38,I38/G38-1,G38/I38-1)</f>
        <v>0.19999999999999996</v>
      </c>
      <c r="H43" s="457" t="str">
        <f>IF(OR(G43&gt;=0.2,G43&lt;=-0.2),"超过20%","")</f>
        <v>超过20%</v>
      </c>
      <c r="I43" s="456">
        <f>IF(I38&lt;E38,E38/I38-1,I38/E38-1)</f>
        <v>0.19999999999999996</v>
      </c>
      <c r="J43" s="457" t="str">
        <f>IF(OR(I43&gt;=0.2,I43&lt;=-0.2),"超过20%","")</f>
        <v>超过20%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f>IF(E37&lt;G37,G37/E37-1,E37/G37-1)</f>
        <v>0</v>
      </c>
      <c r="F44" s="457" t="str">
        <f>IF(OR(E44&gt;=0.3,E44&lt;=-0.3),"超过30%","")</f>
        <v/>
      </c>
      <c r="G44" s="456">
        <f>IF(G37&lt;I37,I37/G37-1,G37/I37-1)</f>
        <v>0.19999999999999996</v>
      </c>
      <c r="H44" s="457" t="str">
        <f>IF(OR(G44&gt;=0.3,G44&lt;=-0.3),"超过30%","")</f>
        <v/>
      </c>
      <c r="I44" s="456">
        <f>IF(I37&lt;E37,E37/I37-1,I37/E37-1)</f>
        <v>0.19999999999999996</v>
      </c>
      <c r="J44" s="457" t="str">
        <f>IF(OR(I44&gt;=0.3,I44&lt;=-0.3),"超过30%","")</f>
        <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2021-4</v>
      </c>
      <c r="D48" s="1347">
        <f>EDATE(C48,-1)</f>
        <v>44256</v>
      </c>
      <c r="E48" s="1347">
        <f t="shared" ref="E48:O48" si="13">EDATE(D48,-1)</f>
        <v>44228</v>
      </c>
      <c r="F48" s="1347">
        <f t="shared" si="13"/>
        <v>44197</v>
      </c>
      <c r="G48" s="1347">
        <f t="shared" si="13"/>
        <v>44166</v>
      </c>
      <c r="H48" s="1347">
        <f t="shared" si="13"/>
        <v>44136</v>
      </c>
      <c r="I48" s="1347">
        <f t="shared" si="13"/>
        <v>44105</v>
      </c>
      <c r="J48" s="1347">
        <f t="shared" si="13"/>
        <v>44075</v>
      </c>
      <c r="K48" s="1347">
        <f t="shared" si="13"/>
        <v>44044</v>
      </c>
      <c r="L48" s="1347">
        <f t="shared" si="13"/>
        <v>44013</v>
      </c>
      <c r="M48" s="1347">
        <f t="shared" si="13"/>
        <v>43983</v>
      </c>
      <c r="N48" s="1347">
        <f t="shared" si="13"/>
        <v>43952</v>
      </c>
      <c r="O48" s="1347">
        <f t="shared" si="13"/>
        <v>43922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v>100</v>
      </c>
      <c r="E49" s="469">
        <v>100</v>
      </c>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2407</v>
      </c>
      <c r="B53" s="485" t="s">
        <v>2373</v>
      </c>
      <c r="C53" s="486" t="str">
        <f>C9</f>
        <v>车库</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98</v>
      </c>
      <c r="E64" s="501">
        <f>D64-$K14</f>
        <v>96</v>
      </c>
      <c r="F64" s="501">
        <f>E64-$K14</f>
        <v>94</v>
      </c>
      <c r="G64" s="501">
        <f>F64-$K14</f>
        <v>92</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98</v>
      </c>
      <c r="E66" s="501">
        <f>D66-$K16</f>
        <v>96</v>
      </c>
      <c r="F66" s="501">
        <f>E66-$K16</f>
        <v>94</v>
      </c>
      <c r="G66" s="501">
        <f>F66-$K16</f>
        <v>92</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98</v>
      </c>
      <c r="E68" s="501">
        <f>D68-$K18</f>
        <v>96</v>
      </c>
      <c r="F68" s="501">
        <f>E68-$K18</f>
        <v>94</v>
      </c>
      <c r="G68" s="501">
        <f>F68-$K18</f>
        <v>92</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98</v>
      </c>
      <c r="E70" s="501">
        <f>D70-$K20</f>
        <v>96</v>
      </c>
      <c r="F70" s="501">
        <f>E70-$K20</f>
        <v>94</v>
      </c>
      <c r="G70" s="501">
        <f>F70-$K20</f>
        <v>92</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2382</v>
      </c>
      <c r="B79" s="485" t="s">
        <v>2548</v>
      </c>
      <c r="C79" s="486" t="str">
        <f>C26</f>
        <v>商业</v>
      </c>
      <c r="D79" s="3095" t="s">
        <v>3586</v>
      </c>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2435</v>
      </c>
      <c r="C83" s="3096" t="s">
        <v>3582</v>
      </c>
      <c r="D83" s="3096" t="s">
        <v>3583</v>
      </c>
      <c r="E83" s="3097" t="s">
        <v>3584</v>
      </c>
      <c r="F83" s="3097" t="s">
        <v>3585</v>
      </c>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0(含)-30</v>
      </c>
      <c r="D90" s="535" t="str">
        <f t="shared" ref="D90:L90" si="18">D91&amp;"(含)"&amp;"-"&amp;E91</f>
        <v>30(含)-50</v>
      </c>
      <c r="E90" s="535" t="str">
        <f t="shared" si="18"/>
        <v>50(含)-70</v>
      </c>
      <c r="F90" s="535" t="str">
        <f t="shared" si="18"/>
        <v>70(含)-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v>0</v>
      </c>
      <c r="D91" s="552">
        <v>30</v>
      </c>
      <c r="E91" s="552">
        <v>50</v>
      </c>
      <c r="F91" s="552">
        <v>70</v>
      </c>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v>100</v>
      </c>
      <c r="D92" s="493">
        <v>101</v>
      </c>
      <c r="E92" s="493">
        <v>102</v>
      </c>
      <c r="F92" s="493">
        <v>103</v>
      </c>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3096" t="s">
        <v>3580</v>
      </c>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69" t="s">
        <v>2465</v>
      </c>
      <c r="D4" s="3370"/>
      <c r="E4" s="3371" t="s">
        <v>2466</v>
      </c>
      <c r="F4" s="3372"/>
      <c r="G4" s="3369" t="s">
        <v>2467</v>
      </c>
      <c r="H4" s="3370"/>
      <c r="I4" s="3369" t="s">
        <v>2468</v>
      </c>
      <c r="J4" s="3370"/>
      <c r="K4" s="567" t="s">
        <v>2469</v>
      </c>
      <c r="L4" s="2941"/>
      <c r="M4" s="2942"/>
      <c r="N4" s="2942"/>
      <c r="O4" s="2942"/>
      <c r="P4" s="3373" t="s">
        <v>2470</v>
      </c>
      <c r="Q4" s="3374"/>
      <c r="R4" s="3358" t="s">
        <v>2466</v>
      </c>
      <c r="S4" s="3359"/>
      <c r="T4" s="3358" t="s">
        <v>2467</v>
      </c>
      <c r="U4" s="3359"/>
      <c r="V4" s="3381" t="s">
        <v>2468</v>
      </c>
      <c r="W4" s="3381"/>
      <c r="X4" s="1541"/>
      <c r="Y4" s="3358" t="s">
        <v>2470</v>
      </c>
      <c r="Z4" s="3359"/>
      <c r="AA4" s="3353" t="s">
        <v>2466</v>
      </c>
      <c r="AB4" s="3354" t="s">
        <v>2467</v>
      </c>
      <c r="AC4" s="3353" t="s">
        <v>2468</v>
      </c>
    </row>
    <row r="5" spans="1:29" ht="15">
      <c r="A5" s="364"/>
      <c r="B5" s="365"/>
      <c r="C5" s="3398" t="s">
        <v>2361</v>
      </c>
      <c r="D5" s="3365"/>
      <c r="E5" s="3397" t="s">
        <v>2362</v>
      </c>
      <c r="F5" s="3363"/>
      <c r="G5" s="3398" t="s">
        <v>2363</v>
      </c>
      <c r="H5" s="3365"/>
      <c r="I5" s="3398" t="s">
        <v>2364</v>
      </c>
      <c r="J5" s="3365"/>
      <c r="K5" s="567"/>
      <c r="L5" s="2941"/>
      <c r="M5" s="2942"/>
      <c r="N5" s="2942"/>
      <c r="O5" s="2942"/>
      <c r="P5" s="3375"/>
      <c r="Q5" s="3376"/>
      <c r="R5" s="3360"/>
      <c r="S5" s="3361"/>
      <c r="T5" s="3360"/>
      <c r="U5" s="3361"/>
      <c r="V5" s="3381"/>
      <c r="W5" s="3381"/>
      <c r="X5" s="1541"/>
      <c r="Y5" s="3360"/>
      <c r="Z5" s="3361"/>
      <c r="AA5" s="3354"/>
      <c r="AB5" s="3354"/>
      <c r="AC5" s="3354"/>
    </row>
    <row r="6" spans="1:29" ht="15.75" thickBot="1">
      <c r="A6" s="366"/>
      <c r="B6" s="367"/>
      <c r="C6" s="3399" t="s">
        <v>2365</v>
      </c>
      <c r="D6" s="3367"/>
      <c r="E6" s="3400" t="s">
        <v>2365</v>
      </c>
      <c r="F6" s="3401"/>
      <c r="G6" s="3399" t="s">
        <v>2365</v>
      </c>
      <c r="H6" s="3367"/>
      <c r="I6" s="3399" t="s">
        <v>2365</v>
      </c>
      <c r="J6" s="3367"/>
      <c r="K6" s="567" t="s">
        <v>2366</v>
      </c>
      <c r="L6" s="2941"/>
      <c r="M6" s="2942"/>
      <c r="N6" s="2942"/>
      <c r="O6" s="2942"/>
      <c r="P6" s="3377"/>
      <c r="Q6" s="3378"/>
      <c r="R6" s="3360"/>
      <c r="S6" s="3361"/>
      <c r="T6" s="3379"/>
      <c r="U6" s="3380"/>
      <c r="V6" s="3381"/>
      <c r="W6" s="3381"/>
      <c r="X6" s="1541"/>
      <c r="Y6" s="3379"/>
      <c r="Z6" s="3380"/>
      <c r="AA6" s="3355"/>
      <c r="AB6" s="3355"/>
      <c r="AC6" s="3355"/>
    </row>
    <row r="7" spans="1:29" s="113" customFormat="1" ht="15.75" thickBot="1">
      <c r="A7" s="368" t="s">
        <v>2367</v>
      </c>
      <c r="B7" s="369"/>
      <c r="C7" s="370">
        <f>'数据-取费表'!B2</f>
        <v>44316</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56" t="s">
        <v>2368</v>
      </c>
      <c r="Q7" s="3382"/>
      <c r="R7" s="710" t="s">
        <v>17</v>
      </c>
      <c r="S7" s="711">
        <f t="shared" ref="S7:S14" si="0">F7</f>
        <v>0</v>
      </c>
      <c r="T7" s="710" t="s">
        <v>17</v>
      </c>
      <c r="U7" s="711">
        <f t="shared" ref="U7:U14" si="1">H7</f>
        <v>0</v>
      </c>
      <c r="V7" s="710" t="s">
        <v>17</v>
      </c>
      <c r="W7" s="711">
        <f t="shared" ref="W7:W14" si="2">J7</f>
        <v>0</v>
      </c>
      <c r="X7" s="712"/>
      <c r="Y7" s="3356" t="s">
        <v>2368</v>
      </c>
      <c r="Z7" s="3357"/>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56" t="s">
        <v>2371</v>
      </c>
      <c r="Q8" s="3357"/>
      <c r="R8" s="710" t="s">
        <v>17</v>
      </c>
      <c r="S8" s="711">
        <f t="shared" si="0"/>
        <v>0</v>
      </c>
      <c r="T8" s="710" t="s">
        <v>17</v>
      </c>
      <c r="U8" s="711">
        <f t="shared" si="1"/>
        <v>0</v>
      </c>
      <c r="V8" s="710" t="s">
        <v>17</v>
      </c>
      <c r="W8" s="711">
        <f t="shared" si="2"/>
        <v>0</v>
      </c>
      <c r="X8" s="712"/>
      <c r="Y8" s="3356" t="s">
        <v>2371</v>
      </c>
      <c r="Z8" s="3357"/>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86" t="s">
        <v>2374</v>
      </c>
      <c r="Q9" s="1529" t="str">
        <f t="shared" ref="Q9:Q14" si="6">B9</f>
        <v>用途</v>
      </c>
      <c r="R9" s="710" t="s">
        <v>17</v>
      </c>
      <c r="S9" s="711">
        <f t="shared" si="0"/>
        <v>100</v>
      </c>
      <c r="T9" s="710" t="s">
        <v>17</v>
      </c>
      <c r="U9" s="711">
        <f t="shared" si="1"/>
        <v>100</v>
      </c>
      <c r="V9" s="710" t="s">
        <v>17</v>
      </c>
      <c r="W9" s="711">
        <f t="shared" si="2"/>
        <v>100</v>
      </c>
      <c r="X9" s="712"/>
      <c r="Y9" s="3298"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86"/>
      <c r="Q10" s="1529" t="str">
        <f t="shared" si="6"/>
        <v>土地使用年限（年）</v>
      </c>
      <c r="R10" s="710" t="s">
        <v>17</v>
      </c>
      <c r="S10" s="711">
        <f t="shared" si="0"/>
        <v>100</v>
      </c>
      <c r="T10" s="710" t="s">
        <v>17</v>
      </c>
      <c r="U10" s="711">
        <f t="shared" si="1"/>
        <v>100</v>
      </c>
      <c r="V10" s="710" t="s">
        <v>17</v>
      </c>
      <c r="W10" s="711">
        <f t="shared" si="2"/>
        <v>100</v>
      </c>
      <c r="X10" s="712"/>
      <c r="Y10" s="3298"/>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86"/>
      <c r="Q11" s="1529">
        <f t="shared" si="6"/>
        <v>111</v>
      </c>
      <c r="R11" s="710" t="s">
        <v>17</v>
      </c>
      <c r="S11" s="711">
        <f t="shared" si="0"/>
        <v>100</v>
      </c>
      <c r="T11" s="710" t="s">
        <v>17</v>
      </c>
      <c r="U11" s="711">
        <f t="shared" si="1"/>
        <v>100</v>
      </c>
      <c r="V11" s="710" t="s">
        <v>17</v>
      </c>
      <c r="W11" s="711">
        <f t="shared" si="2"/>
        <v>100</v>
      </c>
      <c r="X11" s="712"/>
      <c r="Y11" s="3298"/>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86"/>
      <c r="Q12" s="1529">
        <f t="shared" si="6"/>
        <v>111</v>
      </c>
      <c r="R12" s="710" t="s">
        <v>17</v>
      </c>
      <c r="S12" s="711">
        <f t="shared" si="0"/>
        <v>100</v>
      </c>
      <c r="T12" s="710" t="s">
        <v>17</v>
      </c>
      <c r="U12" s="711">
        <f t="shared" si="1"/>
        <v>100</v>
      </c>
      <c r="V12" s="710" t="s">
        <v>17</v>
      </c>
      <c r="W12" s="711">
        <f t="shared" si="2"/>
        <v>100</v>
      </c>
      <c r="X12" s="712"/>
      <c r="Y12" s="3298"/>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86"/>
      <c r="Q13" s="1529">
        <f t="shared" si="6"/>
        <v>111</v>
      </c>
      <c r="R13" s="710" t="s">
        <v>17</v>
      </c>
      <c r="S13" s="711">
        <f t="shared" si="0"/>
        <v>100</v>
      </c>
      <c r="T13" s="710" t="s">
        <v>17</v>
      </c>
      <c r="U13" s="711">
        <f t="shared" si="1"/>
        <v>100</v>
      </c>
      <c r="V13" s="710" t="s">
        <v>17</v>
      </c>
      <c r="W13" s="711">
        <f t="shared" si="2"/>
        <v>100</v>
      </c>
      <c r="X13" s="712"/>
      <c r="Y13" s="3298"/>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88" t="s">
        <v>2379</v>
      </c>
      <c r="Q14" s="1538" t="str">
        <f t="shared" si="6"/>
        <v>交通便捷度</v>
      </c>
      <c r="R14" s="714" t="s">
        <v>17</v>
      </c>
      <c r="S14" s="715">
        <f t="shared" si="0"/>
        <v>100</v>
      </c>
      <c r="T14" s="714" t="s">
        <v>17</v>
      </c>
      <c r="U14" s="715">
        <f t="shared" si="1"/>
        <v>100</v>
      </c>
      <c r="V14" s="714" t="s">
        <v>17</v>
      </c>
      <c r="W14" s="715">
        <f t="shared" si="2"/>
        <v>100</v>
      </c>
      <c r="X14" s="1541"/>
      <c r="Y14" s="3388"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8"/>
      <c r="M15" s="2942"/>
      <c r="N15" s="2942"/>
      <c r="O15" s="3000"/>
      <c r="P15" s="3389"/>
      <c r="Q15" s="1538"/>
      <c r="R15" s="714"/>
      <c r="S15" s="715"/>
      <c r="T15" s="714"/>
      <c r="U15" s="715"/>
      <c r="V15" s="714"/>
      <c r="W15" s="715"/>
      <c r="X15" s="1541"/>
      <c r="Y15" s="3389"/>
      <c r="Z15" s="1542"/>
      <c r="AA15" s="1539">
        <v>1</v>
      </c>
      <c r="AB15" s="1539">
        <v>1</v>
      </c>
      <c r="AC15" s="1539">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89"/>
      <c r="Q16" s="1538" t="str">
        <f>B16</f>
        <v>公共配套设施</v>
      </c>
      <c r="R16" s="714" t="s">
        <v>17</v>
      </c>
      <c r="S16" s="715">
        <f>F16</f>
        <v>100</v>
      </c>
      <c r="T16" s="714" t="s">
        <v>17</v>
      </c>
      <c r="U16" s="715">
        <f>H16</f>
        <v>100</v>
      </c>
      <c r="V16" s="714" t="s">
        <v>17</v>
      </c>
      <c r="W16" s="715">
        <f>J16</f>
        <v>100</v>
      </c>
      <c r="X16" s="1541"/>
      <c r="Y16" s="3389"/>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48"/>
      <c r="M17" s="2942"/>
      <c r="N17" s="2942"/>
      <c r="O17" s="3000"/>
      <c r="P17" s="3389"/>
      <c r="Q17" s="1538"/>
      <c r="R17" s="714"/>
      <c r="S17" s="715"/>
      <c r="T17" s="714"/>
      <c r="U17" s="715"/>
      <c r="V17" s="714"/>
      <c r="W17" s="715"/>
      <c r="X17" s="1541"/>
      <c r="Y17" s="3389"/>
      <c r="Z17" s="1542"/>
      <c r="AA17" s="1539">
        <v>1</v>
      </c>
      <c r="AB17" s="1539">
        <v>1</v>
      </c>
      <c r="AC17" s="1539">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89"/>
      <c r="Q18" s="1538" t="str">
        <f>B18</f>
        <v>基础设施水平</v>
      </c>
      <c r="R18" s="714" t="s">
        <v>17</v>
      </c>
      <c r="S18" s="715">
        <f>F18</f>
        <v>100</v>
      </c>
      <c r="T18" s="714" t="s">
        <v>17</v>
      </c>
      <c r="U18" s="715">
        <f>H18</f>
        <v>100</v>
      </c>
      <c r="V18" s="714" t="s">
        <v>17</v>
      </c>
      <c r="W18" s="715">
        <f>J18</f>
        <v>100</v>
      </c>
      <c r="X18" s="1541"/>
      <c r="Y18" s="3389"/>
      <c r="Z18" s="1542" t="str">
        <f>Q18</f>
        <v>基础设施水平</v>
      </c>
      <c r="AA18" s="1539">
        <f>D18/F18</f>
        <v>1</v>
      </c>
      <c r="AB18" s="1539">
        <f>D18/H18</f>
        <v>1</v>
      </c>
      <c r="AC18" s="1539">
        <f>D18/J18</f>
        <v>1</v>
      </c>
    </row>
    <row r="19" spans="1:29" ht="15">
      <c r="A19" s="387"/>
      <c r="B19" s="1293"/>
      <c r="C19" s="2088"/>
      <c r="D19" s="409"/>
      <c r="E19" s="2088"/>
      <c r="F19" s="412"/>
      <c r="G19" s="2088"/>
      <c r="H19" s="407"/>
      <c r="I19" s="406"/>
      <c r="J19" s="407"/>
      <c r="K19" s="1292"/>
      <c r="L19" s="2948"/>
      <c r="M19" s="2942"/>
      <c r="N19" s="2942"/>
      <c r="O19" s="3000"/>
      <c r="P19" s="3389"/>
      <c r="Q19" s="1538"/>
      <c r="R19" s="714"/>
      <c r="S19" s="715"/>
      <c r="T19" s="714"/>
      <c r="U19" s="715"/>
      <c r="V19" s="714"/>
      <c r="W19" s="715"/>
      <c r="X19" s="1541"/>
      <c r="Y19" s="3389"/>
      <c r="Z19" s="1542"/>
      <c r="AA19" s="1539">
        <v>1</v>
      </c>
      <c r="AB19" s="1539">
        <v>1</v>
      </c>
      <c r="AC19" s="1539">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89"/>
      <c r="Q20" s="1538" t="str">
        <f>B20</f>
        <v>自然及人文环境</v>
      </c>
      <c r="R20" s="714" t="s">
        <v>17</v>
      </c>
      <c r="S20" s="715">
        <f>F20</f>
        <v>100</v>
      </c>
      <c r="T20" s="714" t="s">
        <v>17</v>
      </c>
      <c r="U20" s="715">
        <f>H20</f>
        <v>100</v>
      </c>
      <c r="V20" s="714" t="s">
        <v>17</v>
      </c>
      <c r="W20" s="715">
        <f>J20</f>
        <v>100</v>
      </c>
      <c r="X20" s="1541"/>
      <c r="Y20" s="338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8"/>
      <c r="M21" s="2942"/>
      <c r="N21" s="2942"/>
      <c r="O21" s="3000"/>
      <c r="P21" s="3389"/>
      <c r="Q21" s="1538"/>
      <c r="R21" s="714"/>
      <c r="S21" s="715"/>
      <c r="T21" s="714"/>
      <c r="U21" s="715"/>
      <c r="V21" s="714"/>
      <c r="W21" s="715"/>
      <c r="X21" s="1541"/>
      <c r="Y21" s="3389"/>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89"/>
      <c r="Q22" s="1538" t="str">
        <f>B22</f>
        <v>楼层</v>
      </c>
      <c r="R22" s="714" t="s">
        <v>17</v>
      </c>
      <c r="S22" s="715">
        <f>F22</f>
        <v>100</v>
      </c>
      <c r="T22" s="714" t="s">
        <v>17</v>
      </c>
      <c r="U22" s="715">
        <f>H22</f>
        <v>100</v>
      </c>
      <c r="V22" s="714" t="s">
        <v>17</v>
      </c>
      <c r="W22" s="715">
        <f>J22</f>
        <v>100</v>
      </c>
      <c r="X22" s="1541"/>
      <c r="Y22" s="3389"/>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89"/>
      <c r="Q23" s="1538">
        <f>B23</f>
        <v>111</v>
      </c>
      <c r="R23" s="714" t="s">
        <v>17</v>
      </c>
      <c r="S23" s="715">
        <f>F23</f>
        <v>100</v>
      </c>
      <c r="T23" s="714" t="s">
        <v>17</v>
      </c>
      <c r="U23" s="715">
        <f>H23</f>
        <v>100</v>
      </c>
      <c r="V23" s="714" t="s">
        <v>17</v>
      </c>
      <c r="W23" s="715">
        <f>J23</f>
        <v>100</v>
      </c>
      <c r="X23" s="1541"/>
      <c r="Y23" s="3389"/>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89"/>
      <c r="Q24" s="1538">
        <f t="shared" ref="Q24:Q34" si="8">B24</f>
        <v>111</v>
      </c>
      <c r="R24" s="714" t="s">
        <v>17</v>
      </c>
      <c r="S24" s="715">
        <f>F24</f>
        <v>100</v>
      </c>
      <c r="T24" s="714" t="s">
        <v>17</v>
      </c>
      <c r="U24" s="715">
        <f>H24</f>
        <v>100</v>
      </c>
      <c r="V24" s="714" t="s">
        <v>17</v>
      </c>
      <c r="W24" s="715">
        <f>J24</f>
        <v>100</v>
      </c>
      <c r="X24" s="1541"/>
      <c r="Y24" s="3389"/>
      <c r="Z24" s="1542">
        <f>Q24</f>
        <v>111</v>
      </c>
      <c r="AA24" s="1539">
        <f t="shared" si="3"/>
        <v>1</v>
      </c>
      <c r="AB24" s="1539">
        <f t="shared" si="4"/>
        <v>1</v>
      </c>
      <c r="AC24" s="1539">
        <f t="shared" si="5"/>
        <v>1</v>
      </c>
    </row>
    <row r="25" spans="1:29" s="113" customFormat="1" ht="15.75" thickBot="1">
      <c r="A25" s="390"/>
      <c r="B25" s="2080">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89"/>
      <c r="Q25" s="1529">
        <f t="shared" si="8"/>
        <v>111</v>
      </c>
      <c r="R25" s="710" t="s">
        <v>17</v>
      </c>
      <c r="S25" s="711">
        <f>F25</f>
        <v>100</v>
      </c>
      <c r="T25" s="710" t="s">
        <v>17</v>
      </c>
      <c r="U25" s="711">
        <f>H25</f>
        <v>100</v>
      </c>
      <c r="V25" s="710" t="s">
        <v>17</v>
      </c>
      <c r="W25" s="711">
        <f>J25</f>
        <v>100</v>
      </c>
      <c r="X25" s="712"/>
      <c r="Y25" s="3389"/>
      <c r="Z25" s="55">
        <f>Q25</f>
        <v>111</v>
      </c>
      <c r="AA25" s="1539">
        <f>D25/F25</f>
        <v>1</v>
      </c>
      <c r="AB25" s="1539">
        <f>D25/H25</f>
        <v>1</v>
      </c>
      <c r="AC25" s="1539">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17" t="s">
        <v>2384</v>
      </c>
      <c r="Q26" s="1538" t="str">
        <f t="shared" si="8"/>
        <v>公共部分装修</v>
      </c>
      <c r="R26" s="714" t="s">
        <v>17</v>
      </c>
      <c r="S26" s="715">
        <f t="shared" ref="S26:S34" si="9">F26</f>
        <v>100</v>
      </c>
      <c r="T26" s="714" t="s">
        <v>17</v>
      </c>
      <c r="U26" s="715">
        <f t="shared" ref="U26:U34" si="10">H26</f>
        <v>100</v>
      </c>
      <c r="V26" s="714" t="s">
        <v>17</v>
      </c>
      <c r="W26" s="715">
        <f t="shared" ref="W26:W34" si="11">J26</f>
        <v>100</v>
      </c>
      <c r="X26" s="1541"/>
      <c r="Y26" s="3393" t="s">
        <v>2384</v>
      </c>
      <c r="Z26" s="1542" t="str">
        <f t="shared" ref="Z26:Z34" si="12">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93"/>
      <c r="Q27" s="716" t="str">
        <f t="shared" si="8"/>
        <v>成新率</v>
      </c>
      <c r="R27" s="717" t="s">
        <v>17</v>
      </c>
      <c r="S27" s="718" t="e">
        <f t="shared" si="9"/>
        <v>#N/A</v>
      </c>
      <c r="T27" s="717" t="s">
        <v>17</v>
      </c>
      <c r="U27" s="718" t="e">
        <f t="shared" si="10"/>
        <v>#N/A</v>
      </c>
      <c r="V27" s="717" t="s">
        <v>17</v>
      </c>
      <c r="W27" s="718" t="e">
        <f t="shared" si="11"/>
        <v>#N/A</v>
      </c>
      <c r="X27" s="719"/>
      <c r="Y27" s="3393"/>
      <c r="Z27" s="720" t="str">
        <f t="shared" si="12"/>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93"/>
      <c r="Q28" s="1538" t="str">
        <f t="shared" si="8"/>
        <v>物业等级</v>
      </c>
      <c r="R28" s="714" t="s">
        <v>17</v>
      </c>
      <c r="S28" s="715">
        <f t="shared" si="9"/>
        <v>100</v>
      </c>
      <c r="T28" s="714" t="s">
        <v>17</v>
      </c>
      <c r="U28" s="715">
        <f t="shared" si="10"/>
        <v>100</v>
      </c>
      <c r="V28" s="714" t="s">
        <v>17</v>
      </c>
      <c r="W28" s="715">
        <f t="shared" si="11"/>
        <v>100</v>
      </c>
      <c r="X28" s="1541"/>
      <c r="Y28" s="3393"/>
      <c r="Z28" s="1542" t="str">
        <f t="shared" si="12"/>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93"/>
      <c r="Q29" s="1538" t="str">
        <f t="shared" si="8"/>
        <v>有无电梯</v>
      </c>
      <c r="R29" s="714" t="s">
        <v>17</v>
      </c>
      <c r="S29" s="715">
        <f t="shared" si="9"/>
        <v>100</v>
      </c>
      <c r="T29" s="714" t="s">
        <v>17</v>
      </c>
      <c r="U29" s="715">
        <f t="shared" si="10"/>
        <v>100</v>
      </c>
      <c r="V29" s="714" t="s">
        <v>17</v>
      </c>
      <c r="W29" s="715">
        <f t="shared" si="11"/>
        <v>100</v>
      </c>
      <c r="X29" s="1541"/>
      <c r="Y29" s="3393"/>
      <c r="Z29" s="1542" t="str">
        <f t="shared" si="12"/>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93"/>
      <c r="Q30" s="1538" t="str">
        <f t="shared" si="8"/>
        <v>建筑面积</v>
      </c>
      <c r="R30" s="714" t="s">
        <v>17</v>
      </c>
      <c r="S30" s="715" t="e">
        <f t="shared" si="9"/>
        <v>#N/A</v>
      </c>
      <c r="T30" s="714" t="s">
        <v>17</v>
      </c>
      <c r="U30" s="715" t="e">
        <f t="shared" si="10"/>
        <v>#N/A</v>
      </c>
      <c r="V30" s="714" t="s">
        <v>17</v>
      </c>
      <c r="W30" s="715" t="e">
        <f t="shared" si="11"/>
        <v>#N/A</v>
      </c>
      <c r="X30" s="1541"/>
      <c r="Y30" s="3393"/>
      <c r="Z30" s="1542" t="str">
        <f t="shared" si="12"/>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93"/>
      <c r="Q31" s="1529" t="str">
        <f t="shared" si="8"/>
        <v>是否封闭</v>
      </c>
      <c r="R31" s="710" t="s">
        <v>17</v>
      </c>
      <c r="S31" s="711">
        <f t="shared" si="9"/>
        <v>100</v>
      </c>
      <c r="T31" s="710" t="s">
        <v>17</v>
      </c>
      <c r="U31" s="711">
        <f t="shared" si="10"/>
        <v>100</v>
      </c>
      <c r="V31" s="710" t="s">
        <v>17</v>
      </c>
      <c r="W31" s="711">
        <f t="shared" si="11"/>
        <v>100</v>
      </c>
      <c r="X31" s="712"/>
      <c r="Y31" s="3393"/>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93" t="s">
        <v>2384</v>
      </c>
      <c r="Q32" s="1538">
        <f t="shared" si="8"/>
        <v>111</v>
      </c>
      <c r="R32" s="714" t="s">
        <v>17</v>
      </c>
      <c r="S32" s="715">
        <f t="shared" si="9"/>
        <v>100</v>
      </c>
      <c r="T32" s="714" t="s">
        <v>17</v>
      </c>
      <c r="U32" s="715">
        <f t="shared" si="10"/>
        <v>100</v>
      </c>
      <c r="V32" s="714" t="s">
        <v>17</v>
      </c>
      <c r="W32" s="715">
        <f t="shared" si="11"/>
        <v>100</v>
      </c>
      <c r="X32" s="1541"/>
      <c r="Y32" s="3393" t="s">
        <v>2384</v>
      </c>
      <c r="Z32" s="1542">
        <f t="shared" si="12"/>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93"/>
      <c r="Q33" s="1538">
        <f t="shared" si="8"/>
        <v>111</v>
      </c>
      <c r="R33" s="714" t="s">
        <v>17</v>
      </c>
      <c r="S33" s="715">
        <f t="shared" si="9"/>
        <v>100</v>
      </c>
      <c r="T33" s="714" t="s">
        <v>17</v>
      </c>
      <c r="U33" s="715">
        <f t="shared" si="10"/>
        <v>100</v>
      </c>
      <c r="V33" s="714" t="s">
        <v>17</v>
      </c>
      <c r="W33" s="715">
        <f t="shared" si="11"/>
        <v>100</v>
      </c>
      <c r="X33" s="1541"/>
      <c r="Y33" s="3393"/>
      <c r="Z33" s="1542">
        <f t="shared" si="12"/>
        <v>111</v>
      </c>
      <c r="AA33" s="1539">
        <f t="shared" si="3"/>
        <v>1</v>
      </c>
      <c r="AB33" s="1539">
        <f t="shared" si="4"/>
        <v>1</v>
      </c>
      <c r="AC33" s="1539">
        <f t="shared" si="5"/>
        <v>1</v>
      </c>
    </row>
    <row r="34" spans="1:30" ht="15.75" thickBot="1">
      <c r="A34" s="437"/>
      <c r="B34" s="2082">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93"/>
      <c r="Q34" s="1538">
        <f t="shared" si="8"/>
        <v>111</v>
      </c>
      <c r="R34" s="714" t="s">
        <v>17</v>
      </c>
      <c r="S34" s="715">
        <f t="shared" si="9"/>
        <v>100</v>
      </c>
      <c r="T34" s="714" t="s">
        <v>17</v>
      </c>
      <c r="U34" s="715">
        <f t="shared" si="10"/>
        <v>100</v>
      </c>
      <c r="V34" s="714" t="s">
        <v>17</v>
      </c>
      <c r="W34" s="715">
        <f t="shared" si="11"/>
        <v>100</v>
      </c>
      <c r="X34" s="1541"/>
      <c r="Y34" s="3393"/>
      <c r="Z34" s="1542">
        <f t="shared" si="12"/>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0"/>
      <c r="M35" s="2951"/>
      <c r="N35" s="2942"/>
      <c r="O35" s="2951"/>
      <c r="P35" s="3386" t="str">
        <f>A35</f>
        <v>成交单价（元/平方米）</v>
      </c>
      <c r="Q35" s="3386"/>
      <c r="R35" s="3387">
        <f>E35</f>
        <v>0</v>
      </c>
      <c r="S35" s="3387"/>
      <c r="T35" s="3387">
        <f>G35</f>
        <v>0</v>
      </c>
      <c r="U35" s="3387"/>
      <c r="V35" s="3387">
        <f>I35</f>
        <v>0</v>
      </c>
      <c r="W35" s="3387"/>
      <c r="X35" s="699"/>
      <c r="Y35" s="721"/>
      <c r="Z35" s="699"/>
      <c r="AA35" s="699"/>
      <c r="AB35" s="699"/>
      <c r="AC35" s="699"/>
    </row>
    <row r="36" spans="1:30" ht="15.75" thickBot="1">
      <c r="A36" s="445" t="s">
        <v>2488</v>
      </c>
      <c r="B36" s="446"/>
      <c r="C36" s="1322" t="e">
        <f>R37</f>
        <v>#DIV/0!</v>
      </c>
      <c r="D36" s="2538" t="s">
        <v>2873</v>
      </c>
      <c r="E36" s="1323" t="e">
        <f>R36</f>
        <v>#DIV/0!</v>
      </c>
      <c r="F36" s="2539"/>
      <c r="G36" s="1322" t="e">
        <f>T36</f>
        <v>#DIV/0!</v>
      </c>
      <c r="H36" s="2539"/>
      <c r="I36" s="1323" t="e">
        <f>V36</f>
        <v>#DIV/0!</v>
      </c>
      <c r="J36" s="2539"/>
      <c r="K36" s="2541">
        <f>F36+H36+J36</f>
        <v>0</v>
      </c>
      <c r="L36" s="2950"/>
      <c r="M36" s="2951"/>
      <c r="N36" s="2942"/>
      <c r="O36" s="2951"/>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0"/>
      <c r="M37" s="2951"/>
      <c r="N37" s="2951"/>
      <c r="O37" s="2951"/>
      <c r="P37" s="3383" t="str">
        <f>A37</f>
        <v>估价对象XX用房的比较价值（楼面单价，元/平方米）</v>
      </c>
      <c r="Q37" s="3384"/>
      <c r="R37" s="3418" t="e">
        <f>IF(F1="售价",ROUND(IF(D36="简单平均",AVERAGE(R36:W36),R36*F36+T36*H36+V36*J36),0),ROUND(IF(D36="简单平均",AVERAGE(R36:V36),R36*F36+T36*H36+V36*J36),1))</f>
        <v>#DIV/0!</v>
      </c>
      <c r="S37" s="3418"/>
      <c r="T37" s="3418"/>
      <c r="U37" s="3418"/>
      <c r="V37" s="3418"/>
      <c r="W37" s="3418"/>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2367</v>
      </c>
      <c r="B46" s="463"/>
      <c r="C46" s="1346" t="str">
        <f>YEAR(C7)&amp;"-"&amp;MONTH(C7)</f>
        <v>2021-4</v>
      </c>
      <c r="D46" s="1347">
        <f>EDATE(C46,-1)</f>
        <v>44256</v>
      </c>
      <c r="E46" s="1347">
        <f t="shared" ref="E46:O46" si="13">EDATE(D46,-1)</f>
        <v>44228</v>
      </c>
      <c r="F46" s="1347">
        <f t="shared" si="13"/>
        <v>44197</v>
      </c>
      <c r="G46" s="1347">
        <f t="shared" si="13"/>
        <v>44166</v>
      </c>
      <c r="H46" s="1347">
        <f t="shared" si="13"/>
        <v>44136</v>
      </c>
      <c r="I46" s="1347">
        <f t="shared" si="13"/>
        <v>44105</v>
      </c>
      <c r="J46" s="1347">
        <f t="shared" si="13"/>
        <v>44075</v>
      </c>
      <c r="K46" s="1347">
        <f t="shared" si="13"/>
        <v>44044</v>
      </c>
      <c r="L46" s="1347">
        <f t="shared" si="13"/>
        <v>44013</v>
      </c>
      <c r="M46" s="1347">
        <f t="shared" si="13"/>
        <v>43983</v>
      </c>
      <c r="N46" s="1347">
        <f t="shared" si="13"/>
        <v>43952</v>
      </c>
      <c r="O46" s="1347">
        <f t="shared" si="13"/>
        <v>43922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7" zoomScale="70" zoomScaleNormal="60" zoomScaleSheetLayoutView="70" workbookViewId="0">
      <selection activeCell="C38" sqref="C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6880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3363</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2464</v>
      </c>
      <c r="B4" s="362"/>
      <c r="C4" s="3369" t="s">
        <v>2465</v>
      </c>
      <c r="D4" s="3370"/>
      <c r="E4" s="3371" t="s">
        <v>2466</v>
      </c>
      <c r="F4" s="3372"/>
      <c r="G4" s="3369" t="s">
        <v>2467</v>
      </c>
      <c r="H4" s="3370"/>
      <c r="I4" s="3369" t="s">
        <v>2468</v>
      </c>
      <c r="J4" s="3370"/>
      <c r="K4" s="567" t="s">
        <v>2469</v>
      </c>
      <c r="L4" s="2941"/>
      <c r="M4" s="2942"/>
      <c r="N4" s="2942"/>
      <c r="O4" s="2942"/>
      <c r="P4" s="3373" t="s">
        <v>2470</v>
      </c>
      <c r="Q4" s="3374"/>
      <c r="R4" s="3358" t="s">
        <v>2466</v>
      </c>
      <c r="S4" s="3359"/>
      <c r="T4" s="3358" t="s">
        <v>2467</v>
      </c>
      <c r="U4" s="3359"/>
      <c r="V4" s="3381" t="s">
        <v>2468</v>
      </c>
      <c r="W4" s="3381"/>
      <c r="X4" s="1541"/>
      <c r="Y4" s="3358" t="s">
        <v>2470</v>
      </c>
      <c r="Z4" s="3359"/>
      <c r="AA4" s="3353" t="s">
        <v>2466</v>
      </c>
      <c r="AB4" s="3354" t="s">
        <v>2467</v>
      </c>
      <c r="AC4" s="3353" t="s">
        <v>2468</v>
      </c>
    </row>
    <row r="5" spans="1:30" ht="15">
      <c r="A5" s="364"/>
      <c r="B5" s="365"/>
      <c r="C5" s="3364" t="s">
        <v>3159</v>
      </c>
      <c r="D5" s="3365"/>
      <c r="E5" s="3397" t="str">
        <f>土地案例!A13</f>
        <v>昆明市官渡区矣六街道办事处</v>
      </c>
      <c r="F5" s="3363"/>
      <c r="G5" s="3398" t="str">
        <f>土地案例!A42</f>
        <v>昆明市官渡区官渡街道办事处</v>
      </c>
      <c r="H5" s="3365"/>
      <c r="I5" s="3398" t="str">
        <f>土地案例!A52</f>
        <v>度假区大渔片区</v>
      </c>
      <c r="J5" s="3365"/>
      <c r="K5" s="567"/>
      <c r="L5" s="2941"/>
      <c r="M5" s="2942"/>
      <c r="N5" s="2942"/>
      <c r="O5" s="2942"/>
      <c r="P5" s="3375"/>
      <c r="Q5" s="3376"/>
      <c r="R5" s="3360"/>
      <c r="S5" s="3361"/>
      <c r="T5" s="3360"/>
      <c r="U5" s="3361"/>
      <c r="V5" s="3381"/>
      <c r="W5" s="3381"/>
      <c r="X5" s="1541"/>
      <c r="Y5" s="3360"/>
      <c r="Z5" s="3361"/>
      <c r="AA5" s="3354"/>
      <c r="AB5" s="3354"/>
      <c r="AC5" s="3354"/>
    </row>
    <row r="6" spans="1:30" ht="15.75" thickBot="1">
      <c r="A6" s="366"/>
      <c r="B6" s="367"/>
      <c r="C6" s="3399" t="s">
        <v>2365</v>
      </c>
      <c r="D6" s="3367"/>
      <c r="E6" s="3400" t="s">
        <v>2365</v>
      </c>
      <c r="F6" s="3401"/>
      <c r="G6" s="3399" t="s">
        <v>2365</v>
      </c>
      <c r="H6" s="3367"/>
      <c r="I6" s="3399" t="s">
        <v>2365</v>
      </c>
      <c r="J6" s="3367"/>
      <c r="K6" s="567" t="s">
        <v>2366</v>
      </c>
      <c r="L6" s="2941"/>
      <c r="M6" s="2942"/>
      <c r="N6" s="2942"/>
      <c r="O6" s="2942"/>
      <c r="P6" s="3377"/>
      <c r="Q6" s="3378"/>
      <c r="R6" s="3360"/>
      <c r="S6" s="3361"/>
      <c r="T6" s="3379"/>
      <c r="U6" s="3380"/>
      <c r="V6" s="3381"/>
      <c r="W6" s="3381"/>
      <c r="X6" s="1541"/>
      <c r="Y6" s="3379"/>
      <c r="Z6" s="3380"/>
      <c r="AA6" s="3355"/>
      <c r="AB6" s="3355"/>
      <c r="AC6" s="3355"/>
    </row>
    <row r="7" spans="1:30" s="113" customFormat="1" ht="15.75" thickBot="1">
      <c r="A7" s="368" t="s">
        <v>2367</v>
      </c>
      <c r="B7" s="369"/>
      <c r="C7" s="370">
        <f>'数据-取费表'!B2</f>
        <v>44316</v>
      </c>
      <c r="D7" s="371">
        <v>100</v>
      </c>
      <c r="E7" s="372" t="str">
        <f>土地案例!AA13</f>
        <v>2020-12-18</v>
      </c>
      <c r="F7" s="373">
        <f>SUMIF(70:70,YEAR(E7)&amp;"-"&amp;INT((MONTH(E7)+2)/3),71:71)</f>
        <v>99</v>
      </c>
      <c r="G7" s="2160" t="str">
        <f>土地案例!AA42</f>
        <v>2019-07-12</v>
      </c>
      <c r="H7" s="371">
        <f>SUMIF(70:70,YEAR(G7)&amp;"-"&amp;INT((MONTH(G7)+2)/3),71:71)</f>
        <v>96.5</v>
      </c>
      <c r="I7" s="2160">
        <f>土地案例!AA52</f>
        <v>43997</v>
      </c>
      <c r="J7" s="371">
        <f>SUMIF(70:70,YEAR(I7)&amp;"-"&amp;INT((MONTH(I7)+2)/3),71:71)</f>
        <v>98</v>
      </c>
      <c r="K7" s="568"/>
      <c r="L7" s="2943"/>
      <c r="M7" s="2944"/>
      <c r="N7" s="2944"/>
      <c r="O7" s="2944"/>
      <c r="P7" s="3356" t="s">
        <v>2368</v>
      </c>
      <c r="Q7" s="3382"/>
      <c r="R7" s="710" t="s">
        <v>17</v>
      </c>
      <c r="S7" s="711">
        <f t="shared" ref="S7:S15" si="0">F7</f>
        <v>99</v>
      </c>
      <c r="T7" s="710" t="s">
        <v>17</v>
      </c>
      <c r="U7" s="711">
        <f t="shared" ref="U7:U15" si="1">H7</f>
        <v>96.5</v>
      </c>
      <c r="V7" s="710" t="s">
        <v>17</v>
      </c>
      <c r="W7" s="711">
        <f t="shared" ref="W7:W15" si="2">J7</f>
        <v>98</v>
      </c>
      <c r="X7" s="712"/>
      <c r="Y7" s="3356" t="s">
        <v>2368</v>
      </c>
      <c r="Z7" s="3357"/>
      <c r="AA7" s="713">
        <f>D7/F7</f>
        <v>1.0101010101010102</v>
      </c>
      <c r="AB7" s="713">
        <f>D7/H7</f>
        <v>1.0362694300518134</v>
      </c>
      <c r="AC7" s="713">
        <f>D7/J7</f>
        <v>1.0204081632653061</v>
      </c>
    </row>
    <row r="8" spans="1:30" s="113" customFormat="1" ht="15.75" thickBot="1">
      <c r="A8" s="368" t="s">
        <v>2369</v>
      </c>
      <c r="B8" s="369"/>
      <c r="C8" s="374" t="s">
        <v>2370</v>
      </c>
      <c r="D8" s="371">
        <v>100</v>
      </c>
      <c r="E8" s="374" t="s">
        <v>3470</v>
      </c>
      <c r="F8" s="373">
        <f>SUMIF(73:73,E8,74:74)-SUMIF(73:73,C8,74:74)+100</f>
        <v>100</v>
      </c>
      <c r="G8" s="374" t="s">
        <v>3470</v>
      </c>
      <c r="H8" s="371">
        <f>SUMIF(73:73,G8,74:74)-SUMIF(73:73,C8,74:74)+100</f>
        <v>100</v>
      </c>
      <c r="I8" s="374" t="s">
        <v>3470</v>
      </c>
      <c r="J8" s="371">
        <f>SUMIF(73:73,I8,74:74)-SUMIF(73:73,C8,74:74)+100</f>
        <v>100</v>
      </c>
      <c r="K8" s="568"/>
      <c r="L8" s="2943"/>
      <c r="M8" s="2944"/>
      <c r="N8" s="2944"/>
      <c r="O8" s="2944"/>
      <c r="P8" s="3356" t="s">
        <v>2371</v>
      </c>
      <c r="Q8" s="3357"/>
      <c r="R8" s="710" t="s">
        <v>17</v>
      </c>
      <c r="S8" s="711">
        <f t="shared" si="0"/>
        <v>100</v>
      </c>
      <c r="T8" s="710" t="s">
        <v>17</v>
      </c>
      <c r="U8" s="711">
        <f t="shared" si="1"/>
        <v>100</v>
      </c>
      <c r="V8" s="710" t="s">
        <v>17</v>
      </c>
      <c r="W8" s="711">
        <f t="shared" si="2"/>
        <v>100</v>
      </c>
      <c r="X8" s="712"/>
      <c r="Y8" s="3356" t="s">
        <v>2371</v>
      </c>
      <c r="Z8" s="3357"/>
      <c r="AA8" s="713">
        <f t="shared" ref="AA8:AA45" si="3">D8/F8</f>
        <v>1</v>
      </c>
      <c r="AB8" s="713">
        <f t="shared" ref="AB8:AB45" si="4">D8/H8</f>
        <v>1</v>
      </c>
      <c r="AC8" s="713">
        <f t="shared" ref="AC8:AC45" si="5">D8/J8</f>
        <v>1</v>
      </c>
    </row>
    <row r="9" spans="1:30" s="113" customFormat="1">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3"/>
      <c r="M9" s="2944"/>
      <c r="N9" s="2944"/>
      <c r="O9" s="2998"/>
      <c r="P9" s="3386" t="s">
        <v>2374</v>
      </c>
      <c r="Q9" s="1529" t="str">
        <f t="shared" ref="Q9:Q15" si="6">B9</f>
        <v>用途</v>
      </c>
      <c r="R9" s="710" t="s">
        <v>17</v>
      </c>
      <c r="S9" s="711">
        <f t="shared" si="0"/>
        <v>100</v>
      </c>
      <c r="T9" s="710" t="s">
        <v>17</v>
      </c>
      <c r="U9" s="711">
        <f t="shared" si="1"/>
        <v>100</v>
      </c>
      <c r="V9" s="710" t="s">
        <v>17</v>
      </c>
      <c r="W9" s="711">
        <f t="shared" si="2"/>
        <v>100</v>
      </c>
      <c r="X9" s="712"/>
      <c r="Y9" s="3298"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110</v>
      </c>
      <c r="G10" s="422"/>
      <c r="H10" s="132">
        <f>ROUND(100/'数据-取费表'!G16,0)</f>
        <v>110</v>
      </c>
      <c r="I10" s="422"/>
      <c r="J10" s="132">
        <f>ROUND(100/'数据-取费表'!G16,0)</f>
        <v>110</v>
      </c>
      <c r="K10" s="628"/>
      <c r="L10" s="2945"/>
      <c r="M10" s="2946"/>
      <c r="N10" s="2946"/>
      <c r="O10" s="2999"/>
      <c r="P10" s="3386"/>
      <c r="Q10" s="1529" t="str">
        <f t="shared" si="6"/>
        <v>土地使用年限（年）</v>
      </c>
      <c r="R10" s="710" t="s">
        <v>17</v>
      </c>
      <c r="S10" s="711">
        <f t="shared" si="0"/>
        <v>110</v>
      </c>
      <c r="T10" s="710" t="s">
        <v>17</v>
      </c>
      <c r="U10" s="711">
        <f t="shared" si="1"/>
        <v>110</v>
      </c>
      <c r="V10" s="710" t="s">
        <v>17</v>
      </c>
      <c r="W10" s="711">
        <f t="shared" si="2"/>
        <v>110</v>
      </c>
      <c r="X10" s="712"/>
      <c r="Y10" s="3298"/>
      <c r="Z10" s="55" t="str">
        <f t="shared" si="7"/>
        <v>土地使用年限（年）</v>
      </c>
      <c r="AA10" s="713">
        <f t="shared" si="3"/>
        <v>0.90909090909090906</v>
      </c>
      <c r="AB10" s="713">
        <f t="shared" si="4"/>
        <v>0.90909090909090906</v>
      </c>
      <c r="AC10" s="713">
        <f t="shared" si="5"/>
        <v>0.90909090909090906</v>
      </c>
    </row>
    <row r="11" spans="1:30" ht="15">
      <c r="A11" s="387"/>
      <c r="B11" s="381" t="s">
        <v>2377</v>
      </c>
      <c r="C11" s="388">
        <f>面积表!E2</f>
        <v>0.48</v>
      </c>
      <c r="D11" s="132">
        <v>100</v>
      </c>
      <c r="E11" s="388">
        <v>1</v>
      </c>
      <c r="F11" s="132">
        <f>LOOKUP(E11,80:80,81:81)-LOOKUP(C11,80:80,81:81)+100</f>
        <v>90</v>
      </c>
      <c r="G11" s="389">
        <v>0.4</v>
      </c>
      <c r="H11" s="132">
        <f>LOOKUP(G11,80:80,81:81)-LOOKUP(C11,80:80,81:81)+100</f>
        <v>100</v>
      </c>
      <c r="I11" s="388">
        <v>1.5</v>
      </c>
      <c r="J11" s="132">
        <f>LOOKUP(I11,80:80,81:81)-LOOKUP(C11,80:80,81:81)+100</f>
        <v>90</v>
      </c>
      <c r="K11" s="629">
        <v>10</v>
      </c>
      <c r="L11" s="2947"/>
      <c r="M11" s="2942"/>
      <c r="N11" s="2942"/>
      <c r="O11" s="3000"/>
      <c r="P11" s="3386"/>
      <c r="Q11" s="1529" t="str">
        <f t="shared" si="6"/>
        <v>容积率</v>
      </c>
      <c r="R11" s="710" t="s">
        <v>17</v>
      </c>
      <c r="S11" s="711">
        <f t="shared" si="0"/>
        <v>90</v>
      </c>
      <c r="T11" s="710" t="s">
        <v>17</v>
      </c>
      <c r="U11" s="711">
        <f t="shared" si="1"/>
        <v>100</v>
      </c>
      <c r="V11" s="710" t="s">
        <v>17</v>
      </c>
      <c r="W11" s="711">
        <f t="shared" si="2"/>
        <v>90</v>
      </c>
      <c r="X11" s="712"/>
      <c r="Y11" s="3298"/>
      <c r="Z11" s="55" t="str">
        <f t="shared" si="7"/>
        <v>容积率</v>
      </c>
      <c r="AA11" s="713">
        <f t="shared" si="3"/>
        <v>1.1111111111111112</v>
      </c>
      <c r="AB11" s="713">
        <f t="shared" si="4"/>
        <v>1</v>
      </c>
      <c r="AC11" s="713">
        <f t="shared" si="5"/>
        <v>1.1111111111111112</v>
      </c>
    </row>
    <row r="12" spans="1:30" s="113" customFormat="1" ht="15" hidden="1">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86"/>
      <c r="Q12" s="1529" t="str">
        <f t="shared" si="6"/>
        <v>配建</v>
      </c>
      <c r="R12" s="710" t="s">
        <v>17</v>
      </c>
      <c r="S12" s="711">
        <f t="shared" si="0"/>
        <v>100</v>
      </c>
      <c r="T12" s="710" t="s">
        <v>17</v>
      </c>
      <c r="U12" s="711">
        <f t="shared" si="1"/>
        <v>100</v>
      </c>
      <c r="V12" s="710" t="s">
        <v>17</v>
      </c>
      <c r="W12" s="711">
        <f t="shared" si="2"/>
        <v>100</v>
      </c>
      <c r="X12" s="712"/>
      <c r="Y12" s="3298"/>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86"/>
      <c r="Q13" s="1529">
        <f t="shared" si="6"/>
        <v>111</v>
      </c>
      <c r="R13" s="710" t="s">
        <v>17</v>
      </c>
      <c r="S13" s="711">
        <f t="shared" si="0"/>
        <v>100</v>
      </c>
      <c r="T13" s="710" t="s">
        <v>17</v>
      </c>
      <c r="U13" s="711">
        <f t="shared" si="1"/>
        <v>100</v>
      </c>
      <c r="V13" s="710" t="s">
        <v>17</v>
      </c>
      <c r="W13" s="711">
        <f t="shared" si="2"/>
        <v>100</v>
      </c>
      <c r="X13" s="712"/>
      <c r="Y13" s="3298"/>
      <c r="Z13" s="55">
        <f t="shared" si="7"/>
        <v>111</v>
      </c>
      <c r="AA13" s="713">
        <f>D13/F13</f>
        <v>1</v>
      </c>
      <c r="AB13" s="713">
        <f>D13/H13</f>
        <v>1</v>
      </c>
      <c r="AC13" s="713">
        <f>D13/J13</f>
        <v>1</v>
      </c>
    </row>
    <row r="14" spans="1:30" ht="15.75"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86"/>
      <c r="Q14" s="1529">
        <f t="shared" si="6"/>
        <v>111</v>
      </c>
      <c r="R14" s="710" t="s">
        <v>17</v>
      </c>
      <c r="S14" s="711">
        <f t="shared" si="0"/>
        <v>100</v>
      </c>
      <c r="T14" s="710" t="s">
        <v>17</v>
      </c>
      <c r="U14" s="711">
        <f t="shared" si="1"/>
        <v>100</v>
      </c>
      <c r="V14" s="710" t="s">
        <v>17</v>
      </c>
      <c r="W14" s="711">
        <f t="shared" si="2"/>
        <v>100</v>
      </c>
      <c r="X14" s="712"/>
      <c r="Y14" s="3298"/>
      <c r="Z14" s="55">
        <f t="shared" si="7"/>
        <v>111</v>
      </c>
      <c r="AA14" s="713">
        <f>D14/F14</f>
        <v>1</v>
      </c>
      <c r="AB14" s="713">
        <f>D14/H14</f>
        <v>1</v>
      </c>
      <c r="AC14" s="713">
        <f>D14/J14</f>
        <v>1</v>
      </c>
    </row>
    <row r="15" spans="1:30" ht="99.75" hidden="1">
      <c r="A15" s="399" t="s">
        <v>2378</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88" t="s">
        <v>2379</v>
      </c>
      <c r="Q15" s="1538" t="str">
        <f t="shared" si="6"/>
        <v>居住社区成熟度</v>
      </c>
      <c r="R15" s="714" t="s">
        <v>17</v>
      </c>
      <c r="S15" s="715">
        <f t="shared" si="0"/>
        <v>100</v>
      </c>
      <c r="T15" s="714" t="s">
        <v>17</v>
      </c>
      <c r="U15" s="715">
        <f t="shared" si="1"/>
        <v>100</v>
      </c>
      <c r="V15" s="714" t="s">
        <v>17</v>
      </c>
      <c r="W15" s="715">
        <f t="shared" si="2"/>
        <v>100</v>
      </c>
      <c r="X15" s="1541"/>
      <c r="Y15" s="3388"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4"/>
      <c r="J16" s="407"/>
      <c r="K16" s="628"/>
      <c r="L16" s="2948"/>
      <c r="M16" s="2942"/>
      <c r="N16" s="2942"/>
      <c r="O16" s="3000"/>
      <c r="P16" s="3389"/>
      <c r="Q16" s="1538"/>
      <c r="R16" s="714"/>
      <c r="S16" s="715"/>
      <c r="T16" s="714"/>
      <c r="U16" s="715"/>
      <c r="V16" s="714"/>
      <c r="W16" s="715"/>
      <c r="X16" s="1541"/>
      <c r="Y16" s="3389"/>
      <c r="Z16" s="1542"/>
      <c r="AA16" s="1539">
        <v>1</v>
      </c>
      <c r="AB16" s="1539">
        <v>1</v>
      </c>
      <c r="AC16" s="1539">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48"/>
      <c r="M17" s="2942"/>
      <c r="N17" s="2942"/>
      <c r="O17" s="3000"/>
      <c r="P17" s="3389"/>
      <c r="Q17" s="1538" t="str">
        <f>B17</f>
        <v>商业繁华度</v>
      </c>
      <c r="R17" s="714" t="s">
        <v>17</v>
      </c>
      <c r="S17" s="715">
        <f>F17</f>
        <v>100</v>
      </c>
      <c r="T17" s="714" t="s">
        <v>17</v>
      </c>
      <c r="U17" s="715">
        <f>H17</f>
        <v>100</v>
      </c>
      <c r="V17" s="714" t="s">
        <v>17</v>
      </c>
      <c r="W17" s="715">
        <f>J17</f>
        <v>100</v>
      </c>
      <c r="X17" s="1541"/>
      <c r="Y17" s="3389"/>
      <c r="Z17" s="1542" t="str">
        <f>Q17</f>
        <v>商业繁华度</v>
      </c>
      <c r="AA17" s="1539">
        <f t="shared" si="3"/>
        <v>1</v>
      </c>
      <c r="AB17" s="1539">
        <f t="shared" si="4"/>
        <v>1</v>
      </c>
      <c r="AC17" s="1539">
        <f t="shared" si="5"/>
        <v>1</v>
      </c>
    </row>
    <row r="18" spans="1:29" ht="15">
      <c r="A18" s="387"/>
      <c r="B18" s="415"/>
      <c r="C18" s="2088" t="s">
        <v>3521</v>
      </c>
      <c r="D18" s="409"/>
      <c r="E18" s="2088" t="s">
        <v>3521</v>
      </c>
      <c r="F18" s="409"/>
      <c r="G18" s="2088" t="s">
        <v>3521</v>
      </c>
      <c r="H18" s="407"/>
      <c r="I18" s="2088" t="s">
        <v>3521</v>
      </c>
      <c r="J18" s="407"/>
      <c r="K18" s="628"/>
      <c r="L18" s="2948"/>
      <c r="M18" s="2942"/>
      <c r="N18" s="2942"/>
      <c r="O18" s="3000"/>
      <c r="P18" s="3389"/>
      <c r="Q18" s="1538"/>
      <c r="R18" s="714"/>
      <c r="S18" s="715"/>
      <c r="T18" s="714"/>
      <c r="U18" s="715"/>
      <c r="V18" s="714"/>
      <c r="W18" s="715"/>
      <c r="X18" s="1541"/>
      <c r="Y18" s="3389"/>
      <c r="Z18" s="1542"/>
      <c r="AA18" s="1539">
        <v>1</v>
      </c>
      <c r="AB18" s="1539">
        <v>1</v>
      </c>
      <c r="AC18" s="1539">
        <v>1</v>
      </c>
    </row>
    <row r="19" spans="1:29" ht="71.25" hidden="1">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89"/>
      <c r="Q19" s="1538" t="str">
        <f>B19</f>
        <v>办公集聚程度</v>
      </c>
      <c r="R19" s="714" t="s">
        <v>17</v>
      </c>
      <c r="S19" s="715">
        <f>F19</f>
        <v>100</v>
      </c>
      <c r="T19" s="714" t="s">
        <v>17</v>
      </c>
      <c r="U19" s="715">
        <f>H19</f>
        <v>100</v>
      </c>
      <c r="V19" s="714" t="s">
        <v>17</v>
      </c>
      <c r="W19" s="715">
        <f>J19</f>
        <v>100</v>
      </c>
      <c r="X19" s="1541"/>
      <c r="Y19" s="3389"/>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48"/>
      <c r="M20" s="2942"/>
      <c r="N20" s="2942"/>
      <c r="O20" s="3000"/>
      <c r="P20" s="3389"/>
      <c r="Q20" s="1538"/>
      <c r="R20" s="714"/>
      <c r="S20" s="715"/>
      <c r="T20" s="714"/>
      <c r="U20" s="715"/>
      <c r="V20" s="714"/>
      <c r="W20" s="715"/>
      <c r="X20" s="1541"/>
      <c r="Y20" s="3389"/>
      <c r="Z20" s="1542"/>
      <c r="AA20" s="1539">
        <v>1</v>
      </c>
      <c r="AB20" s="1539">
        <v>1</v>
      </c>
      <c r="AC20" s="1539">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95</v>
      </c>
      <c r="K21" s="629">
        <v>5</v>
      </c>
      <c r="L21" s="2948"/>
      <c r="M21" s="2942"/>
      <c r="N21" s="2942"/>
      <c r="O21" s="3000"/>
      <c r="P21" s="3389"/>
      <c r="Q21" s="1538" t="str">
        <f>B21</f>
        <v>交通便捷度</v>
      </c>
      <c r="R21" s="714" t="s">
        <v>17</v>
      </c>
      <c r="S21" s="715">
        <f>F21</f>
        <v>100</v>
      </c>
      <c r="T21" s="714" t="s">
        <v>17</v>
      </c>
      <c r="U21" s="715">
        <f>H21</f>
        <v>100</v>
      </c>
      <c r="V21" s="714" t="s">
        <v>17</v>
      </c>
      <c r="W21" s="715">
        <f>J21</f>
        <v>95</v>
      </c>
      <c r="X21" s="1541"/>
      <c r="Y21" s="3389"/>
      <c r="Z21" s="1542" t="str">
        <f>Q21</f>
        <v>交通便捷度</v>
      </c>
      <c r="AA21" s="1539">
        <f t="shared" si="3"/>
        <v>1</v>
      </c>
      <c r="AB21" s="1539">
        <f t="shared" si="4"/>
        <v>1</v>
      </c>
      <c r="AC21" s="1539">
        <f t="shared" si="5"/>
        <v>1.0526315789473684</v>
      </c>
    </row>
    <row r="22" spans="1:29" ht="15">
      <c r="A22" s="387"/>
      <c r="B22" s="1293"/>
      <c r="C22" s="406" t="s">
        <v>3520</v>
      </c>
      <c r="D22" s="409"/>
      <c r="E22" s="406" t="s">
        <v>3520</v>
      </c>
      <c r="F22" s="407"/>
      <c r="G22" s="406" t="s">
        <v>3520</v>
      </c>
      <c r="H22" s="407"/>
      <c r="I22" s="2084" t="s">
        <v>3521</v>
      </c>
      <c r="J22" s="407"/>
      <c r="K22" s="628"/>
      <c r="L22" s="2948"/>
      <c r="M22" s="2942"/>
      <c r="N22" s="2942"/>
      <c r="O22" s="3000"/>
      <c r="P22" s="3389"/>
      <c r="Q22" s="1538"/>
      <c r="R22" s="714"/>
      <c r="S22" s="715"/>
      <c r="T22" s="714"/>
      <c r="U22" s="715"/>
      <c r="V22" s="714"/>
      <c r="W22" s="715"/>
      <c r="X22" s="1541"/>
      <c r="Y22" s="3389"/>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98</v>
      </c>
      <c r="K23" s="629">
        <v>2</v>
      </c>
      <c r="L23" s="2948"/>
      <c r="M23" s="2942"/>
      <c r="N23" s="2942"/>
      <c r="O23" s="3000"/>
      <c r="P23" s="3389"/>
      <c r="Q23" s="1538" t="str">
        <f t="shared" ref="Q23:Q37" si="8">B23</f>
        <v>区域土地利用方向</v>
      </c>
      <c r="R23" s="714" t="s">
        <v>17</v>
      </c>
      <c r="S23" s="715">
        <f>F23</f>
        <v>100</v>
      </c>
      <c r="T23" s="714" t="s">
        <v>17</v>
      </c>
      <c r="U23" s="715">
        <f>H23</f>
        <v>100</v>
      </c>
      <c r="V23" s="714" t="s">
        <v>17</v>
      </c>
      <c r="W23" s="715">
        <f>J23</f>
        <v>98</v>
      </c>
      <c r="X23" s="1541"/>
      <c r="Y23" s="3389"/>
      <c r="Z23" s="1542" t="str">
        <f>Q23</f>
        <v>区域土地利用方向</v>
      </c>
      <c r="AA23" s="1539">
        <f t="shared" si="3"/>
        <v>1</v>
      </c>
      <c r="AB23" s="1539">
        <f t="shared" si="4"/>
        <v>1</v>
      </c>
      <c r="AC23" s="1539">
        <f t="shared" si="5"/>
        <v>1.0204081632653061</v>
      </c>
    </row>
    <row r="24" spans="1:29" ht="15">
      <c r="A24" s="364"/>
      <c r="B24" s="415"/>
      <c r="C24" s="573" t="s">
        <v>3521</v>
      </c>
      <c r="D24" s="407"/>
      <c r="E24" s="573" t="s">
        <v>3521</v>
      </c>
      <c r="F24" s="407"/>
      <c r="G24" s="573" t="s">
        <v>3521</v>
      </c>
      <c r="H24" s="407"/>
      <c r="I24" s="573" t="s">
        <v>3522</v>
      </c>
      <c r="J24" s="407"/>
      <c r="K24" s="751"/>
      <c r="L24" s="2948"/>
      <c r="M24" s="2942"/>
      <c r="N24" s="2942"/>
      <c r="O24" s="3000"/>
      <c r="P24" s="3389"/>
      <c r="Q24" s="1538"/>
      <c r="R24" s="714"/>
      <c r="S24" s="715"/>
      <c r="T24" s="714"/>
      <c r="U24" s="715"/>
      <c r="V24" s="714"/>
      <c r="W24" s="715"/>
      <c r="X24" s="1541"/>
      <c r="Y24" s="3389"/>
      <c r="Z24" s="1542"/>
      <c r="AA24" s="1539"/>
      <c r="AB24" s="1539"/>
      <c r="AC24" s="1539"/>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95</v>
      </c>
      <c r="K25" s="629">
        <v>5</v>
      </c>
      <c r="L25" s="2948"/>
      <c r="M25" s="2942"/>
      <c r="N25" s="2942"/>
      <c r="O25" s="3000"/>
      <c r="P25" s="3389"/>
      <c r="Q25" s="1538" t="str">
        <f t="shared" si="8"/>
        <v>自然及人文环境状况</v>
      </c>
      <c r="R25" s="714" t="s">
        <v>17</v>
      </c>
      <c r="S25" s="715">
        <f>F25</f>
        <v>100</v>
      </c>
      <c r="T25" s="714" t="s">
        <v>17</v>
      </c>
      <c r="U25" s="715">
        <f>H25</f>
        <v>100</v>
      </c>
      <c r="V25" s="714" t="s">
        <v>17</v>
      </c>
      <c r="W25" s="715">
        <f>J25</f>
        <v>95</v>
      </c>
      <c r="X25" s="1541"/>
      <c r="Y25" s="3389"/>
      <c r="Z25" s="1542" t="str">
        <f>Q25</f>
        <v>自然及人文环境状况</v>
      </c>
      <c r="AA25" s="1539">
        <f t="shared" si="3"/>
        <v>1</v>
      </c>
      <c r="AB25" s="1539">
        <f t="shared" si="4"/>
        <v>1</v>
      </c>
      <c r="AC25" s="1539">
        <f t="shared" si="5"/>
        <v>1.0526315789473684</v>
      </c>
    </row>
    <row r="26" spans="1:29" ht="15">
      <c r="A26" s="364"/>
      <c r="B26" s="415"/>
      <c r="C26" s="406" t="s">
        <v>3520</v>
      </c>
      <c r="D26" s="407"/>
      <c r="E26" s="406" t="s">
        <v>3520</v>
      </c>
      <c r="F26" s="407"/>
      <c r="G26" s="406" t="s">
        <v>3520</v>
      </c>
      <c r="H26" s="407"/>
      <c r="I26" s="406" t="s">
        <v>3521</v>
      </c>
      <c r="J26" s="407"/>
      <c r="K26" s="628"/>
      <c r="L26" s="2948"/>
      <c r="M26" s="2942"/>
      <c r="N26" s="2942"/>
      <c r="O26" s="3000"/>
      <c r="P26" s="3389"/>
      <c r="Q26" s="1538"/>
      <c r="R26" s="714"/>
      <c r="S26" s="715"/>
      <c r="T26" s="714"/>
      <c r="U26" s="715"/>
      <c r="V26" s="714"/>
      <c r="W26" s="715"/>
      <c r="X26" s="1541"/>
      <c r="Y26" s="3389"/>
      <c r="Z26" s="1542"/>
      <c r="AA26" s="1539">
        <v>1</v>
      </c>
      <c r="AB26" s="1539">
        <v>1</v>
      </c>
      <c r="AC26" s="1539">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43"/>
      <c r="M27" s="2944"/>
      <c r="N27" s="2944"/>
      <c r="O27" s="2998"/>
      <c r="P27" s="3389"/>
      <c r="Q27" s="1529" t="str">
        <f t="shared" si="8"/>
        <v>公共配套设施</v>
      </c>
      <c r="R27" s="710" t="s">
        <v>17</v>
      </c>
      <c r="S27" s="711">
        <f>F27</f>
        <v>100</v>
      </c>
      <c r="T27" s="710" t="s">
        <v>17</v>
      </c>
      <c r="U27" s="711">
        <f>H27</f>
        <v>100</v>
      </c>
      <c r="V27" s="710" t="s">
        <v>17</v>
      </c>
      <c r="W27" s="711">
        <f>J27</f>
        <v>95</v>
      </c>
      <c r="X27" s="712"/>
      <c r="Y27" s="3389"/>
      <c r="Z27" s="55" t="str">
        <f>Q27</f>
        <v>公共配套设施</v>
      </c>
      <c r="AA27" s="1539">
        <f>D27/F27</f>
        <v>1</v>
      </c>
      <c r="AB27" s="1539">
        <f>D27/H27</f>
        <v>1</v>
      </c>
      <c r="AC27" s="1539">
        <f>D27/J27</f>
        <v>1.0526315789473684</v>
      </c>
    </row>
    <row r="28" spans="1:29" s="113" customFormat="1" ht="15">
      <c r="A28" s="605"/>
      <c r="B28" s="415"/>
      <c r="C28" s="2164" t="s">
        <v>3520</v>
      </c>
      <c r="D28" s="407"/>
      <c r="E28" s="2164" t="s">
        <v>3520</v>
      </c>
      <c r="F28" s="407"/>
      <c r="G28" s="2164" t="s">
        <v>3520</v>
      </c>
      <c r="H28" s="407"/>
      <c r="I28" s="406" t="s">
        <v>3521</v>
      </c>
      <c r="J28" s="407"/>
      <c r="K28" s="628"/>
      <c r="L28" s="2943"/>
      <c r="M28" s="2944"/>
      <c r="N28" s="2944"/>
      <c r="O28" s="2998"/>
      <c r="P28" s="3389"/>
      <c r="Q28" s="1529"/>
      <c r="R28" s="710"/>
      <c r="S28" s="711"/>
      <c r="T28" s="710"/>
      <c r="U28" s="711"/>
      <c r="V28" s="710"/>
      <c r="W28" s="711"/>
      <c r="X28" s="712"/>
      <c r="Y28" s="3389"/>
      <c r="Z28" s="55"/>
      <c r="AA28" s="1539">
        <v>1</v>
      </c>
      <c r="AB28" s="1539">
        <v>1</v>
      </c>
      <c r="AC28" s="1539">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3"/>
      <c r="M29" s="2944"/>
      <c r="N29" s="2944"/>
      <c r="O29" s="2998"/>
      <c r="P29" s="3389"/>
      <c r="Q29" s="1529" t="str">
        <f>B29</f>
        <v>基础设施水平</v>
      </c>
      <c r="R29" s="710" t="s">
        <v>17</v>
      </c>
      <c r="S29" s="711">
        <f>F29</f>
        <v>100</v>
      </c>
      <c r="T29" s="710" t="s">
        <v>17</v>
      </c>
      <c r="U29" s="711">
        <f>H29</f>
        <v>100</v>
      </c>
      <c r="V29" s="710" t="s">
        <v>17</v>
      </c>
      <c r="W29" s="711">
        <f>J29</f>
        <v>100</v>
      </c>
      <c r="X29" s="712"/>
      <c r="Y29" s="3389"/>
      <c r="Z29" s="55" t="str">
        <f>Q29</f>
        <v>基础设施水平</v>
      </c>
      <c r="AA29" s="1539">
        <f>D29/F29</f>
        <v>1</v>
      </c>
      <c r="AB29" s="1539">
        <f>D29/H29</f>
        <v>1</v>
      </c>
      <c r="AC29" s="1539">
        <f>D29/J29</f>
        <v>1</v>
      </c>
    </row>
    <row r="30" spans="1:29" s="113" customFormat="1" ht="15.75" thickBot="1">
      <c r="A30" s="605"/>
      <c r="B30" s="415"/>
      <c r="C30" s="2164" t="s">
        <v>3514</v>
      </c>
      <c r="D30" s="407"/>
      <c r="E30" s="2164" t="s">
        <v>3514</v>
      </c>
      <c r="F30" s="407"/>
      <c r="G30" s="2164" t="s">
        <v>3514</v>
      </c>
      <c r="H30" s="407"/>
      <c r="I30" s="2164" t="s">
        <v>3514</v>
      </c>
      <c r="J30" s="407"/>
      <c r="K30" s="628"/>
      <c r="L30" s="2943"/>
      <c r="M30" s="2944"/>
      <c r="N30" s="2944"/>
      <c r="O30" s="2998"/>
      <c r="P30" s="3389"/>
      <c r="Q30" s="1529"/>
      <c r="R30" s="710"/>
      <c r="S30" s="711"/>
      <c r="T30" s="710"/>
      <c r="U30" s="711"/>
      <c r="V30" s="710"/>
      <c r="W30" s="711"/>
      <c r="X30" s="712"/>
      <c r="Y30" s="3389"/>
      <c r="Z30" s="55"/>
      <c r="AA30" s="1539">
        <v>1</v>
      </c>
      <c r="AB30" s="1539">
        <v>1</v>
      </c>
      <c r="AC30" s="1539">
        <v>1</v>
      </c>
    </row>
    <row r="31" spans="1:29" ht="15.75" hidden="1" thickBot="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89"/>
      <c r="Q31" s="1538" t="str">
        <f t="shared" si="8"/>
        <v>临街状况</v>
      </c>
      <c r="R31" s="714" t="s">
        <v>17</v>
      </c>
      <c r="S31" s="715">
        <f t="shared" ref="S31:S45" si="9">F31</f>
        <v>100</v>
      </c>
      <c r="T31" s="714" t="s">
        <v>17</v>
      </c>
      <c r="U31" s="715">
        <f t="shared" ref="U31:U45" si="10">H31</f>
        <v>100</v>
      </c>
      <c r="V31" s="714" t="s">
        <v>17</v>
      </c>
      <c r="W31" s="715">
        <f t="shared" ref="W31:W45" si="11">J31</f>
        <v>100</v>
      </c>
      <c r="X31" s="1541"/>
      <c r="Y31" s="3389"/>
      <c r="Z31" s="1542" t="str">
        <f t="shared" ref="Z31:Z45" si="12">Q31</f>
        <v>临街状况</v>
      </c>
      <c r="AA31" s="1539">
        <f t="shared" si="3"/>
        <v>1</v>
      </c>
      <c r="AB31" s="1539">
        <f t="shared" si="4"/>
        <v>1</v>
      </c>
      <c r="AC31" s="1539">
        <f t="shared" si="5"/>
        <v>1</v>
      </c>
    </row>
    <row r="32" spans="1:29" ht="27"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89"/>
      <c r="Q32" s="1538" t="str">
        <f t="shared" si="8"/>
        <v>毗邻道路的类型与等级</v>
      </c>
      <c r="R32" s="714" t="s">
        <v>17</v>
      </c>
      <c r="S32" s="715">
        <f t="shared" si="9"/>
        <v>100</v>
      </c>
      <c r="T32" s="714" t="s">
        <v>17</v>
      </c>
      <c r="U32" s="715">
        <f t="shared" si="10"/>
        <v>100</v>
      </c>
      <c r="V32" s="714" t="s">
        <v>17</v>
      </c>
      <c r="W32" s="715">
        <f t="shared" si="11"/>
        <v>100</v>
      </c>
      <c r="X32" s="1541"/>
      <c r="Y32" s="3389"/>
      <c r="Z32" s="1542" t="str">
        <f t="shared" si="12"/>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48"/>
      <c r="M33" s="2942"/>
      <c r="N33" s="2942"/>
      <c r="O33" s="3000"/>
      <c r="P33" s="3389"/>
      <c r="Q33" s="1538"/>
      <c r="R33" s="714"/>
      <c r="S33" s="715"/>
      <c r="T33" s="714"/>
      <c r="U33" s="715"/>
      <c r="V33" s="714"/>
      <c r="W33" s="715"/>
      <c r="X33" s="1541"/>
      <c r="Y33" s="3389"/>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89"/>
      <c r="Q34" s="1538" t="str">
        <f t="shared" si="8"/>
        <v>土地级别</v>
      </c>
      <c r="R34" s="714" t="s">
        <v>17</v>
      </c>
      <c r="S34" s="715">
        <f t="shared" si="9"/>
        <v>100</v>
      </c>
      <c r="T34" s="714" t="s">
        <v>17</v>
      </c>
      <c r="U34" s="715">
        <f t="shared" si="10"/>
        <v>100</v>
      </c>
      <c r="V34" s="714" t="s">
        <v>17</v>
      </c>
      <c r="W34" s="715">
        <f t="shared" si="11"/>
        <v>100</v>
      </c>
      <c r="X34" s="1541"/>
      <c r="Y34" s="3389"/>
      <c r="Z34" s="1542" t="str">
        <f t="shared" si="12"/>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89"/>
      <c r="Q35" s="1538">
        <f t="shared" si="8"/>
        <v>111</v>
      </c>
      <c r="R35" s="714" t="s">
        <v>17</v>
      </c>
      <c r="S35" s="715">
        <f t="shared" si="9"/>
        <v>100</v>
      </c>
      <c r="T35" s="714" t="s">
        <v>17</v>
      </c>
      <c r="U35" s="715">
        <f t="shared" si="10"/>
        <v>100</v>
      </c>
      <c r="V35" s="714" t="s">
        <v>17</v>
      </c>
      <c r="W35" s="715">
        <f t="shared" si="11"/>
        <v>100</v>
      </c>
      <c r="X35" s="1541"/>
      <c r="Y35" s="3389"/>
      <c r="Z35" s="1542">
        <f t="shared" si="12"/>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17" t="s">
        <v>2384</v>
      </c>
      <c r="Q36" s="1538">
        <f t="shared" si="8"/>
        <v>111</v>
      </c>
      <c r="R36" s="714" t="s">
        <v>17</v>
      </c>
      <c r="S36" s="715">
        <f t="shared" si="9"/>
        <v>100</v>
      </c>
      <c r="T36" s="714" t="s">
        <v>17</v>
      </c>
      <c r="U36" s="715">
        <f t="shared" si="10"/>
        <v>100</v>
      </c>
      <c r="V36" s="714" t="s">
        <v>17</v>
      </c>
      <c r="W36" s="715">
        <f t="shared" si="11"/>
        <v>100</v>
      </c>
      <c r="X36" s="1541"/>
      <c r="Y36" s="3393" t="s">
        <v>2384</v>
      </c>
      <c r="Z36" s="1542">
        <f t="shared" si="12"/>
        <v>111</v>
      </c>
      <c r="AA36" s="1539">
        <f t="shared" si="3"/>
        <v>1</v>
      </c>
      <c r="AB36" s="1539">
        <f t="shared" si="4"/>
        <v>1</v>
      </c>
      <c r="AC36" s="1539">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93"/>
      <c r="Q37" s="1538">
        <f t="shared" si="8"/>
        <v>111</v>
      </c>
      <c r="R37" s="717" t="s">
        <v>17</v>
      </c>
      <c r="S37" s="718">
        <f t="shared" si="9"/>
        <v>100</v>
      </c>
      <c r="T37" s="717" t="s">
        <v>17</v>
      </c>
      <c r="U37" s="718">
        <f t="shared" si="10"/>
        <v>100</v>
      </c>
      <c r="V37" s="717" t="s">
        <v>17</v>
      </c>
      <c r="W37" s="718">
        <f t="shared" si="11"/>
        <v>100</v>
      </c>
      <c r="X37" s="719"/>
      <c r="Y37" s="3393"/>
      <c r="Z37" s="720">
        <f t="shared" si="12"/>
        <v>111</v>
      </c>
      <c r="AA37" s="1539">
        <f t="shared" si="3"/>
        <v>1</v>
      </c>
      <c r="AB37" s="1539">
        <f t="shared" si="4"/>
        <v>1</v>
      </c>
      <c r="AC37" s="1539">
        <f t="shared" si="5"/>
        <v>1</v>
      </c>
    </row>
    <row r="38" spans="1:29" ht="15">
      <c r="A38" s="431" t="s">
        <v>2382</v>
      </c>
      <c r="B38" s="415" t="s">
        <v>2569</v>
      </c>
      <c r="C38" s="635">
        <f>'数据-基础表'!A3</f>
        <v>45129.79</v>
      </c>
      <c r="D38" s="426">
        <v>100</v>
      </c>
      <c r="E38" s="635">
        <f>土地案例!J13</f>
        <v>3267.11</v>
      </c>
      <c r="F38" s="426">
        <f>LOOKUP(E38,117:117,118:118)-LOOKUP(C38,117:117,118:118)+100</f>
        <v>100</v>
      </c>
      <c r="G38" s="635">
        <f>土地案例!J42</f>
        <v>29997.26</v>
      </c>
      <c r="H38" s="426">
        <f>LOOKUP(G38,117:117,118:118)-LOOKUP(C38,117:117,118:118)+100</f>
        <v>100</v>
      </c>
      <c r="I38" s="487">
        <f>土地案例!J52</f>
        <v>67120.710000000006</v>
      </c>
      <c r="J38" s="426">
        <f>LOOKUP(I38,117:117,118:118)-LOOKUP(C38,117:117,118:118)+100</f>
        <v>102</v>
      </c>
      <c r="K38" s="570"/>
      <c r="L38" s="2948"/>
      <c r="M38" s="2942"/>
      <c r="N38" s="2942"/>
      <c r="O38" s="3000"/>
      <c r="P38" s="3393"/>
      <c r="Q38" s="1538" t="str">
        <f>B38</f>
        <v>宗地面积</v>
      </c>
      <c r="R38" s="714" t="s">
        <v>17</v>
      </c>
      <c r="S38" s="715">
        <f t="shared" si="9"/>
        <v>100</v>
      </c>
      <c r="T38" s="714" t="s">
        <v>17</v>
      </c>
      <c r="U38" s="715">
        <f t="shared" si="10"/>
        <v>100</v>
      </c>
      <c r="V38" s="714" t="s">
        <v>17</v>
      </c>
      <c r="W38" s="715">
        <f t="shared" si="11"/>
        <v>102</v>
      </c>
      <c r="X38" s="1541"/>
      <c r="Y38" s="3393"/>
      <c r="Z38" s="1542" t="str">
        <f t="shared" si="12"/>
        <v>宗地面积</v>
      </c>
      <c r="AA38" s="1539">
        <f t="shared" si="3"/>
        <v>1</v>
      </c>
      <c r="AB38" s="1539">
        <f t="shared" si="4"/>
        <v>1</v>
      </c>
      <c r="AC38" s="1539">
        <f t="shared" si="5"/>
        <v>0.98039215686274506</v>
      </c>
    </row>
    <row r="39" spans="1:29" ht="15">
      <c r="A39" s="431"/>
      <c r="B39" s="381" t="s">
        <v>2570</v>
      </c>
      <c r="C39" s="2093" t="s">
        <v>3526</v>
      </c>
      <c r="D39" s="394">
        <v>100</v>
      </c>
      <c r="E39" s="2093" t="s">
        <v>3524</v>
      </c>
      <c r="F39" s="394">
        <f>SUMIF(119:119,E39,120:120)-SUMIF(119:119,C39,120:120)+100</f>
        <v>102</v>
      </c>
      <c r="G39" s="2093" t="s">
        <v>3528</v>
      </c>
      <c r="H39" s="394">
        <f>SUMIF(119:119,G39,120:120)-SUMIF(119:119,C39,120:120)+100</f>
        <v>98</v>
      </c>
      <c r="I39" s="2093" t="s">
        <v>3524</v>
      </c>
      <c r="J39" s="394">
        <f>SUMIF(119:119,I39,120:120)-SUMIF(119:119,C39,120:120)+100</f>
        <v>102</v>
      </c>
      <c r="K39" s="569">
        <v>2</v>
      </c>
      <c r="L39" s="2948"/>
      <c r="M39" s="2942"/>
      <c r="N39" s="2942"/>
      <c r="O39" s="3000"/>
      <c r="P39" s="3393"/>
      <c r="Q39" s="1538" t="str">
        <f t="shared" ref="Q39:Q45" si="13">B39</f>
        <v>宗地形状</v>
      </c>
      <c r="R39" s="714" t="s">
        <v>17</v>
      </c>
      <c r="S39" s="715">
        <f t="shared" si="9"/>
        <v>102</v>
      </c>
      <c r="T39" s="714" t="s">
        <v>17</v>
      </c>
      <c r="U39" s="715">
        <f t="shared" si="10"/>
        <v>98</v>
      </c>
      <c r="V39" s="714" t="s">
        <v>17</v>
      </c>
      <c r="W39" s="715">
        <f t="shared" si="11"/>
        <v>102</v>
      </c>
      <c r="X39" s="1541"/>
      <c r="Y39" s="3393"/>
      <c r="Z39" s="1542" t="str">
        <f t="shared" si="12"/>
        <v>宗地形状</v>
      </c>
      <c r="AA39" s="1539">
        <f t="shared" si="3"/>
        <v>0.98039215686274506</v>
      </c>
      <c r="AB39" s="1539">
        <f t="shared" si="4"/>
        <v>1.0204081632653061</v>
      </c>
      <c r="AC39" s="1539">
        <f t="shared" si="5"/>
        <v>0.98039215686274506</v>
      </c>
    </row>
    <row r="40" spans="1:29" ht="15">
      <c r="A40" s="431"/>
      <c r="B40" s="381" t="s">
        <v>2571</v>
      </c>
      <c r="C40" s="2093" t="s">
        <v>3520</v>
      </c>
      <c r="D40" s="394">
        <v>100</v>
      </c>
      <c r="E40" s="2093" t="s">
        <v>3520</v>
      </c>
      <c r="F40" s="394">
        <f>SUMIF(121:121,E40,122:122)-SUMIF(121:121,C40,122:122)+100</f>
        <v>100</v>
      </c>
      <c r="G40" s="2093" t="s">
        <v>3520</v>
      </c>
      <c r="H40" s="394">
        <f>SUMIF(121:121,G40,122:122)-SUMIF(121:121,C40,122:122)+100</f>
        <v>100</v>
      </c>
      <c r="I40" s="2093" t="s">
        <v>3520</v>
      </c>
      <c r="J40" s="394">
        <f>SUMIF(121:121,I40,122:122)-SUMIF(121:121,C40,122:122)+100</f>
        <v>100</v>
      </c>
      <c r="K40" s="569">
        <v>2</v>
      </c>
      <c r="L40" s="2948"/>
      <c r="M40" s="2942"/>
      <c r="N40" s="2942"/>
      <c r="O40" s="3000"/>
      <c r="P40" s="3393"/>
      <c r="Q40" s="1538" t="str">
        <f t="shared" si="13"/>
        <v>临街宽度及深度</v>
      </c>
      <c r="R40" s="714" t="s">
        <v>17</v>
      </c>
      <c r="S40" s="715">
        <f t="shared" si="9"/>
        <v>100</v>
      </c>
      <c r="T40" s="714" t="s">
        <v>17</v>
      </c>
      <c r="U40" s="715">
        <f t="shared" si="10"/>
        <v>100</v>
      </c>
      <c r="V40" s="714" t="s">
        <v>17</v>
      </c>
      <c r="W40" s="715">
        <f t="shared" si="11"/>
        <v>100</v>
      </c>
      <c r="X40" s="1541"/>
      <c r="Y40" s="3393"/>
      <c r="Z40" s="1542" t="str">
        <f t="shared" si="12"/>
        <v>临街宽度及深度</v>
      </c>
      <c r="AA40" s="1539">
        <f t="shared" si="3"/>
        <v>1</v>
      </c>
      <c r="AB40" s="1539">
        <f t="shared" si="4"/>
        <v>1</v>
      </c>
      <c r="AC40" s="1539">
        <f t="shared" si="5"/>
        <v>1</v>
      </c>
    </row>
    <row r="41" spans="1:29" s="113" customFormat="1" ht="15">
      <c r="A41" s="432"/>
      <c r="B41" s="381" t="s">
        <v>2572</v>
      </c>
      <c r="C41" s="2166" t="s">
        <v>3514</v>
      </c>
      <c r="D41" s="132">
        <v>100</v>
      </c>
      <c r="E41" s="2166" t="s">
        <v>3514</v>
      </c>
      <c r="F41" s="394">
        <f>SUMIF(123:123,E41,124:124)-SUMIF(123:123,C41,124:124)+100</f>
        <v>100</v>
      </c>
      <c r="G41" s="2166" t="s">
        <v>3514</v>
      </c>
      <c r="H41" s="394">
        <f>SUMIF(123:123,G41,124:124)-SUMIF(123:123,C41,124:124)+100</f>
        <v>100</v>
      </c>
      <c r="I41" s="2166" t="s">
        <v>3514</v>
      </c>
      <c r="J41" s="394">
        <f>SUMIF(123:123,I41,124:124)-SUMIF(123:123,C41,124:124)+100</f>
        <v>100</v>
      </c>
      <c r="K41" s="569">
        <v>2</v>
      </c>
      <c r="L41" s="2943"/>
      <c r="M41" s="2944"/>
      <c r="N41" s="2944"/>
      <c r="O41" s="2998"/>
      <c r="P41" s="3393"/>
      <c r="Q41" s="1538" t="str">
        <f t="shared" si="13"/>
        <v>宗地开发程度</v>
      </c>
      <c r="R41" s="710" t="s">
        <v>17</v>
      </c>
      <c r="S41" s="711">
        <f t="shared" si="9"/>
        <v>100</v>
      </c>
      <c r="T41" s="710" t="s">
        <v>17</v>
      </c>
      <c r="U41" s="711">
        <f t="shared" si="10"/>
        <v>100</v>
      </c>
      <c r="V41" s="710" t="s">
        <v>17</v>
      </c>
      <c r="W41" s="711">
        <f t="shared" si="11"/>
        <v>100</v>
      </c>
      <c r="X41" s="712"/>
      <c r="Y41" s="3393"/>
      <c r="Z41" s="55" t="str">
        <f t="shared" si="12"/>
        <v>宗地开发程度</v>
      </c>
      <c r="AA41" s="713">
        <f t="shared" si="3"/>
        <v>1</v>
      </c>
      <c r="AB41" s="713">
        <f t="shared" si="4"/>
        <v>1</v>
      </c>
      <c r="AC41" s="713">
        <f t="shared" si="5"/>
        <v>1</v>
      </c>
    </row>
    <row r="42" spans="1:29" ht="15.75" thickBot="1">
      <c r="A42" s="431"/>
      <c r="B42" s="381" t="s">
        <v>2573</v>
      </c>
      <c r="C42" s="2093" t="s">
        <v>3520</v>
      </c>
      <c r="D42" s="394">
        <v>100</v>
      </c>
      <c r="E42" s="2093" t="s">
        <v>3520</v>
      </c>
      <c r="F42" s="394">
        <f>SUMIF(125:125,E42,126:126)-SUMIF(125:125,C42,126:126)+100</f>
        <v>100</v>
      </c>
      <c r="G42" s="2093" t="s">
        <v>3520</v>
      </c>
      <c r="H42" s="394">
        <f>SUMIF(125:125,G42,126:126)-SUMIF(125:125,C42,126:126)+100</f>
        <v>100</v>
      </c>
      <c r="I42" s="2093" t="s">
        <v>3520</v>
      </c>
      <c r="J42" s="394">
        <f>SUMIF(125:125,I42,126:126)-SUMIF(125:125,C42,126:126)+100</f>
        <v>100</v>
      </c>
      <c r="K42" s="569">
        <v>2</v>
      </c>
      <c r="L42" s="2948"/>
      <c r="M42" s="2942"/>
      <c r="N42" s="2942"/>
      <c r="O42" s="3000"/>
      <c r="P42" s="3393" t="s">
        <v>2384</v>
      </c>
      <c r="Q42" s="1538" t="str">
        <f t="shared" si="13"/>
        <v>工程地质条件</v>
      </c>
      <c r="R42" s="714" t="s">
        <v>17</v>
      </c>
      <c r="S42" s="715">
        <f t="shared" si="9"/>
        <v>100</v>
      </c>
      <c r="T42" s="714" t="s">
        <v>17</v>
      </c>
      <c r="U42" s="715">
        <f t="shared" si="10"/>
        <v>100</v>
      </c>
      <c r="V42" s="714" t="s">
        <v>17</v>
      </c>
      <c r="W42" s="715">
        <f t="shared" si="11"/>
        <v>100</v>
      </c>
      <c r="X42" s="1541"/>
      <c r="Y42" s="3393" t="s">
        <v>2384</v>
      </c>
      <c r="Z42" s="1542" t="str">
        <f t="shared" si="12"/>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93"/>
      <c r="Q43" s="1538">
        <f t="shared" si="13"/>
        <v>111</v>
      </c>
      <c r="R43" s="714" t="s">
        <v>17</v>
      </c>
      <c r="S43" s="715">
        <f t="shared" si="9"/>
        <v>100</v>
      </c>
      <c r="T43" s="714" t="s">
        <v>17</v>
      </c>
      <c r="U43" s="715">
        <f t="shared" si="10"/>
        <v>100</v>
      </c>
      <c r="V43" s="714" t="s">
        <v>17</v>
      </c>
      <c r="W43" s="715">
        <f t="shared" si="11"/>
        <v>100</v>
      </c>
      <c r="X43" s="1541"/>
      <c r="Y43" s="3393"/>
      <c r="Z43" s="1542">
        <f t="shared" si="12"/>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93"/>
      <c r="Q44" s="1538">
        <f t="shared" si="13"/>
        <v>111</v>
      </c>
      <c r="R44" s="714" t="s">
        <v>17</v>
      </c>
      <c r="S44" s="715">
        <f t="shared" si="9"/>
        <v>100</v>
      </c>
      <c r="T44" s="714" t="s">
        <v>17</v>
      </c>
      <c r="U44" s="715">
        <f t="shared" si="10"/>
        <v>100</v>
      </c>
      <c r="V44" s="714" t="s">
        <v>17</v>
      </c>
      <c r="W44" s="715">
        <f t="shared" si="11"/>
        <v>100</v>
      </c>
      <c r="X44" s="1541"/>
      <c r="Y44" s="3393"/>
      <c r="Z44" s="1542">
        <f t="shared" si="12"/>
        <v>111</v>
      </c>
      <c r="AA44" s="1539">
        <f t="shared" si="3"/>
        <v>1</v>
      </c>
      <c r="AB44" s="1539">
        <f t="shared" si="4"/>
        <v>1</v>
      </c>
      <c r="AC44" s="1539">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93"/>
      <c r="Q45" s="1538">
        <f t="shared" si="13"/>
        <v>111</v>
      </c>
      <c r="R45" s="717" t="s">
        <v>17</v>
      </c>
      <c r="S45" s="718">
        <f t="shared" si="9"/>
        <v>100</v>
      </c>
      <c r="T45" s="717" t="s">
        <v>17</v>
      </c>
      <c r="U45" s="718">
        <f t="shared" si="10"/>
        <v>100</v>
      </c>
      <c r="V45" s="717" t="s">
        <v>17</v>
      </c>
      <c r="W45" s="718">
        <f t="shared" si="11"/>
        <v>100</v>
      </c>
      <c r="X45" s="719"/>
      <c r="Y45" s="3393"/>
      <c r="Z45" s="720">
        <f t="shared" si="12"/>
        <v>111</v>
      </c>
      <c r="AA45" s="1539">
        <f t="shared" si="3"/>
        <v>1</v>
      </c>
      <c r="AB45" s="1539">
        <f t="shared" si="4"/>
        <v>1</v>
      </c>
      <c r="AC45" s="1539">
        <f t="shared" si="5"/>
        <v>1</v>
      </c>
    </row>
    <row r="46" spans="1:29" ht="15">
      <c r="A46" s="438" t="s">
        <v>2539</v>
      </c>
      <c r="B46" s="2168" t="s">
        <v>2574</v>
      </c>
      <c r="C46" s="638" t="s">
        <v>1</v>
      </c>
      <c r="D46" s="440"/>
      <c r="E46" s="441">
        <f>ROUND(土地案例!AL13,0)</f>
        <v>5054</v>
      </c>
      <c r="F46" s="442"/>
      <c r="G46" s="443">
        <f>ROUND(土地案例!AL42,0)</f>
        <v>4950</v>
      </c>
      <c r="H46" s="444"/>
      <c r="I46" s="441">
        <f>ROUND(土地案例!AL52,0)</f>
        <v>3980</v>
      </c>
      <c r="J46" s="444"/>
      <c r="K46" s="723"/>
      <c r="L46" s="2950"/>
      <c r="M46" s="2951"/>
      <c r="N46" s="2942"/>
      <c r="O46" s="2951"/>
      <c r="P46" s="3386" t="str">
        <f>A46</f>
        <v>成交单价</v>
      </c>
      <c r="Q46" s="3386"/>
      <c r="R46" s="3381">
        <f>E46</f>
        <v>5054</v>
      </c>
      <c r="S46" s="3381"/>
      <c r="T46" s="3381">
        <f>G46</f>
        <v>4950</v>
      </c>
      <c r="U46" s="3381"/>
      <c r="V46" s="3381">
        <f>I46</f>
        <v>3980</v>
      </c>
      <c r="W46" s="3381"/>
      <c r="X46" s="699"/>
      <c r="Y46" s="721"/>
      <c r="Z46" s="699"/>
      <c r="AA46" s="699"/>
      <c r="AB46" s="699"/>
      <c r="AC46" s="699"/>
    </row>
    <row r="47" spans="1:29" ht="15.75" thickBot="1">
      <c r="A47" s="445" t="s">
        <v>2488</v>
      </c>
      <c r="B47" s="639"/>
      <c r="C47" s="448">
        <f>R48</f>
        <v>4836</v>
      </c>
      <c r="D47" s="2538" t="s">
        <v>2873</v>
      </c>
      <c r="E47" s="448">
        <f>R47</f>
        <v>5056</v>
      </c>
      <c r="F47" s="2539"/>
      <c r="G47" s="447">
        <f>T47</f>
        <v>4758</v>
      </c>
      <c r="H47" s="2539"/>
      <c r="I47" s="448">
        <f>V47</f>
        <v>4693</v>
      </c>
      <c r="J47" s="2539"/>
      <c r="K47" s="2541">
        <f>F47+H47+J47</f>
        <v>0</v>
      </c>
      <c r="L47" s="2950"/>
      <c r="M47" s="2951"/>
      <c r="N47" s="2951"/>
      <c r="O47" s="2951"/>
      <c r="P47" s="3386" t="str">
        <f>A47</f>
        <v>比较价值（元/平方米）</v>
      </c>
      <c r="Q47" s="3386"/>
      <c r="R47" s="3419">
        <f>ROUND(PRODUCT(R46,AA7:AA45),0)</f>
        <v>5056</v>
      </c>
      <c r="S47" s="3419"/>
      <c r="T47" s="3419">
        <f>ROUND(PRODUCT(T46,AB7:AB45),0)</f>
        <v>4758</v>
      </c>
      <c r="U47" s="3419"/>
      <c r="V47" s="3419">
        <f>ROUND(PRODUCT(V46,AC7:AC45),0)</f>
        <v>4693</v>
      </c>
      <c r="W47" s="3419"/>
      <c r="X47" s="699"/>
      <c r="Y47" s="699"/>
      <c r="Z47" s="699"/>
      <c r="AA47" s="699"/>
      <c r="AB47" s="699"/>
      <c r="AC47" s="699"/>
    </row>
    <row r="48" spans="1:29" ht="15.75" thickBot="1">
      <c r="A48" s="449" t="s">
        <v>2575</v>
      </c>
      <c r="B48" s="450"/>
      <c r="C48" s="451">
        <f>R48</f>
        <v>4836</v>
      </c>
      <c r="D48" s="451"/>
      <c r="E48" s="451"/>
      <c r="F48" s="451"/>
      <c r="G48" s="451"/>
      <c r="H48" s="451"/>
      <c r="I48" s="451"/>
      <c r="J48" s="451"/>
      <c r="K48" s="724"/>
      <c r="L48" s="2950"/>
      <c r="M48" s="2951"/>
      <c r="N48" s="2951"/>
      <c r="O48" s="2951"/>
      <c r="P48" s="3383" t="str">
        <f>A48</f>
        <v>估价对象XX用房的比较价值（楼面单价，元/平方米）</v>
      </c>
      <c r="Q48" s="3384"/>
      <c r="R48" s="3420">
        <f>ROUND(IF(D47="简单平均",AVERAGE(R47:W47),R47*F47+T47*H47+V47*J47),0)</f>
        <v>4836</v>
      </c>
      <c r="S48" s="3420"/>
      <c r="T48" s="3420"/>
      <c r="U48" s="3420"/>
      <c r="V48" s="3420"/>
      <c r="W48" s="3420"/>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f>IF(E46&lt;E47,E47/E46-1,E46/E47-1)</f>
        <v>3.9572615749894346E-4</v>
      </c>
      <c r="F51" s="457" t="str">
        <f>IF(OR(E51&gt;=0.3,E51&lt;=-0.3),"超过30%","")</f>
        <v/>
      </c>
      <c r="G51" s="456">
        <f>IF(G46&lt;G47,G47/G46-1,G46/G47-1)</f>
        <v>4.035308953341743E-2</v>
      </c>
      <c r="H51" s="457" t="str">
        <f>IF(OR(G51&gt;=0.3,G51&lt;=-0.3),"超过30%","")</f>
        <v/>
      </c>
      <c r="I51" s="456">
        <f>IF(I46&lt;I47,I47/I46-1,I46/I47-1)</f>
        <v>0.1791457286432161</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f>IF(E47&lt;G47,G47/E47-1,E47/G47-1)</f>
        <v>6.2631357713324842E-2</v>
      </c>
      <c r="F52" s="457" t="str">
        <f>IF(OR(E52&gt;=0.2,E52&lt;=-0.2),"超过20%","")</f>
        <v/>
      </c>
      <c r="G52" s="456">
        <f>IF(G47&lt;I47,I47/G47-1,G47/I47-1)</f>
        <v>1.3850415512465464E-2</v>
      </c>
      <c r="H52" s="457" t="str">
        <f>IF(OR(G52&gt;=0.2,G52&lt;=-0.2),"超过20%","")</f>
        <v/>
      </c>
      <c r="I52" s="456">
        <f>IF(I47&lt;E47,E47/I47-1,I47/E47-1)</f>
        <v>7.7349243554229785E-2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f>IF(E46&lt;G46,G46/E46-1,E46/G46-1)</f>
        <v>2.1010101010100923E-2</v>
      </c>
      <c r="F53" s="457" t="str">
        <f>IF(OR(E53&gt;=0.3,E53&lt;=-0.3),"超过30%","")</f>
        <v/>
      </c>
      <c r="G53" s="456">
        <f>IF(G46&lt;I46,I46/G46-1,G46/I46-1)</f>
        <v>0.24371859296482401</v>
      </c>
      <c r="H53" s="457" t="str">
        <f>IF(OR(G53&gt;=0.3,G53&lt;=-0.3),"超过30%","")</f>
        <v/>
      </c>
      <c r="I53" s="456">
        <f>IF(I46&lt;E46,E46/I46-1,I46/E46-1)</f>
        <v>0.26984924623115569</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69" t="s">
        <v>2582</v>
      </c>
      <c r="H55" s="3421"/>
      <c r="I55" s="140" t="s">
        <v>2583</v>
      </c>
      <c r="J55" s="2171" t="str">
        <f>项目基本情况!F35</f>
        <v>云南省</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f>C48</f>
        <v>4836</v>
      </c>
      <c r="C56" s="646">
        <v>1</v>
      </c>
      <c r="D56" s="1075">
        <v>1</v>
      </c>
      <c r="E56" s="646">
        <f>'数据-汇总表'!E8+'数据-汇总表'!E9</f>
        <v>14226.250000000004</v>
      </c>
      <c r="F56" s="1017">
        <f t="shared" ref="F56:F65" si="14">ROUND(B56*E56/10000,0)</f>
        <v>6880</v>
      </c>
      <c r="G56" s="3368"/>
      <c r="H56" s="3386"/>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f>ROUND($C$48*C57*D57,0)</f>
        <v>0</v>
      </c>
      <c r="C57" s="176">
        <f t="shared" ref="C57:C65" si="15">IF($C$55="北京市系数",I57,J57)</f>
        <v>0</v>
      </c>
      <c r="D57" s="1076">
        <v>0.25</v>
      </c>
      <c r="E57" s="650"/>
      <c r="F57" s="1017">
        <f t="shared" si="14"/>
        <v>0</v>
      </c>
      <c r="G57" s="3422"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f t="shared" ref="B58:B65" si="16">ROUND($C$48*C58*D58,0)</f>
        <v>0</v>
      </c>
      <c r="C58" s="176">
        <f t="shared" si="15"/>
        <v>0</v>
      </c>
      <c r="D58" s="1076">
        <v>0.25</v>
      </c>
      <c r="E58" s="650"/>
      <c r="F58" s="1017">
        <f t="shared" si="14"/>
        <v>0</v>
      </c>
      <c r="G58" s="3422"/>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f t="shared" si="16"/>
        <v>0</v>
      </c>
      <c r="C59" s="176">
        <f t="shared" si="15"/>
        <v>0</v>
      </c>
      <c r="D59" s="1076">
        <v>0.25</v>
      </c>
      <c r="E59" s="650"/>
      <c r="F59" s="1017">
        <f t="shared" si="14"/>
        <v>0</v>
      </c>
      <c r="G59" s="3422"/>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f t="shared" si="16"/>
        <v>0</v>
      </c>
      <c r="C60" s="176">
        <f t="shared" si="15"/>
        <v>0</v>
      </c>
      <c r="D60" s="1076">
        <v>0.25</v>
      </c>
      <c r="E60" s="650"/>
      <c r="F60" s="1017">
        <f t="shared" si="14"/>
        <v>0</v>
      </c>
      <c r="G60" s="3422"/>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f t="shared" si="16"/>
        <v>0</v>
      </c>
      <c r="C61" s="176">
        <f t="shared" si="15"/>
        <v>0</v>
      </c>
      <c r="D61" s="1076">
        <v>0.25</v>
      </c>
      <c r="E61" s="223">
        <f>'数据-汇总表'!E11</f>
        <v>0</v>
      </c>
      <c r="F61" s="1017">
        <f t="shared" si="14"/>
        <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f t="shared" si="16"/>
        <v>0</v>
      </c>
      <c r="C62" s="176">
        <f t="shared" si="15"/>
        <v>0</v>
      </c>
      <c r="D62" s="1076">
        <v>0.25</v>
      </c>
      <c r="E62" s="223">
        <f>'数据-汇总表'!E12</f>
        <v>0</v>
      </c>
      <c r="F62" s="1017">
        <f t="shared" si="14"/>
        <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f t="shared" si="16"/>
        <v>0</v>
      </c>
      <c r="C63" s="176">
        <f t="shared" si="15"/>
        <v>0</v>
      </c>
      <c r="D63" s="1076">
        <v>0.25</v>
      </c>
      <c r="E63" s="223">
        <f>'数据-汇总表'!E13</f>
        <v>6234.45</v>
      </c>
      <c r="F63" s="1017">
        <f t="shared" si="14"/>
        <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f t="shared" si="16"/>
        <v>0</v>
      </c>
      <c r="C64" s="176">
        <f t="shared" si="15"/>
        <v>0</v>
      </c>
      <c r="D64" s="1076">
        <v>0.25</v>
      </c>
      <c r="E64" s="223">
        <f>'数据-汇总表'!E14</f>
        <v>0</v>
      </c>
      <c r="F64" s="1017">
        <f t="shared" si="14"/>
        <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f t="shared" si="16"/>
        <v>0</v>
      </c>
      <c r="C65" s="176">
        <f t="shared" si="15"/>
        <v>0</v>
      </c>
      <c r="D65" s="1076">
        <v>0.25</v>
      </c>
      <c r="E65" s="223">
        <f>'数据-汇总表'!E15</f>
        <v>0</v>
      </c>
      <c r="F65" s="1017">
        <f t="shared" si="14"/>
        <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20460.700000000004</v>
      </c>
      <c r="F66" s="653">
        <f>IF(B46="楼面地价",SUM(F56:F65),ROUND(C48*E66/10000,0))</f>
        <v>6880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7">EDATE(E68,-3)</f>
        <v>44013</v>
      </c>
      <c r="G68" s="701">
        <f t="shared" si="17"/>
        <v>43922</v>
      </c>
      <c r="H68" s="701">
        <f t="shared" si="17"/>
        <v>43831</v>
      </c>
      <c r="I68" s="701">
        <f t="shared" si="17"/>
        <v>43739</v>
      </c>
      <c r="J68" s="701">
        <f t="shared" si="17"/>
        <v>43647</v>
      </c>
      <c r="K68" s="701">
        <f t="shared" si="17"/>
        <v>43556</v>
      </c>
      <c r="L68" s="701">
        <f t="shared" si="17"/>
        <v>43466</v>
      </c>
      <c r="M68" s="701">
        <f t="shared" si="17"/>
        <v>43374</v>
      </c>
      <c r="N68" s="701">
        <f t="shared" si="17"/>
        <v>43282</v>
      </c>
      <c r="O68" s="701">
        <f t="shared" si="17"/>
        <v>43191</v>
      </c>
      <c r="P68" s="2951"/>
      <c r="Q68" s="2951"/>
      <c r="R68" s="2951"/>
      <c r="S68" s="2951"/>
      <c r="T68" s="2951"/>
      <c r="U68" s="2951"/>
      <c r="V68" s="2951"/>
      <c r="W68" s="2951"/>
      <c r="X68" s="2951"/>
      <c r="Y68" s="2951"/>
      <c r="Z68" s="2951"/>
      <c r="AA68" s="2951"/>
      <c r="AB68" s="2951"/>
      <c r="AC68" s="2951"/>
    </row>
    <row r="69" spans="1:29" ht="21.75"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2021-2</v>
      </c>
      <c r="D70" s="1344" t="str">
        <f>YEAR(D68)&amp;"-"&amp;ROUNDUP(MONTH(D68)/3,0)</f>
        <v>2021-1</v>
      </c>
      <c r="E70" s="1344" t="str">
        <f t="shared" ref="E70:O70" si="18">YEAR(E68)&amp;"-"&amp;ROUNDUP(MONTH(E68)/3,0)</f>
        <v>2020-4</v>
      </c>
      <c r="F70" s="1344" t="str">
        <f t="shared" si="18"/>
        <v>2020-3</v>
      </c>
      <c r="G70" s="1344" t="str">
        <f t="shared" si="18"/>
        <v>2020-2</v>
      </c>
      <c r="H70" s="1344" t="str">
        <f t="shared" si="18"/>
        <v>2020-1</v>
      </c>
      <c r="I70" s="1344" t="str">
        <f t="shared" si="18"/>
        <v>2019-4</v>
      </c>
      <c r="J70" s="1344" t="str">
        <f t="shared" si="18"/>
        <v>2019-3</v>
      </c>
      <c r="K70" s="1344" t="str">
        <f t="shared" si="18"/>
        <v>2019-2</v>
      </c>
      <c r="L70" s="1344" t="str">
        <f t="shared" si="18"/>
        <v>2019-1</v>
      </c>
      <c r="M70" s="1344" t="str">
        <f t="shared" si="18"/>
        <v>2018-4</v>
      </c>
      <c r="N70" s="1344" t="str">
        <f t="shared" si="18"/>
        <v>2018-3</v>
      </c>
      <c r="O70" s="1344" t="str">
        <f t="shared" si="18"/>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北京市平均增长率0.00%</v>
      </c>
      <c r="C71" s="560">
        <v>100</v>
      </c>
      <c r="D71" s="552">
        <f>C71-0.5</f>
        <v>99.5</v>
      </c>
      <c r="E71" s="552">
        <f t="shared" ref="E71:M71" si="19">D71-0.5</f>
        <v>99</v>
      </c>
      <c r="F71" s="552">
        <f t="shared" si="19"/>
        <v>98.5</v>
      </c>
      <c r="G71" s="552">
        <f t="shared" si="19"/>
        <v>98</v>
      </c>
      <c r="H71" s="552">
        <f t="shared" si="19"/>
        <v>97.5</v>
      </c>
      <c r="I71" s="552">
        <f t="shared" si="19"/>
        <v>97</v>
      </c>
      <c r="J71" s="552">
        <f>I71-0.5</f>
        <v>96.5</v>
      </c>
      <c r="K71" s="552">
        <f t="shared" si="19"/>
        <v>96</v>
      </c>
      <c r="L71" s="552">
        <f t="shared" si="19"/>
        <v>95.5</v>
      </c>
      <c r="M71" s="552">
        <f t="shared" si="19"/>
        <v>95</v>
      </c>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2407</v>
      </c>
      <c r="B75" s="485" t="s">
        <v>2373</v>
      </c>
      <c r="C75" s="3095" t="s">
        <v>3513</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2377</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v>0</v>
      </c>
      <c r="D80" s="506">
        <v>1</v>
      </c>
      <c r="E80" s="506">
        <v>2</v>
      </c>
      <c r="F80" s="506">
        <v>3</v>
      </c>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95</v>
      </c>
      <c r="E91" s="501">
        <f>D91-$K17</f>
        <v>90</v>
      </c>
      <c r="F91" s="501">
        <f>E91-$K17</f>
        <v>85</v>
      </c>
      <c r="G91" s="501">
        <f>F91-$K17</f>
        <v>80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95</v>
      </c>
      <c r="E95" s="501">
        <f>D95-$K21</f>
        <v>90</v>
      </c>
      <c r="F95" s="501">
        <f>E95-$K21</f>
        <v>85</v>
      </c>
      <c r="G95" s="501">
        <f>F95-$K21</f>
        <v>80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95</v>
      </c>
      <c r="E101" s="501">
        <f>D101-$K27</f>
        <v>90</v>
      </c>
      <c r="F101" s="501">
        <f>E101-$K27</f>
        <v>85</v>
      </c>
      <c r="G101" s="501">
        <f>F101-$K27</f>
        <v>80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8.5">
      <c r="A116" s="484" t="s">
        <v>2382</v>
      </c>
      <c r="B116" s="485" t="s">
        <v>2609</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v>0</v>
      </c>
      <c r="D117" s="552">
        <f>C117+50000</f>
        <v>50000</v>
      </c>
      <c r="E117" s="552">
        <f t="shared" ref="E117:G117" si="26">D117+50000</f>
        <v>100000</v>
      </c>
      <c r="F117" s="552">
        <f t="shared" si="26"/>
        <v>150000</v>
      </c>
      <c r="G117" s="552">
        <f t="shared" si="26"/>
        <v>200000</v>
      </c>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v>100</v>
      </c>
      <c r="D118" s="548">
        <f>C118+2</f>
        <v>102</v>
      </c>
      <c r="E118" s="548">
        <f t="shared" ref="E118:G118" si="27">D118+2</f>
        <v>104</v>
      </c>
      <c r="F118" s="548">
        <f t="shared" si="27"/>
        <v>106</v>
      </c>
      <c r="G118" s="548">
        <f t="shared" si="27"/>
        <v>108</v>
      </c>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3097" t="s">
        <v>3525</v>
      </c>
      <c r="D119" s="3097" t="s">
        <v>3527</v>
      </c>
      <c r="E119" s="3097" t="s">
        <v>3529</v>
      </c>
      <c r="F119" s="3097" t="s">
        <v>3530</v>
      </c>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t="s">
        <v>3519</v>
      </c>
      <c r="D121" s="511" t="s">
        <v>3520</v>
      </c>
      <c r="E121" s="511" t="s">
        <v>3521</v>
      </c>
      <c r="F121" s="540" t="s">
        <v>3522</v>
      </c>
      <c r="G121" s="540" t="s">
        <v>3523</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3096" t="s">
        <v>3515</v>
      </c>
      <c r="D123" s="3096" t="s">
        <v>3516</v>
      </c>
      <c r="E123" s="3096" t="s">
        <v>3517</v>
      </c>
      <c r="F123" s="3096" t="s">
        <v>3518</v>
      </c>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t="s">
        <v>3519</v>
      </c>
      <c r="D125" s="511" t="s">
        <v>3520</v>
      </c>
      <c r="E125" s="540" t="s">
        <v>3521</v>
      </c>
      <c r="F125" s="540" t="s">
        <v>3522</v>
      </c>
      <c r="G125" s="540" t="s">
        <v>3523</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69" t="s">
        <v>2465</v>
      </c>
      <c r="D4" s="3370"/>
      <c r="E4" s="3371" t="s">
        <v>2466</v>
      </c>
      <c r="F4" s="3372"/>
      <c r="G4" s="3369" t="s">
        <v>2467</v>
      </c>
      <c r="H4" s="3370"/>
      <c r="I4" s="3369" t="s">
        <v>2468</v>
      </c>
      <c r="J4" s="3370"/>
      <c r="K4" s="567" t="s">
        <v>2469</v>
      </c>
      <c r="L4" s="2941"/>
      <c r="M4" s="2942"/>
      <c r="N4" s="2942"/>
      <c r="O4" s="2942"/>
      <c r="P4" s="3373" t="s">
        <v>2470</v>
      </c>
      <c r="Q4" s="3374"/>
      <c r="R4" s="3358" t="s">
        <v>2466</v>
      </c>
      <c r="S4" s="3359"/>
      <c r="T4" s="3358" t="s">
        <v>2467</v>
      </c>
      <c r="U4" s="3359"/>
      <c r="V4" s="3381" t="s">
        <v>2468</v>
      </c>
      <c r="W4" s="3381"/>
      <c r="X4" s="1541"/>
      <c r="Y4" s="3358" t="s">
        <v>2470</v>
      </c>
      <c r="Z4" s="3359"/>
      <c r="AA4" s="3353" t="s">
        <v>2466</v>
      </c>
      <c r="AB4" s="3354" t="s">
        <v>2467</v>
      </c>
      <c r="AC4" s="3353" t="s">
        <v>2468</v>
      </c>
    </row>
    <row r="5" spans="1:29" ht="15">
      <c r="A5" s="364"/>
      <c r="B5" s="365"/>
      <c r="C5" s="3398" t="s">
        <v>2361</v>
      </c>
      <c r="D5" s="3365"/>
      <c r="E5" s="3397" t="s">
        <v>2362</v>
      </c>
      <c r="F5" s="3363"/>
      <c r="G5" s="3398" t="s">
        <v>2363</v>
      </c>
      <c r="H5" s="3365"/>
      <c r="I5" s="3398" t="s">
        <v>2364</v>
      </c>
      <c r="J5" s="3365"/>
      <c r="K5" s="567"/>
      <c r="L5" s="2941"/>
      <c r="M5" s="2942"/>
      <c r="N5" s="2942"/>
      <c r="O5" s="2942"/>
      <c r="P5" s="3375"/>
      <c r="Q5" s="3376"/>
      <c r="R5" s="3360"/>
      <c r="S5" s="3361"/>
      <c r="T5" s="3360"/>
      <c r="U5" s="3361"/>
      <c r="V5" s="3381"/>
      <c r="W5" s="3381"/>
      <c r="X5" s="1541"/>
      <c r="Y5" s="3360"/>
      <c r="Z5" s="3361"/>
      <c r="AA5" s="3354"/>
      <c r="AB5" s="3354"/>
      <c r="AC5" s="3354"/>
    </row>
    <row r="6" spans="1:29" ht="15.75" thickBot="1">
      <c r="A6" s="366"/>
      <c r="B6" s="367"/>
      <c r="C6" s="3423" t="s">
        <v>2615</v>
      </c>
      <c r="D6" s="3424"/>
      <c r="E6" s="3425" t="s">
        <v>2615</v>
      </c>
      <c r="F6" s="3426"/>
      <c r="G6" s="3423" t="s">
        <v>2615</v>
      </c>
      <c r="H6" s="3424"/>
      <c r="I6" s="3423" t="s">
        <v>2615</v>
      </c>
      <c r="J6" s="3424"/>
      <c r="K6" s="567" t="s">
        <v>2366</v>
      </c>
      <c r="L6" s="2941"/>
      <c r="M6" s="2942"/>
      <c r="N6" s="2942"/>
      <c r="O6" s="2942"/>
      <c r="P6" s="3377"/>
      <c r="Q6" s="3378"/>
      <c r="R6" s="3360"/>
      <c r="S6" s="3361"/>
      <c r="T6" s="3379"/>
      <c r="U6" s="3380"/>
      <c r="V6" s="3381"/>
      <c r="W6" s="3381"/>
      <c r="X6" s="1541"/>
      <c r="Y6" s="3379"/>
      <c r="Z6" s="3380"/>
      <c r="AA6" s="3355"/>
      <c r="AB6" s="3355"/>
      <c r="AC6" s="3355"/>
    </row>
    <row r="7" spans="1:29" s="113" customFormat="1" ht="15.75" thickBot="1">
      <c r="A7" s="368" t="s">
        <v>2367</v>
      </c>
      <c r="B7" s="369"/>
      <c r="C7" s="370">
        <f>'数据-取费表'!B2</f>
        <v>44316</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56" t="s">
        <v>2368</v>
      </c>
      <c r="Q7" s="3382"/>
      <c r="R7" s="710" t="s">
        <v>17</v>
      </c>
      <c r="S7" s="711">
        <f t="shared" ref="S7:S15" si="0">F7</f>
        <v>0</v>
      </c>
      <c r="T7" s="710" t="s">
        <v>17</v>
      </c>
      <c r="U7" s="711">
        <f t="shared" ref="U7:U15" si="1">H7</f>
        <v>0</v>
      </c>
      <c r="V7" s="710" t="s">
        <v>17</v>
      </c>
      <c r="W7" s="711">
        <f t="shared" ref="W7:W15" si="2">J7</f>
        <v>0</v>
      </c>
      <c r="X7" s="712"/>
      <c r="Y7" s="3356" t="s">
        <v>2368</v>
      </c>
      <c r="Z7" s="3357"/>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56" t="s">
        <v>2371</v>
      </c>
      <c r="Q8" s="3357"/>
      <c r="R8" s="710" t="s">
        <v>17</v>
      </c>
      <c r="S8" s="711">
        <f t="shared" si="0"/>
        <v>0</v>
      </c>
      <c r="T8" s="710" t="s">
        <v>17</v>
      </c>
      <c r="U8" s="711">
        <f t="shared" si="1"/>
        <v>0</v>
      </c>
      <c r="V8" s="710" t="s">
        <v>17</v>
      </c>
      <c r="W8" s="711">
        <f t="shared" si="2"/>
        <v>0</v>
      </c>
      <c r="X8" s="712"/>
      <c r="Y8" s="3356" t="s">
        <v>2371</v>
      </c>
      <c r="Z8" s="3357"/>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86" t="s">
        <v>2374</v>
      </c>
      <c r="Q9" s="1529" t="str">
        <f t="shared" ref="Q9:Q15" si="6">B9</f>
        <v>用途</v>
      </c>
      <c r="R9" s="710" t="s">
        <v>17</v>
      </c>
      <c r="S9" s="711">
        <f t="shared" si="0"/>
        <v>100</v>
      </c>
      <c r="T9" s="710" t="s">
        <v>17</v>
      </c>
      <c r="U9" s="711">
        <f t="shared" si="1"/>
        <v>100</v>
      </c>
      <c r="V9" s="710" t="s">
        <v>17</v>
      </c>
      <c r="W9" s="711">
        <f t="shared" si="2"/>
        <v>100</v>
      </c>
      <c r="X9" s="712"/>
      <c r="Y9" s="3298"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110</v>
      </c>
      <c r="G10" s="391"/>
      <c r="H10" s="132">
        <f>ROUND(100/'数据-取费表'!G16,0)</f>
        <v>110</v>
      </c>
      <c r="I10" s="391"/>
      <c r="J10" s="132">
        <f>ROUND(100/'数据-取费表'!G16,0)</f>
        <v>110</v>
      </c>
      <c r="K10" s="628"/>
      <c r="L10" s="2945"/>
      <c r="M10" s="2946"/>
      <c r="N10" s="2946"/>
      <c r="O10" s="2999"/>
      <c r="P10" s="3386"/>
      <c r="Q10" s="1529" t="str">
        <f t="shared" si="6"/>
        <v>土地使用年限（年）</v>
      </c>
      <c r="R10" s="710" t="s">
        <v>17</v>
      </c>
      <c r="S10" s="711">
        <f t="shared" si="0"/>
        <v>110</v>
      </c>
      <c r="T10" s="710" t="s">
        <v>17</v>
      </c>
      <c r="U10" s="711">
        <f t="shared" si="1"/>
        <v>110</v>
      </c>
      <c r="V10" s="710" t="s">
        <v>17</v>
      </c>
      <c r="W10" s="711">
        <f t="shared" si="2"/>
        <v>110</v>
      </c>
      <c r="X10" s="712"/>
      <c r="Y10" s="3298"/>
      <c r="Z10" s="55" t="str">
        <f t="shared" si="7"/>
        <v>土地使用年限（年）</v>
      </c>
      <c r="AA10" s="713">
        <f t="shared" si="3"/>
        <v>0.90909090909090906</v>
      </c>
      <c r="AB10" s="713">
        <f t="shared" si="4"/>
        <v>0.90909090909090906</v>
      </c>
      <c r="AC10" s="713">
        <f t="shared" si="5"/>
        <v>0.90909090909090906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86"/>
      <c r="Q11" s="1529" t="str">
        <f t="shared" si="6"/>
        <v>容积率</v>
      </c>
      <c r="R11" s="710" t="s">
        <v>17</v>
      </c>
      <c r="S11" s="711" t="e">
        <f t="shared" si="0"/>
        <v>#N/A</v>
      </c>
      <c r="T11" s="710" t="s">
        <v>17</v>
      </c>
      <c r="U11" s="711" t="e">
        <f t="shared" si="1"/>
        <v>#N/A</v>
      </c>
      <c r="V11" s="710" t="s">
        <v>17</v>
      </c>
      <c r="W11" s="711" t="e">
        <f t="shared" si="2"/>
        <v>#N/A</v>
      </c>
      <c r="X11" s="712"/>
      <c r="Y11" s="3298"/>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86"/>
      <c r="Q12" s="1529">
        <f t="shared" si="6"/>
        <v>111</v>
      </c>
      <c r="R12" s="710" t="s">
        <v>17</v>
      </c>
      <c r="S12" s="711">
        <f t="shared" si="0"/>
        <v>100</v>
      </c>
      <c r="T12" s="710" t="s">
        <v>17</v>
      </c>
      <c r="U12" s="711">
        <f t="shared" si="1"/>
        <v>100</v>
      </c>
      <c r="V12" s="710" t="s">
        <v>17</v>
      </c>
      <c r="W12" s="711">
        <f t="shared" si="2"/>
        <v>100</v>
      </c>
      <c r="X12" s="712"/>
      <c r="Y12" s="3298"/>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86"/>
      <c r="Q13" s="1529">
        <f t="shared" si="6"/>
        <v>111</v>
      </c>
      <c r="R13" s="710" t="s">
        <v>17</v>
      </c>
      <c r="S13" s="711">
        <f t="shared" si="0"/>
        <v>100</v>
      </c>
      <c r="T13" s="710" t="s">
        <v>17</v>
      </c>
      <c r="U13" s="711">
        <f t="shared" si="1"/>
        <v>100</v>
      </c>
      <c r="V13" s="710" t="s">
        <v>17</v>
      </c>
      <c r="W13" s="711">
        <f t="shared" si="2"/>
        <v>100</v>
      </c>
      <c r="X13" s="712"/>
      <c r="Y13" s="3298"/>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86"/>
      <c r="Q14" s="1529">
        <f t="shared" si="6"/>
        <v>111</v>
      </c>
      <c r="R14" s="710" t="s">
        <v>17</v>
      </c>
      <c r="S14" s="711">
        <f t="shared" si="0"/>
        <v>100</v>
      </c>
      <c r="T14" s="710" t="s">
        <v>17</v>
      </c>
      <c r="U14" s="711">
        <f t="shared" si="1"/>
        <v>100</v>
      </c>
      <c r="V14" s="710" t="s">
        <v>17</v>
      </c>
      <c r="W14" s="711">
        <f t="shared" si="2"/>
        <v>100</v>
      </c>
      <c r="X14" s="712"/>
      <c r="Y14" s="3298"/>
      <c r="Z14" s="55">
        <f t="shared" si="7"/>
        <v>111</v>
      </c>
      <c r="AA14" s="713">
        <f t="shared" si="3"/>
        <v>1</v>
      </c>
      <c r="AB14" s="713">
        <f t="shared" si="4"/>
        <v>1</v>
      </c>
      <c r="AC14" s="713">
        <f t="shared" si="5"/>
        <v>1</v>
      </c>
    </row>
    <row r="15" spans="1:29" ht="57">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88" t="s">
        <v>2379</v>
      </c>
      <c r="Q15" s="1538" t="str">
        <f t="shared" si="6"/>
        <v>产业集聚程度</v>
      </c>
      <c r="R15" s="714" t="s">
        <v>17</v>
      </c>
      <c r="S15" s="715">
        <f t="shared" si="0"/>
        <v>100</v>
      </c>
      <c r="T15" s="714" t="s">
        <v>17</v>
      </c>
      <c r="U15" s="715">
        <f t="shared" si="1"/>
        <v>100</v>
      </c>
      <c r="V15" s="714" t="s">
        <v>17</v>
      </c>
      <c r="W15" s="715">
        <f t="shared" si="2"/>
        <v>100</v>
      </c>
      <c r="X15" s="1541"/>
      <c r="Y15" s="3388"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48"/>
      <c r="M16" s="2942"/>
      <c r="N16" s="2942"/>
      <c r="O16" s="3000"/>
      <c r="P16" s="3389"/>
      <c r="Q16" s="1538"/>
      <c r="R16" s="714"/>
      <c r="S16" s="715"/>
      <c r="T16" s="714"/>
      <c r="U16" s="715"/>
      <c r="V16" s="714"/>
      <c r="W16" s="715"/>
      <c r="X16" s="1541"/>
      <c r="Y16" s="3389"/>
      <c r="Z16" s="1542"/>
      <c r="AA16" s="1539">
        <v>1</v>
      </c>
      <c r="AB16" s="1539">
        <v>1</v>
      </c>
      <c r="AC16" s="1539">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89"/>
      <c r="Q17" s="1538" t="str">
        <f>B17</f>
        <v>交通便捷度</v>
      </c>
      <c r="R17" s="714" t="s">
        <v>17</v>
      </c>
      <c r="S17" s="715">
        <f>F17</f>
        <v>100</v>
      </c>
      <c r="T17" s="714" t="s">
        <v>17</v>
      </c>
      <c r="U17" s="715">
        <f>H17</f>
        <v>100</v>
      </c>
      <c r="V17" s="714" t="s">
        <v>17</v>
      </c>
      <c r="W17" s="715">
        <f>J17</f>
        <v>100</v>
      </c>
      <c r="X17" s="1541"/>
      <c r="Y17" s="3389"/>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48"/>
      <c r="M18" s="2942"/>
      <c r="N18" s="2942"/>
      <c r="O18" s="3000"/>
      <c r="P18" s="3389"/>
      <c r="Q18" s="1538"/>
      <c r="R18" s="714"/>
      <c r="S18" s="715"/>
      <c r="T18" s="714"/>
      <c r="U18" s="715"/>
      <c r="V18" s="714"/>
      <c r="W18" s="715"/>
      <c r="X18" s="1541"/>
      <c r="Y18" s="3389"/>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89"/>
      <c r="Q19" s="1538" t="str">
        <f t="shared" ref="Q19:Q33" si="8">B19</f>
        <v>区域土地利用方向</v>
      </c>
      <c r="R19" s="714" t="s">
        <v>17</v>
      </c>
      <c r="S19" s="715">
        <f>F19</f>
        <v>100</v>
      </c>
      <c r="T19" s="714" t="s">
        <v>17</v>
      </c>
      <c r="U19" s="715">
        <f>H19</f>
        <v>100</v>
      </c>
      <c r="V19" s="714" t="s">
        <v>17</v>
      </c>
      <c r="W19" s="715">
        <f>J19</f>
        <v>100</v>
      </c>
      <c r="X19" s="1541"/>
      <c r="Y19" s="3389"/>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48"/>
      <c r="M20" s="2942"/>
      <c r="N20" s="2942"/>
      <c r="O20" s="3000"/>
      <c r="P20" s="3389"/>
      <c r="Q20" s="1538"/>
      <c r="R20" s="714"/>
      <c r="S20" s="715"/>
      <c r="T20" s="714"/>
      <c r="U20" s="715"/>
      <c r="V20" s="714"/>
      <c r="W20" s="715"/>
      <c r="X20" s="1541"/>
      <c r="Y20" s="3389"/>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89"/>
      <c r="Q21" s="1538" t="str">
        <f t="shared" si="8"/>
        <v>环境状况</v>
      </c>
      <c r="R21" s="714" t="s">
        <v>17</v>
      </c>
      <c r="S21" s="715">
        <f>F21</f>
        <v>100</v>
      </c>
      <c r="T21" s="714" t="s">
        <v>17</v>
      </c>
      <c r="U21" s="715">
        <f>H21</f>
        <v>100</v>
      </c>
      <c r="V21" s="714" t="s">
        <v>17</v>
      </c>
      <c r="W21" s="715">
        <f>J21</f>
        <v>100</v>
      </c>
      <c r="X21" s="1541"/>
      <c r="Y21" s="3389"/>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48"/>
      <c r="M22" s="2942"/>
      <c r="N22" s="2942"/>
      <c r="O22" s="3000"/>
      <c r="P22" s="3389"/>
      <c r="Q22" s="1538"/>
      <c r="R22" s="714"/>
      <c r="S22" s="715"/>
      <c r="T22" s="714"/>
      <c r="U22" s="715"/>
      <c r="V22" s="714"/>
      <c r="W22" s="715"/>
      <c r="X22" s="1541"/>
      <c r="Y22" s="3389"/>
      <c r="Z22" s="1542"/>
      <c r="AA22" s="1539">
        <v>1</v>
      </c>
      <c r="AB22" s="1539">
        <v>1</v>
      </c>
      <c r="AC22" s="1539">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89"/>
      <c r="Q23" s="1529" t="str">
        <f t="shared" si="8"/>
        <v>公共配套设施</v>
      </c>
      <c r="R23" s="710" t="s">
        <v>17</v>
      </c>
      <c r="S23" s="711">
        <f>F23</f>
        <v>100</v>
      </c>
      <c r="T23" s="710" t="s">
        <v>17</v>
      </c>
      <c r="U23" s="711">
        <f>H23</f>
        <v>100</v>
      </c>
      <c r="V23" s="710" t="s">
        <v>17</v>
      </c>
      <c r="W23" s="711">
        <f>J23</f>
        <v>100</v>
      </c>
      <c r="X23" s="712"/>
      <c r="Y23" s="3389"/>
      <c r="Z23" s="55" t="str">
        <f>Q23</f>
        <v>公共配套设施</v>
      </c>
      <c r="AA23" s="1539">
        <f>D23/F23</f>
        <v>1</v>
      </c>
      <c r="AB23" s="1539">
        <f>D23/H23</f>
        <v>1</v>
      </c>
      <c r="AC23" s="1539">
        <f>D23/J23</f>
        <v>1</v>
      </c>
    </row>
    <row r="24" spans="1:29" s="113" customFormat="1" ht="15">
      <c r="A24" s="605"/>
      <c r="B24" s="588"/>
      <c r="C24" s="2164"/>
      <c r="D24" s="407"/>
      <c r="E24" s="2091"/>
      <c r="F24" s="407"/>
      <c r="G24" s="2091"/>
      <c r="H24" s="407"/>
      <c r="I24" s="406"/>
      <c r="J24" s="407"/>
      <c r="K24" s="628"/>
      <c r="L24" s="2943"/>
      <c r="M24" s="2944"/>
      <c r="N24" s="2944"/>
      <c r="O24" s="2998"/>
      <c r="P24" s="3389"/>
      <c r="Q24" s="1529"/>
      <c r="R24" s="710"/>
      <c r="S24" s="711"/>
      <c r="T24" s="710"/>
      <c r="U24" s="711"/>
      <c r="V24" s="710"/>
      <c r="W24" s="711"/>
      <c r="X24" s="712"/>
      <c r="Y24" s="3389"/>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89"/>
      <c r="Q25" s="1529" t="str">
        <f>B25</f>
        <v>基础设施水平</v>
      </c>
      <c r="R25" s="710" t="s">
        <v>17</v>
      </c>
      <c r="S25" s="711">
        <f>F25</f>
        <v>100</v>
      </c>
      <c r="T25" s="710" t="s">
        <v>17</v>
      </c>
      <c r="U25" s="711">
        <f>H25</f>
        <v>100</v>
      </c>
      <c r="V25" s="710" t="s">
        <v>17</v>
      </c>
      <c r="W25" s="711">
        <f>J25</f>
        <v>100</v>
      </c>
      <c r="X25" s="712"/>
      <c r="Y25" s="3389"/>
      <c r="Z25" s="55" t="str">
        <f>Q25</f>
        <v>基础设施水平</v>
      </c>
      <c r="AA25" s="1539">
        <f>D25/F25</f>
        <v>1</v>
      </c>
      <c r="AB25" s="1539">
        <f>D25/H25</f>
        <v>1</v>
      </c>
      <c r="AC25" s="1539">
        <f>D25/J25</f>
        <v>1</v>
      </c>
    </row>
    <row r="26" spans="1:29" s="113" customFormat="1" ht="15">
      <c r="A26" s="605"/>
      <c r="B26" s="588"/>
      <c r="C26" s="2164"/>
      <c r="D26" s="407"/>
      <c r="E26" s="2165"/>
      <c r="F26" s="407"/>
      <c r="G26" s="2165"/>
      <c r="H26" s="407"/>
      <c r="I26" s="2165"/>
      <c r="J26" s="407"/>
      <c r="K26" s="628"/>
      <c r="L26" s="2943"/>
      <c r="M26" s="2944"/>
      <c r="N26" s="2944"/>
      <c r="O26" s="2998"/>
      <c r="P26" s="3389"/>
      <c r="Q26" s="1529"/>
      <c r="R26" s="710"/>
      <c r="S26" s="711"/>
      <c r="T26" s="710"/>
      <c r="U26" s="711"/>
      <c r="V26" s="710"/>
      <c r="W26" s="711"/>
      <c r="X26" s="712"/>
      <c r="Y26" s="338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89"/>
      <c r="Q27" s="1538" t="str">
        <f t="shared" si="8"/>
        <v>临街状况</v>
      </c>
      <c r="R27" s="714" t="s">
        <v>17</v>
      </c>
      <c r="S27" s="715">
        <f t="shared" ref="S27:S40" si="9">F27</f>
        <v>100</v>
      </c>
      <c r="T27" s="714" t="s">
        <v>17</v>
      </c>
      <c r="U27" s="715">
        <f t="shared" ref="U27:U40" si="10">H27</f>
        <v>100</v>
      </c>
      <c r="V27" s="714" t="s">
        <v>17</v>
      </c>
      <c r="W27" s="715">
        <f t="shared" ref="W27:W40" si="11">J27</f>
        <v>100</v>
      </c>
      <c r="X27" s="1541"/>
      <c r="Y27" s="3389"/>
      <c r="Z27" s="1542" t="str">
        <f t="shared" ref="Z27:Z40" si="12">Q27</f>
        <v>临街状况</v>
      </c>
      <c r="AA27" s="1539">
        <f t="shared" si="3"/>
        <v>1</v>
      </c>
      <c r="AB27" s="1539">
        <f t="shared" si="4"/>
        <v>1</v>
      </c>
      <c r="AC27" s="1539">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89"/>
      <c r="Q28" s="1538" t="str">
        <f t="shared" si="8"/>
        <v>毗邻道路的类型与等级</v>
      </c>
      <c r="R28" s="714" t="s">
        <v>17</v>
      </c>
      <c r="S28" s="715">
        <f t="shared" si="9"/>
        <v>100</v>
      </c>
      <c r="T28" s="714" t="s">
        <v>17</v>
      </c>
      <c r="U28" s="715">
        <f t="shared" si="10"/>
        <v>100</v>
      </c>
      <c r="V28" s="714" t="s">
        <v>17</v>
      </c>
      <c r="W28" s="715">
        <f t="shared" si="11"/>
        <v>100</v>
      </c>
      <c r="X28" s="1541"/>
      <c r="Y28" s="3389"/>
      <c r="Z28" s="1542" t="str">
        <f t="shared" si="12"/>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48"/>
      <c r="M29" s="2942"/>
      <c r="N29" s="2942"/>
      <c r="O29" s="3000"/>
      <c r="P29" s="3389"/>
      <c r="Q29" s="1538"/>
      <c r="R29" s="714"/>
      <c r="S29" s="715"/>
      <c r="T29" s="714"/>
      <c r="U29" s="715"/>
      <c r="V29" s="714"/>
      <c r="W29" s="715"/>
      <c r="X29" s="1541"/>
      <c r="Y29" s="3389"/>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89"/>
      <c r="Q30" s="1538" t="str">
        <f t="shared" si="8"/>
        <v>土地级别</v>
      </c>
      <c r="R30" s="714" t="s">
        <v>17</v>
      </c>
      <c r="S30" s="715">
        <f t="shared" si="9"/>
        <v>100</v>
      </c>
      <c r="T30" s="714" t="s">
        <v>17</v>
      </c>
      <c r="U30" s="715">
        <f t="shared" si="10"/>
        <v>100</v>
      </c>
      <c r="V30" s="714" t="s">
        <v>17</v>
      </c>
      <c r="W30" s="715">
        <f t="shared" si="11"/>
        <v>100</v>
      </c>
      <c r="X30" s="1541"/>
      <c r="Y30" s="3389"/>
      <c r="Z30" s="1542" t="str">
        <f t="shared" si="12"/>
        <v>土地级别</v>
      </c>
      <c r="AA30" s="1539">
        <f t="shared" si="3"/>
        <v>1</v>
      </c>
      <c r="AB30" s="1539">
        <f t="shared" si="4"/>
        <v>1</v>
      </c>
      <c r="AC30" s="1539">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89"/>
      <c r="Q31" s="1538">
        <f t="shared" si="8"/>
        <v>111</v>
      </c>
      <c r="R31" s="714" t="s">
        <v>17</v>
      </c>
      <c r="S31" s="715">
        <f t="shared" si="9"/>
        <v>100</v>
      </c>
      <c r="T31" s="714" t="s">
        <v>17</v>
      </c>
      <c r="U31" s="715">
        <f t="shared" si="10"/>
        <v>100</v>
      </c>
      <c r="V31" s="714" t="s">
        <v>17</v>
      </c>
      <c r="W31" s="715">
        <f t="shared" si="11"/>
        <v>100</v>
      </c>
      <c r="X31" s="1541"/>
      <c r="Y31" s="3389"/>
      <c r="Z31" s="1542">
        <f t="shared" si="12"/>
        <v>111</v>
      </c>
      <c r="AA31" s="1539">
        <f t="shared" si="3"/>
        <v>1</v>
      </c>
      <c r="AB31" s="1539">
        <f t="shared" si="4"/>
        <v>1</v>
      </c>
      <c r="AC31" s="1539">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17" t="s">
        <v>2384</v>
      </c>
      <c r="Q32" s="1538">
        <f t="shared" si="8"/>
        <v>111</v>
      </c>
      <c r="R32" s="714" t="s">
        <v>17</v>
      </c>
      <c r="S32" s="715">
        <f t="shared" si="9"/>
        <v>100</v>
      </c>
      <c r="T32" s="714" t="s">
        <v>17</v>
      </c>
      <c r="U32" s="715">
        <f t="shared" si="10"/>
        <v>100</v>
      </c>
      <c r="V32" s="714" t="s">
        <v>17</v>
      </c>
      <c r="W32" s="715">
        <f t="shared" si="11"/>
        <v>100</v>
      </c>
      <c r="X32" s="1541"/>
      <c r="Y32" s="3393" t="s">
        <v>2384</v>
      </c>
      <c r="Z32" s="1542">
        <f t="shared" si="12"/>
        <v>111</v>
      </c>
      <c r="AA32" s="1539">
        <f t="shared" si="3"/>
        <v>1</v>
      </c>
      <c r="AB32" s="1539">
        <f t="shared" si="4"/>
        <v>1</v>
      </c>
      <c r="AC32" s="1539">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93"/>
      <c r="Q33" s="1538">
        <f t="shared" si="8"/>
        <v>111</v>
      </c>
      <c r="R33" s="717" t="s">
        <v>17</v>
      </c>
      <c r="S33" s="718">
        <f t="shared" si="9"/>
        <v>100</v>
      </c>
      <c r="T33" s="717" t="s">
        <v>17</v>
      </c>
      <c r="U33" s="718">
        <f t="shared" si="10"/>
        <v>100</v>
      </c>
      <c r="V33" s="717" t="s">
        <v>17</v>
      </c>
      <c r="W33" s="718">
        <f t="shared" si="11"/>
        <v>100</v>
      </c>
      <c r="X33" s="719"/>
      <c r="Y33" s="3393"/>
      <c r="Z33" s="720">
        <f t="shared" si="12"/>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93"/>
      <c r="Q34" s="1538" t="str">
        <f>B34</f>
        <v>宗地面积</v>
      </c>
      <c r="R34" s="714" t="s">
        <v>17</v>
      </c>
      <c r="S34" s="715" t="e">
        <f t="shared" si="9"/>
        <v>#N/A</v>
      </c>
      <c r="T34" s="714" t="s">
        <v>17</v>
      </c>
      <c r="U34" s="715" t="e">
        <f t="shared" si="10"/>
        <v>#N/A</v>
      </c>
      <c r="V34" s="714" t="s">
        <v>17</v>
      </c>
      <c r="W34" s="715" t="e">
        <f t="shared" si="11"/>
        <v>#N/A</v>
      </c>
      <c r="X34" s="1541"/>
      <c r="Y34" s="3393"/>
      <c r="Z34" s="1542" t="str">
        <f t="shared" si="12"/>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393"/>
      <c r="Q35" s="1538" t="str">
        <f t="shared" ref="Q35:Q40" si="13">B35</f>
        <v>宗地形状</v>
      </c>
      <c r="R35" s="714" t="s">
        <v>17</v>
      </c>
      <c r="S35" s="715">
        <f t="shared" si="9"/>
        <v>100</v>
      </c>
      <c r="T35" s="714" t="s">
        <v>17</v>
      </c>
      <c r="U35" s="715">
        <f t="shared" si="10"/>
        <v>100</v>
      </c>
      <c r="V35" s="714" t="s">
        <v>17</v>
      </c>
      <c r="W35" s="715">
        <f t="shared" si="11"/>
        <v>100</v>
      </c>
      <c r="X35" s="1541"/>
      <c r="Y35" s="3393"/>
      <c r="Z35" s="1542" t="str">
        <f t="shared" si="12"/>
        <v>宗地形状</v>
      </c>
      <c r="AA35" s="1539">
        <f t="shared" si="3"/>
        <v>1</v>
      </c>
      <c r="AB35" s="1539">
        <f t="shared" si="4"/>
        <v>1</v>
      </c>
      <c r="AC35" s="1539">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93"/>
      <c r="Q36" s="1538" t="str">
        <f t="shared" si="13"/>
        <v>宗地开发程度</v>
      </c>
      <c r="R36" s="710" t="s">
        <v>17</v>
      </c>
      <c r="S36" s="711">
        <f t="shared" si="9"/>
        <v>100</v>
      </c>
      <c r="T36" s="710" t="s">
        <v>17</v>
      </c>
      <c r="U36" s="711">
        <f t="shared" si="10"/>
        <v>100</v>
      </c>
      <c r="V36" s="710" t="s">
        <v>17</v>
      </c>
      <c r="W36" s="711">
        <f t="shared" si="11"/>
        <v>100</v>
      </c>
      <c r="X36" s="712"/>
      <c r="Y36" s="3393"/>
      <c r="Z36" s="55" t="str">
        <f t="shared" si="12"/>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393" t="s">
        <v>2384</v>
      </c>
      <c r="Q37" s="1538" t="str">
        <f t="shared" si="13"/>
        <v>工程地质条件</v>
      </c>
      <c r="R37" s="714" t="s">
        <v>17</v>
      </c>
      <c r="S37" s="715">
        <f t="shared" si="9"/>
        <v>100</v>
      </c>
      <c r="T37" s="714" t="s">
        <v>17</v>
      </c>
      <c r="U37" s="715">
        <f t="shared" si="10"/>
        <v>100</v>
      </c>
      <c r="V37" s="714" t="s">
        <v>17</v>
      </c>
      <c r="W37" s="715">
        <f t="shared" si="11"/>
        <v>100</v>
      </c>
      <c r="X37" s="1541"/>
      <c r="Y37" s="3393" t="s">
        <v>2384</v>
      </c>
      <c r="Z37" s="1542" t="str">
        <f t="shared" si="12"/>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93"/>
      <c r="Q38" s="1538">
        <f t="shared" si="13"/>
        <v>111</v>
      </c>
      <c r="R38" s="714" t="s">
        <v>17</v>
      </c>
      <c r="S38" s="715">
        <f t="shared" si="9"/>
        <v>100</v>
      </c>
      <c r="T38" s="714" t="s">
        <v>17</v>
      </c>
      <c r="U38" s="715">
        <f t="shared" si="10"/>
        <v>100</v>
      </c>
      <c r="V38" s="714" t="s">
        <v>17</v>
      </c>
      <c r="W38" s="715">
        <f t="shared" si="11"/>
        <v>100</v>
      </c>
      <c r="X38" s="1541"/>
      <c r="Y38" s="3393"/>
      <c r="Z38" s="1542">
        <f t="shared" si="12"/>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93"/>
      <c r="Q39" s="1538">
        <f t="shared" si="13"/>
        <v>111</v>
      </c>
      <c r="R39" s="714" t="s">
        <v>17</v>
      </c>
      <c r="S39" s="715">
        <f t="shared" si="9"/>
        <v>100</v>
      </c>
      <c r="T39" s="714" t="s">
        <v>17</v>
      </c>
      <c r="U39" s="715">
        <f t="shared" si="10"/>
        <v>100</v>
      </c>
      <c r="V39" s="714" t="s">
        <v>17</v>
      </c>
      <c r="W39" s="715">
        <f t="shared" si="11"/>
        <v>100</v>
      </c>
      <c r="X39" s="1541"/>
      <c r="Y39" s="3393"/>
      <c r="Z39" s="1542">
        <f t="shared" si="12"/>
        <v>111</v>
      </c>
      <c r="AA39" s="1539">
        <f t="shared" si="3"/>
        <v>1</v>
      </c>
      <c r="AB39" s="1539">
        <f t="shared" si="4"/>
        <v>1</v>
      </c>
      <c r="AC39" s="1539">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93"/>
      <c r="Q40" s="1538">
        <f t="shared" si="13"/>
        <v>111</v>
      </c>
      <c r="R40" s="717" t="s">
        <v>17</v>
      </c>
      <c r="S40" s="718">
        <f t="shared" si="9"/>
        <v>100</v>
      </c>
      <c r="T40" s="717" t="s">
        <v>17</v>
      </c>
      <c r="U40" s="718">
        <f t="shared" si="10"/>
        <v>100</v>
      </c>
      <c r="V40" s="717" t="s">
        <v>17</v>
      </c>
      <c r="W40" s="718">
        <f t="shared" si="11"/>
        <v>100</v>
      </c>
      <c r="X40" s="719"/>
      <c r="Y40" s="3393"/>
      <c r="Z40" s="720">
        <f t="shared" si="12"/>
        <v>111</v>
      </c>
      <c r="AA40" s="1539">
        <f t="shared" si="3"/>
        <v>1</v>
      </c>
      <c r="AB40" s="1539">
        <f t="shared" si="4"/>
        <v>1</v>
      </c>
      <c r="AC40" s="1539">
        <f t="shared" si="5"/>
        <v>1</v>
      </c>
    </row>
    <row r="41" spans="1:31" ht="15">
      <c r="A41" s="438" t="s">
        <v>2539</v>
      </c>
      <c r="B41" s="2168" t="s">
        <v>2618</v>
      </c>
      <c r="C41" s="638" t="s">
        <v>1</v>
      </c>
      <c r="D41" s="440"/>
      <c r="E41" s="441"/>
      <c r="F41" s="442"/>
      <c r="G41" s="443"/>
      <c r="H41" s="444"/>
      <c r="I41" s="441"/>
      <c r="J41" s="444"/>
      <c r="K41" s="723"/>
      <c r="L41" s="2950"/>
      <c r="M41" s="2942"/>
      <c r="N41" s="2942"/>
      <c r="O41" s="2951"/>
      <c r="P41" s="3386" t="str">
        <f>A41</f>
        <v>成交单价</v>
      </c>
      <c r="Q41" s="3386"/>
      <c r="R41" s="3381">
        <f>E41</f>
        <v>0</v>
      </c>
      <c r="S41" s="3381"/>
      <c r="T41" s="3381">
        <f>G41</f>
        <v>0</v>
      </c>
      <c r="U41" s="3381"/>
      <c r="V41" s="3381">
        <f>I41</f>
        <v>0</v>
      </c>
      <c r="W41" s="3381"/>
      <c r="X41" s="699"/>
      <c r="Y41" s="721"/>
      <c r="Z41" s="699"/>
      <c r="AA41" s="699"/>
      <c r="AB41" s="699"/>
      <c r="AC41" s="699"/>
    </row>
    <row r="42" spans="1:31" ht="15.75" thickBot="1">
      <c r="A42" s="445" t="s">
        <v>2488</v>
      </c>
      <c r="B42" s="639"/>
      <c r="C42" s="448" t="e">
        <f>R43</f>
        <v>#DIV/0!</v>
      </c>
      <c r="D42" s="2538" t="s">
        <v>2873</v>
      </c>
      <c r="E42" s="448" t="e">
        <f>R42</f>
        <v>#DIV/0!</v>
      </c>
      <c r="F42" s="2539"/>
      <c r="G42" s="447" t="e">
        <f>T42</f>
        <v>#DIV/0!</v>
      </c>
      <c r="H42" s="2539"/>
      <c r="I42" s="448" t="e">
        <f>V42</f>
        <v>#DIV/0!</v>
      </c>
      <c r="J42" s="2539"/>
      <c r="K42" s="2541">
        <f>F42+H42+J42</f>
        <v>0</v>
      </c>
      <c r="L42" s="2950"/>
      <c r="M42" s="2942"/>
      <c r="N42" s="2942"/>
      <c r="O42" s="2951"/>
      <c r="P42" s="3386" t="str">
        <f>A42</f>
        <v>比较价值（元/平方米）</v>
      </c>
      <c r="Q42" s="3386"/>
      <c r="R42" s="3419" t="e">
        <f>ROUND(PRODUCT(R41,AA7:AA40),0)</f>
        <v>#DIV/0!</v>
      </c>
      <c r="S42" s="3419"/>
      <c r="T42" s="3419" t="e">
        <f>ROUND(PRODUCT(T41,AB7:AB40),0)</f>
        <v>#DIV/0!</v>
      </c>
      <c r="U42" s="3419"/>
      <c r="V42" s="3419" t="e">
        <f>ROUND(PRODUCT(V41,AC7:AC40),0)</f>
        <v>#DIV/0!</v>
      </c>
      <c r="W42" s="3419"/>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0"/>
      <c r="M43" s="2942"/>
      <c r="N43" s="2942"/>
      <c r="O43" s="2951"/>
      <c r="P43" s="3383" t="str">
        <f>A43</f>
        <v>估价对象XX用房的比较价值（楼面单价，元/平方米）</v>
      </c>
      <c r="Q43" s="3384"/>
      <c r="R43" s="3420" t="e">
        <f>ROUND(IF(D42="简单平均",AVERAGE(R42:W42),R42*F42+T42*H42+V42*J42),0)</f>
        <v>#DIV/0!</v>
      </c>
      <c r="S43" s="3420"/>
      <c r="T43" s="3420"/>
      <c r="U43" s="3420"/>
      <c r="V43" s="3420"/>
      <c r="W43" s="3420"/>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69" t="s">
        <v>2582</v>
      </c>
      <c r="H50" s="3421"/>
      <c r="I50" s="1542" t="s">
        <v>2619</v>
      </c>
      <c r="J50" s="1542" t="str">
        <f>项目基本情况!F35</f>
        <v>云南省</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14226.250000000004</v>
      </c>
      <c r="F51" s="647" t="e">
        <f t="shared" ref="F51:F60" si="14">ROUND(B51*E51/10000,0)</f>
        <v>#DIV/0!</v>
      </c>
      <c r="G51" s="3368"/>
      <c r="H51" s="3386"/>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5">IF($C$50="北京市系数",I52,J52)</f>
        <v>0</v>
      </c>
      <c r="D52" s="1076">
        <v>0.25</v>
      </c>
      <c r="E52" s="650"/>
      <c r="F52" s="647" t="e">
        <f t="shared" si="14"/>
        <v>#DIV/0!</v>
      </c>
      <c r="G52" s="3422"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6">ROUND($C$43*C53*D53,0)</f>
        <v>#DIV/0!</v>
      </c>
      <c r="C53" s="176">
        <f t="shared" si="15"/>
        <v>0</v>
      </c>
      <c r="D53" s="1076">
        <v>0.25</v>
      </c>
      <c r="E53" s="650"/>
      <c r="F53" s="647" t="e">
        <f t="shared" si="14"/>
        <v>#DIV/0!</v>
      </c>
      <c r="G53" s="3422"/>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6"/>
        <v>#DIV/0!</v>
      </c>
      <c r="C54" s="176">
        <f t="shared" si="15"/>
        <v>0</v>
      </c>
      <c r="D54" s="1076">
        <v>0.25</v>
      </c>
      <c r="E54" s="650"/>
      <c r="F54" s="647" t="e">
        <f t="shared" si="14"/>
        <v>#DIV/0!</v>
      </c>
      <c r="G54" s="3422"/>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6"/>
        <v>#DIV/0!</v>
      </c>
      <c r="C55" s="176">
        <f t="shared" si="15"/>
        <v>0</v>
      </c>
      <c r="D55" s="1076">
        <v>0.25</v>
      </c>
      <c r="E55" s="650"/>
      <c r="F55" s="647" t="e">
        <f t="shared" si="14"/>
        <v>#DIV/0!</v>
      </c>
      <c r="G55" s="3422"/>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6"/>
        <v>#DIV/0!</v>
      </c>
      <c r="C56" s="176">
        <f t="shared" si="15"/>
        <v>0</v>
      </c>
      <c r="D56" s="1076">
        <v>0.25</v>
      </c>
      <c r="E56" s="223">
        <f>'数据-汇总表'!E11</f>
        <v>0</v>
      </c>
      <c r="F56" s="647" t="e">
        <f t="shared" si="14"/>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6"/>
        <v>#DIV/0!</v>
      </c>
      <c r="C57" s="176">
        <f t="shared" si="15"/>
        <v>0</v>
      </c>
      <c r="D57" s="1076">
        <v>0.25</v>
      </c>
      <c r="E57" s="223">
        <f>'数据-汇总表'!E12</f>
        <v>0</v>
      </c>
      <c r="F57" s="647" t="e">
        <f t="shared" si="14"/>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6"/>
        <v>#DIV/0!</v>
      </c>
      <c r="C58" s="176">
        <f t="shared" si="15"/>
        <v>0</v>
      </c>
      <c r="D58" s="1076">
        <v>0.25</v>
      </c>
      <c r="E58" s="223">
        <f>'数据-汇总表'!E13</f>
        <v>6234.45</v>
      </c>
      <c r="F58" s="647" t="e">
        <f t="shared" si="14"/>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6"/>
        <v>#DIV/0!</v>
      </c>
      <c r="C59" s="176">
        <f t="shared" si="15"/>
        <v>0</v>
      </c>
      <c r="D59" s="1076">
        <v>0.25</v>
      </c>
      <c r="E59" s="223">
        <f>'数据-汇总表'!E14</f>
        <v>0</v>
      </c>
      <c r="F59" s="647" t="e">
        <f t="shared" si="14"/>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6"/>
        <v>#DIV/0!</v>
      </c>
      <c r="C60" s="176">
        <f t="shared" si="15"/>
        <v>0</v>
      </c>
      <c r="D60" s="1076">
        <v>0.25</v>
      </c>
      <c r="E60" s="223">
        <f>'数据-汇总表'!E15</f>
        <v>0</v>
      </c>
      <c r="F60" s="647" t="e">
        <f t="shared" si="14"/>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35823.800000000003</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7">EDATE(E63,-3)</f>
        <v>44013</v>
      </c>
      <c r="G63" s="701">
        <f t="shared" si="17"/>
        <v>43922</v>
      </c>
      <c r="H63" s="701">
        <f t="shared" si="17"/>
        <v>43831</v>
      </c>
      <c r="I63" s="701">
        <f t="shared" si="17"/>
        <v>43739</v>
      </c>
      <c r="J63" s="701">
        <f t="shared" si="17"/>
        <v>43647</v>
      </c>
      <c r="K63" s="701">
        <f t="shared" si="17"/>
        <v>43556</v>
      </c>
      <c r="L63" s="701">
        <f t="shared" si="17"/>
        <v>43466</v>
      </c>
      <c r="M63" s="701">
        <f t="shared" si="17"/>
        <v>43374</v>
      </c>
      <c r="N63" s="701">
        <f t="shared" si="17"/>
        <v>43282</v>
      </c>
      <c r="O63" s="701">
        <f t="shared" si="17"/>
        <v>43191</v>
      </c>
      <c r="P63" s="2951"/>
      <c r="Q63" s="2951"/>
      <c r="R63" s="2951"/>
      <c r="S63" s="2951"/>
      <c r="T63" s="2951"/>
      <c r="U63" s="2951"/>
      <c r="V63" s="2951"/>
      <c r="W63" s="2951"/>
      <c r="X63" s="2951"/>
      <c r="Y63" s="2951"/>
      <c r="Z63" s="2951"/>
      <c r="AA63" s="2951"/>
      <c r="AB63" s="2951"/>
      <c r="AC63" s="2951"/>
      <c r="AD63" s="2951"/>
      <c r="AE63" s="2951"/>
    </row>
    <row r="64" spans="1:31" ht="21.75"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2021-2</v>
      </c>
      <c r="D65" s="1344" t="str">
        <f t="shared" ref="D65:O65" si="18">YEAR(D63)&amp;"-"&amp;ROUNDUP(MONTH(D63)/3,0)</f>
        <v>2021-1</v>
      </c>
      <c r="E65" s="1344" t="str">
        <f t="shared" si="18"/>
        <v>2020-4</v>
      </c>
      <c r="F65" s="1344" t="str">
        <f t="shared" si="18"/>
        <v>2020-3</v>
      </c>
      <c r="G65" s="1344" t="str">
        <f t="shared" si="18"/>
        <v>2020-2</v>
      </c>
      <c r="H65" s="1344" t="str">
        <f t="shared" si="18"/>
        <v>2020-1</v>
      </c>
      <c r="I65" s="1344" t="str">
        <f t="shared" si="18"/>
        <v>2019-4</v>
      </c>
      <c r="J65" s="1344" t="str">
        <f t="shared" si="18"/>
        <v>2019-3</v>
      </c>
      <c r="K65" s="1344" t="str">
        <f t="shared" si="18"/>
        <v>2019-2</v>
      </c>
      <c r="L65" s="1344" t="str">
        <f t="shared" si="18"/>
        <v>2019-1</v>
      </c>
      <c r="M65" s="1344" t="str">
        <f t="shared" si="18"/>
        <v>2018-4</v>
      </c>
      <c r="N65" s="1344" t="str">
        <f t="shared" si="18"/>
        <v>2018-3</v>
      </c>
      <c r="O65" s="1344" t="str">
        <f t="shared" si="18"/>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2377</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2382</v>
      </c>
      <c r="B107" s="485" t="s">
        <v>2609</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5" t="str">
        <f t="shared" si="24"/>
        <v>(含)-</v>
      </c>
      <c r="L107" s="1505" t="str">
        <f t="shared" si="24"/>
        <v>(含)-</v>
      </c>
      <c r="M107" s="1506"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2636</v>
      </c>
      <c r="B3" s="210" t="e">
        <f>ROUND(B2*10000/D1,0)</f>
        <v>#DIV/0!</v>
      </c>
      <c r="C3" s="2185" t="s">
        <v>2637</v>
      </c>
      <c r="D3" s="2186" t="s">
        <v>2638</v>
      </c>
      <c r="E3" s="2191"/>
      <c r="F3" s="2192" t="s">
        <v>2639</v>
      </c>
      <c r="G3" s="855">
        <f>IF(F3="宗地容积率",'数据-汇总表'!I4,IF(F3="估价对象容积率",'数据-汇总表'!I6,'数据-汇总表'!I7))</f>
        <v>0.36</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46"/>
      <c r="B4" s="3447"/>
      <c r="C4" s="3447"/>
      <c r="D4" s="3448"/>
      <c r="E4" s="3448"/>
      <c r="F4" s="3448"/>
      <c r="G4" s="3448"/>
      <c r="H4" s="3448"/>
      <c r="I4" s="3448"/>
      <c r="J4" s="3449"/>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t="e">
        <f>ROUND(IF(E2="商业",C6*C7+C16,(IF(E2="住宅",C6*C12+C16,C6+C16))),0)</f>
        <v>#DIV/0!</v>
      </c>
      <c r="D5" s="1525" t="e">
        <f>ROUND(C6+C16,0)</f>
        <v>#DIV/0!</v>
      </c>
      <c r="E5" s="1525"/>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0</v>
      </c>
      <c r="D6" s="2205" t="s">
        <v>2648</v>
      </c>
      <c r="E6" s="2206"/>
      <c r="F6" s="2206"/>
      <c r="G6" s="2207"/>
      <c r="H6" s="2207"/>
      <c r="I6" s="2207"/>
      <c r="J6" s="2208"/>
      <c r="K6" s="1570"/>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27" t="str">
        <f>IF(E2="商业",IF(C8="不临58条商业街","",2),"")</f>
        <v/>
      </c>
      <c r="B7" s="2209" t="s">
        <v>2650</v>
      </c>
      <c r="C7" s="858" t="e">
        <f>IF(C8="不临58条商业街",1,ROUND(1+(1.6*E8+1.2*E9+0.8*E10+0.4*E11)*C9,4))</f>
        <v>#DIV/0!</v>
      </c>
      <c r="D7" s="2210" t="s">
        <v>2651</v>
      </c>
      <c r="E7" s="882"/>
      <c r="F7" s="2211"/>
      <c r="G7" s="2212"/>
      <c r="H7" s="2212"/>
      <c r="I7" s="2212"/>
      <c r="J7" s="2213"/>
      <c r="K7" s="1570"/>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2653</v>
      </c>
      <c r="X7" s="1376">
        <f>G2</f>
        <v>0</v>
      </c>
      <c r="Y7" s="1376" t="s">
        <v>2654</v>
      </c>
      <c r="Z7" s="1377">
        <f>G3</f>
        <v>0.36</v>
      </c>
      <c r="AA7" s="1378"/>
      <c r="AB7" s="1378"/>
      <c r="AC7" s="1379"/>
      <c r="AD7" s="1380"/>
      <c r="AE7" s="1380"/>
      <c r="AF7" s="1380"/>
      <c r="AG7" s="1380"/>
      <c r="AH7" s="1380"/>
      <c r="AI7" s="1380"/>
      <c r="AJ7" s="1381"/>
    </row>
    <row r="8" spans="1:36" ht="15">
      <c r="A8" s="3450"/>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43" t="s">
        <v>2658</v>
      </c>
      <c r="X8" s="3444"/>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50"/>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45"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50"/>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4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50"/>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45" t="s">
        <v>2682</v>
      </c>
      <c r="X11" s="1386" t="s">
        <v>2683</v>
      </c>
      <c r="Y11" s="1387">
        <f>$G$3</f>
        <v>0.36</v>
      </c>
      <c r="Z11" s="1387">
        <f t="shared" ref="Z11:AJ11" si="3">$G$3</f>
        <v>0.36</v>
      </c>
      <c r="AA11" s="1387">
        <f t="shared" si="3"/>
        <v>0.36</v>
      </c>
      <c r="AB11" s="1387">
        <f t="shared" si="3"/>
        <v>0.36</v>
      </c>
      <c r="AC11" s="1387">
        <f t="shared" si="3"/>
        <v>0.36</v>
      </c>
      <c r="AD11" s="1387">
        <f t="shared" si="3"/>
        <v>0.36</v>
      </c>
      <c r="AE11" s="1387">
        <f t="shared" si="3"/>
        <v>0.36</v>
      </c>
      <c r="AF11" s="1387">
        <f t="shared" si="3"/>
        <v>0.36</v>
      </c>
      <c r="AG11" s="1387">
        <f t="shared" si="3"/>
        <v>0.36</v>
      </c>
      <c r="AH11" s="1387">
        <f t="shared" si="3"/>
        <v>0.36</v>
      </c>
      <c r="AI11" s="1387">
        <f t="shared" si="3"/>
        <v>0.36</v>
      </c>
      <c r="AJ11" s="1387">
        <f t="shared" si="3"/>
        <v>0.36</v>
      </c>
    </row>
    <row r="12" spans="1:36" ht="25.5" thickBot="1">
      <c r="A12" s="3427"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45"/>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51"/>
      <c r="B13" s="2228" t="s">
        <v>2689</v>
      </c>
      <c r="C13" s="2229" t="s">
        <v>2690</v>
      </c>
      <c r="D13" s="1536" t="s">
        <v>2691</v>
      </c>
      <c r="E13" s="1536"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45"/>
      <c r="X13" s="1388"/>
      <c r="Y13" s="1385">
        <f>(-0.163*(Y12^2)-0.59*Y12+7617)*(10^(-4))/Y11</f>
        <v>2.1158333333333337</v>
      </c>
      <c r="Z13" s="1385">
        <f t="shared" ref="Z13:AJ13" si="5">(-0.163*(Z12^2)-0.59*Z12+7617)*(10^(-4))/Z11</f>
        <v>2.1158333333333337</v>
      </c>
      <c r="AA13" s="1385">
        <f t="shared" si="5"/>
        <v>2.1158333333333337</v>
      </c>
      <c r="AB13" s="1385">
        <f t="shared" si="5"/>
        <v>2.1158333333333337</v>
      </c>
      <c r="AC13" s="1385">
        <f t="shared" si="5"/>
        <v>2.1158333333333337</v>
      </c>
      <c r="AD13" s="1385">
        <f t="shared" si="5"/>
        <v>2.1158333333333337</v>
      </c>
      <c r="AE13" s="1385">
        <f t="shared" si="5"/>
        <v>2.1158333333333337</v>
      </c>
      <c r="AF13" s="1385">
        <f t="shared" si="5"/>
        <v>2.1158333333333337</v>
      </c>
      <c r="AG13" s="1385">
        <f t="shared" si="5"/>
        <v>2.1158333333333337</v>
      </c>
      <c r="AH13" s="1385">
        <f t="shared" si="5"/>
        <v>2.1158333333333337</v>
      </c>
      <c r="AI13" s="1385">
        <f t="shared" si="5"/>
        <v>2.1158333333333337</v>
      </c>
      <c r="AJ13" s="1385">
        <f t="shared" si="5"/>
        <v>2.1158333333333337</v>
      </c>
    </row>
    <row r="14" spans="1:36" ht="15">
      <c r="A14" s="3451"/>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75" thickBot="1">
      <c r="A15" s="3452"/>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427" t="s">
        <v>2701</v>
      </c>
      <c r="B16" s="2209" t="s">
        <v>2702</v>
      </c>
      <c r="C16" s="2371" t="e">
        <f>ROUND(IF(F17="与级别开发程度一致",0,(G17-E17)/C17),0)</f>
        <v>#DIV/0!</v>
      </c>
      <c r="D16" s="3440" t="s">
        <v>2706</v>
      </c>
      <c r="E16" s="3441"/>
      <c r="F16" s="3440" t="s">
        <v>2703</v>
      </c>
      <c r="G16" s="344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5" thickBot="1">
      <c r="A17" s="3428"/>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7.75" thickBot="1">
      <c r="A19" s="2246" t="s">
        <v>809</v>
      </c>
      <c r="B19" s="2247" t="s">
        <v>2709</v>
      </c>
      <c r="C19" s="863" t="e">
        <f>ROUND(IF(H19="按公示增长率计算",SUMPRODUCT((地价!A3:A33=YEAR(G19)&amp;"-"&amp;ROUNDUP(MONTH(G19)/3,0))*(地价!X2:AB2=E2)*(地价!X3:AB33)),IF(H19="地价指数",M20/M19,(1+I19)^O19)),4)</f>
        <v>#VALUE!</v>
      </c>
      <c r="D19" s="2251" t="s">
        <v>2710</v>
      </c>
      <c r="E19" s="864">
        <v>41640</v>
      </c>
      <c r="F19" s="2251" t="s">
        <v>2711</v>
      </c>
      <c r="G19" s="865">
        <f>'数据-取费表'!B2</f>
        <v>44316</v>
      </c>
      <c r="H19" s="2252"/>
      <c r="I19" s="866" t="str">
        <f>IF(H19="季度增幅（自定义）",SUMIF(N21:N24,E2,O21:O24),"")</f>
        <v/>
      </c>
      <c r="J19" s="2249"/>
      <c r="K19" s="1287"/>
      <c r="L19" s="2253" t="s">
        <v>2712</v>
      </c>
      <c r="M19" s="1498">
        <f>ROUND(SUMIF(地价!B2:F2,E2,地价!B33:F33),0)</f>
        <v>0</v>
      </c>
      <c r="N19" s="2254"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2714</v>
      </c>
      <c r="C20" s="868" t="e">
        <f>ROUND(POWER(1+G20,J20-I20)*(POWER(1+G20,I20)-1)/(POWER(1+G20,J20)-1),4)</f>
        <v>#DIV/0!</v>
      </c>
      <c r="D20" s="2258" t="s">
        <v>2715</v>
      </c>
      <c r="E20" s="1507">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9">
        <f>ROUND(SUMPRODUCT((地价!A4:A33=YEAR(G19)&amp;"-"&amp;ROUNDUP(MONTH(G19)/3,0))*(地价!B2:F2=E2)*(地价!B4:F33)),0)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2721</v>
      </c>
      <c r="C21" s="876">
        <f>IF(B21="容积率修正",IF(G3&lt;=10,D22,J22),C23)</f>
        <v>0</v>
      </c>
      <c r="D21" s="2265"/>
      <c r="E21" s="2265"/>
      <c r="F21" s="2265"/>
      <c r="G21" s="2265"/>
      <c r="H21" s="2265"/>
      <c r="I21" s="2265"/>
      <c r="J21" s="2266"/>
      <c r="K21" s="1287"/>
      <c r="L21" s="3016"/>
      <c r="M21" s="3016"/>
      <c r="N21" s="2267" t="s">
        <v>2722</v>
      </c>
      <c r="O21" s="1335"/>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2723</v>
      </c>
      <c r="B22" s="2268" t="s">
        <v>2724</v>
      </c>
      <c r="C22" s="1538" t="s">
        <v>2725</v>
      </c>
      <c r="D22" s="1538">
        <f>IF(E22=G22,F22,IF(G3&lt;=10,ROUND(F22+(H22-F22)*(G3-E22)/(G22-E22),4),"——"))</f>
        <v>0</v>
      </c>
      <c r="E22" s="855">
        <f>ROUNDDOWN(G3,1)</f>
        <v>0.3</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6"/>
      <c r="M22" s="3016"/>
      <c r="N22" s="2267" t="s">
        <v>2726</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2732</v>
      </c>
      <c r="C25" s="869"/>
      <c r="D25" s="2212"/>
      <c r="E25" s="2212"/>
      <c r="F25" s="2279"/>
      <c r="G25" s="2212"/>
      <c r="H25" s="2212"/>
      <c r="I25" s="2212"/>
      <c r="J25" s="2213"/>
      <c r="K25" s="1280"/>
      <c r="L25" s="2183"/>
      <c r="M25" s="2183"/>
      <c r="N25" s="3011" t="s">
        <v>2733</v>
      </c>
      <c r="O25" s="3012"/>
      <c r="P25" s="3013">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37"/>
      <c r="B33" s="2312" t="s">
        <v>2748</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442"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38"/>
      <c r="B34" s="2229" t="s">
        <v>2749</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43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38"/>
      <c r="B35" s="2229" t="s">
        <v>2750</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43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39"/>
      <c r="B36" s="2229" t="s">
        <v>2751</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43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7"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2856</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2759</v>
      </c>
      <c r="B47" s="1537" t="s">
        <v>2760</v>
      </c>
      <c r="C47" s="1537" t="s">
        <v>2761</v>
      </c>
      <c r="D47" s="1537" t="s">
        <v>2762</v>
      </c>
      <c r="E47" s="758" t="s">
        <v>2763</v>
      </c>
      <c r="F47" s="2330" t="s">
        <v>2764</v>
      </c>
      <c r="G47" s="1537" t="s">
        <v>754</v>
      </c>
      <c r="H47" s="2331"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6" t="s">
        <v>2775</v>
      </c>
      <c r="B54" s="1496" t="str">
        <f>估价对象房地状况!C21</f>
        <v>估价对象所在区域公共配套设施齐备情况</v>
      </c>
      <c r="C54" s="2234"/>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7"/>
      <c r="C58" s="1537" t="s">
        <v>2761</v>
      </c>
      <c r="D58" s="1537" t="s">
        <v>2762</v>
      </c>
      <c r="E58" s="758" t="s">
        <v>2763</v>
      </c>
      <c r="F58" s="2330" t="s">
        <v>2779</v>
      </c>
      <c r="G58" s="1537" t="s">
        <v>754</v>
      </c>
      <c r="H58" s="2331"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4">SUMIF($J$58:$N$58,C59,J59:N59)</f>
        <v>0</v>
      </c>
      <c r="E59" s="760">
        <f>ROUND(SUM(D59:D67),4)</f>
        <v>0</v>
      </c>
      <c r="F59" s="2001"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4"/>
        <v>0</v>
      </c>
      <c r="E60" s="761"/>
      <c r="F60" s="2001"/>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1"/>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1"/>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4"/>
        <v>0</v>
      </c>
      <c r="E63" s="761"/>
      <c r="F63" s="2001"/>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1"/>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29" t="s">
        <v>2775</v>
      </c>
      <c r="B65" s="1496" t="str">
        <f>估价对象房地状况!C21</f>
        <v>估价对象所在区域公共配套设施齐备情况</v>
      </c>
      <c r="C65" s="2234"/>
      <c r="D65" s="1196">
        <f t="shared" si="14"/>
        <v>0</v>
      </c>
      <c r="E65" s="761"/>
      <c r="F65" s="2001"/>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6" t="str">
        <f>估价对象房地状况!C22</f>
        <v>估价对象所在区域基础设施水平</v>
      </c>
      <c r="C66" s="2234"/>
      <c r="D66" s="1196">
        <f t="shared" si="14"/>
        <v>0</v>
      </c>
      <c r="E66" s="761"/>
      <c r="F66" s="2001"/>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4"/>
        <v>0</v>
      </c>
      <c r="E67" s="764"/>
      <c r="F67" s="2001"/>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7"/>
      <c r="C69" s="1537" t="s">
        <v>2761</v>
      </c>
      <c r="D69" s="1537" t="s">
        <v>2762</v>
      </c>
      <c r="E69" s="758" t="s">
        <v>2763</v>
      </c>
      <c r="F69" s="2330" t="s">
        <v>2779</v>
      </c>
      <c r="G69" s="1537" t="s">
        <v>754</v>
      </c>
      <c r="H69" s="2331"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29" t="s">
        <v>2775</v>
      </c>
      <c r="B74" s="1496" t="str">
        <f>估价对象房地状况!C21</f>
        <v>估价对象所在区域公共配套设施齐备情况</v>
      </c>
      <c r="C74" s="2234"/>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6" t="str">
        <f>估价对象房地状况!C22</f>
        <v>估价对象所在区域基础设施水平</v>
      </c>
      <c r="C75" s="2234"/>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7"/>
      <c r="C80" s="1537" t="s">
        <v>2761</v>
      </c>
      <c r="D80" s="1537" t="s">
        <v>2762</v>
      </c>
      <c r="E80" s="758" t="s">
        <v>2763</v>
      </c>
      <c r="F80" s="2330" t="s">
        <v>2779</v>
      </c>
      <c r="G80" s="1537" t="s">
        <v>754</v>
      </c>
      <c r="H80" s="2331" t="s">
        <v>2765</v>
      </c>
      <c r="I80" s="1537"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6" t="str">
        <f>估价对象房地状况!G19</f>
        <v>估价对象所在区域公共配套设施齐备情况</v>
      </c>
      <c r="C85" s="2234"/>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6" t="str">
        <f>估价对象房地状况!G20</f>
        <v>估价对象所在区域基础设施水平</v>
      </c>
      <c r="C86" s="2234"/>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429" t="s">
        <v>2789</v>
      </c>
      <c r="B90" s="3429"/>
      <c r="C90" s="3429"/>
      <c r="D90" s="3429"/>
      <c r="E90" s="3429"/>
      <c r="F90" s="3429"/>
      <c r="G90" s="3429"/>
      <c r="H90" s="3429"/>
      <c r="I90" s="3429"/>
      <c r="J90" s="3429"/>
      <c r="K90" s="2343"/>
      <c r="L90" s="2343"/>
      <c r="M90" s="2343"/>
      <c r="N90" s="2343"/>
    </row>
    <row r="91" spans="1:37">
      <c r="A91" s="3431" t="s">
        <v>2790</v>
      </c>
      <c r="B91" s="3431" t="s">
        <v>2791</v>
      </c>
      <c r="C91" s="2297" t="s">
        <v>2792</v>
      </c>
      <c r="D91" s="2298"/>
      <c r="E91" s="2298"/>
      <c r="F91" s="2298"/>
      <c r="G91" s="2298"/>
      <c r="H91" s="2298"/>
      <c r="I91" s="2298"/>
      <c r="J91" s="2344"/>
      <c r="K91" s="2345"/>
      <c r="L91" s="2345"/>
      <c r="M91" s="2345"/>
      <c r="N91" s="2345"/>
    </row>
    <row r="92" spans="1:37">
      <c r="A92" s="3431"/>
      <c r="B92" s="3431"/>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432"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3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3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3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3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3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33"/>
      <c r="B99" s="2346" t="s">
        <v>2675</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43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32" t="s">
        <v>2794</v>
      </c>
      <c r="B101" s="2350" t="s">
        <v>2795</v>
      </c>
      <c r="C101" s="2351">
        <f>$G$3</f>
        <v>0.36</v>
      </c>
      <c r="D101" s="2351">
        <f t="shared" ref="D101:N101" si="30">$G$3</f>
        <v>0.36</v>
      </c>
      <c r="E101" s="2351">
        <f t="shared" si="30"/>
        <v>0.36</v>
      </c>
      <c r="F101" s="2351">
        <f t="shared" si="30"/>
        <v>0.36</v>
      </c>
      <c r="G101" s="2351">
        <f t="shared" si="30"/>
        <v>0.36</v>
      </c>
      <c r="H101" s="2351">
        <f t="shared" si="30"/>
        <v>0.36</v>
      </c>
      <c r="I101" s="2351">
        <f t="shared" si="30"/>
        <v>0.36</v>
      </c>
      <c r="J101" s="2351">
        <f t="shared" si="30"/>
        <v>0.36</v>
      </c>
      <c r="K101" s="2351">
        <f t="shared" si="30"/>
        <v>0.36</v>
      </c>
      <c r="L101" s="2351">
        <f t="shared" si="30"/>
        <v>0.36</v>
      </c>
      <c r="M101" s="2351">
        <f t="shared" si="30"/>
        <v>0.36</v>
      </c>
      <c r="N101" s="2351">
        <f t="shared" si="30"/>
        <v>0.36</v>
      </c>
    </row>
    <row r="102" spans="1:14">
      <c r="A102" s="3433"/>
      <c r="B102" s="2346">
        <v>1</v>
      </c>
      <c r="C102" s="2347">
        <f>1.9362/C101</f>
        <v>5.378333333333333</v>
      </c>
      <c r="D102" s="2347">
        <f>1.9362/D101</f>
        <v>5.378333333333333</v>
      </c>
      <c r="E102" s="2347">
        <f>1.8629/E101</f>
        <v>5.174722222222222</v>
      </c>
      <c r="F102" s="2347">
        <f>1.8629/F101</f>
        <v>5.174722222222222</v>
      </c>
      <c r="G102" s="2347">
        <f>1.8629/G101</f>
        <v>5.174722222222222</v>
      </c>
      <c r="H102" s="2347">
        <f>1.8629/H101</f>
        <v>5.174722222222222</v>
      </c>
      <c r="I102" s="2347">
        <f>1.8629/I101</f>
        <v>5.174722222222222</v>
      </c>
      <c r="J102" s="2347">
        <f>1.942/J101</f>
        <v>5.3944444444444448</v>
      </c>
      <c r="K102" s="2347">
        <f>1.942/K101</f>
        <v>5.3944444444444448</v>
      </c>
      <c r="L102" s="2347">
        <f>1.942/L101</f>
        <v>5.3944444444444448</v>
      </c>
      <c r="M102" s="2347">
        <f>1.942/M101</f>
        <v>5.3944444444444448</v>
      </c>
      <c r="N102" s="2347">
        <f>1.942/N101</f>
        <v>5.3944444444444448</v>
      </c>
    </row>
    <row r="103" spans="1:14">
      <c r="A103" s="3433"/>
      <c r="B103" s="2346">
        <v>2</v>
      </c>
      <c r="C103" s="2347">
        <f>1.4198/C101</f>
        <v>3.943888888888889</v>
      </c>
      <c r="D103" s="2347">
        <f>1.4198/D101</f>
        <v>3.943888888888889</v>
      </c>
      <c r="E103" s="2347">
        <f>1.3372/E101</f>
        <v>3.7144444444444442</v>
      </c>
      <c r="F103" s="2347">
        <f>1.3372/F101</f>
        <v>3.7144444444444442</v>
      </c>
      <c r="G103" s="2347">
        <f>1.3372/G101</f>
        <v>3.7144444444444442</v>
      </c>
      <c r="H103" s="2347">
        <f>1.3372/H101</f>
        <v>3.7144444444444442</v>
      </c>
      <c r="I103" s="2347">
        <f>1.3372/I101</f>
        <v>3.7144444444444442</v>
      </c>
      <c r="J103" s="2347">
        <f>1.2799/J101</f>
        <v>3.555277777777778</v>
      </c>
      <c r="K103" s="2347">
        <f>1.2799/K101</f>
        <v>3.555277777777778</v>
      </c>
      <c r="L103" s="2347">
        <f>1.2799/L101</f>
        <v>3.555277777777778</v>
      </c>
      <c r="M103" s="2347">
        <f>1.2799/M101</f>
        <v>3.555277777777778</v>
      </c>
      <c r="N103" s="2347">
        <f>1.2799/N101</f>
        <v>3.555277777777778</v>
      </c>
    </row>
    <row r="104" spans="1:14">
      <c r="A104" s="3433"/>
      <c r="B104" s="2346">
        <v>3</v>
      </c>
      <c r="C104" s="2347">
        <f>1.1594/C101</f>
        <v>3.2205555555555558</v>
      </c>
      <c r="D104" s="2347">
        <f>1.1594/D101</f>
        <v>3.2205555555555558</v>
      </c>
      <c r="E104" s="2347">
        <f>1.0788/E101</f>
        <v>2.9966666666666666</v>
      </c>
      <c r="F104" s="2347">
        <f>1.0788/F101</f>
        <v>2.9966666666666666</v>
      </c>
      <c r="G104" s="2347">
        <f>1.0788/G101</f>
        <v>2.9966666666666666</v>
      </c>
      <c r="H104" s="2347">
        <f>1.0788/H101</f>
        <v>2.9966666666666666</v>
      </c>
      <c r="I104" s="2347">
        <f>1.0788/I101</f>
        <v>2.9966666666666666</v>
      </c>
      <c r="J104" s="2347">
        <f>1.0072/J101</f>
        <v>2.7977777777777781</v>
      </c>
      <c r="K104" s="2347">
        <f>1.0072/K101</f>
        <v>2.7977777777777781</v>
      </c>
      <c r="L104" s="2347">
        <f>1.0072/L101</f>
        <v>2.7977777777777781</v>
      </c>
      <c r="M104" s="2347">
        <f>1.0072/M101</f>
        <v>2.7977777777777781</v>
      </c>
      <c r="N104" s="2347">
        <f>1.0072/N101</f>
        <v>2.7977777777777781</v>
      </c>
    </row>
    <row r="105" spans="1:14">
      <c r="A105" s="3433"/>
      <c r="B105" s="2346">
        <v>4</v>
      </c>
      <c r="C105" s="2347">
        <f>0.9622/C101</f>
        <v>2.6727777777777781</v>
      </c>
      <c r="D105" s="2347">
        <f>0.9622/D101</f>
        <v>2.6727777777777781</v>
      </c>
      <c r="E105" s="2347">
        <f>0.8656/E101</f>
        <v>2.4044444444444446</v>
      </c>
      <c r="F105" s="2347">
        <f>0.8656/F101</f>
        <v>2.4044444444444446</v>
      </c>
      <c r="G105" s="2347">
        <f>0.8656/G101</f>
        <v>2.4044444444444446</v>
      </c>
      <c r="H105" s="2347">
        <f>0.8656/H101</f>
        <v>2.4044444444444446</v>
      </c>
      <c r="I105" s="2347">
        <f>0.8656/I101</f>
        <v>2.4044444444444446</v>
      </c>
      <c r="J105" s="2347">
        <f>0.7525/J101</f>
        <v>2.0902777777777777</v>
      </c>
      <c r="K105" s="2347">
        <f>0.7525/K101</f>
        <v>2.0902777777777777</v>
      </c>
      <c r="L105" s="2347">
        <f>0.7525/L101</f>
        <v>2.0902777777777777</v>
      </c>
      <c r="M105" s="2347">
        <f>0.7525/M101</f>
        <v>2.0902777777777777</v>
      </c>
      <c r="N105" s="2347">
        <f>0.7525/N101</f>
        <v>2.0902777777777777</v>
      </c>
    </row>
    <row r="106" spans="1:14">
      <c r="A106" s="3433"/>
      <c r="B106" s="2346">
        <v>5</v>
      </c>
      <c r="C106" s="2347">
        <f>0.8417/C101</f>
        <v>2.3380555555555556</v>
      </c>
      <c r="D106" s="2347">
        <f>0.8417/D101</f>
        <v>2.3380555555555556</v>
      </c>
      <c r="E106" s="2347">
        <f>0.7371/E101</f>
        <v>2.0474999999999999</v>
      </c>
      <c r="F106" s="2347">
        <f>0.7371/F101</f>
        <v>2.0474999999999999</v>
      </c>
      <c r="G106" s="2347">
        <f>0.7371/G101</f>
        <v>2.0474999999999999</v>
      </c>
      <c r="H106" s="2347">
        <f>0.7371/H101</f>
        <v>2.0474999999999999</v>
      </c>
      <c r="I106" s="2347">
        <f>0.7371/I101</f>
        <v>2.0474999999999999</v>
      </c>
      <c r="J106" s="2347">
        <f>0.5659/J101</f>
        <v>1.5719444444444444</v>
      </c>
      <c r="K106" s="2347">
        <f>0.5659/K101</f>
        <v>1.5719444444444444</v>
      </c>
      <c r="L106" s="2347">
        <f>0.5659/L101</f>
        <v>1.5719444444444444</v>
      </c>
      <c r="M106" s="2347">
        <f>0.5659/M101</f>
        <v>1.5719444444444444</v>
      </c>
      <c r="N106" s="2347">
        <f>0.5659/N101</f>
        <v>1.5719444444444444</v>
      </c>
    </row>
    <row r="107" spans="1:14">
      <c r="A107" s="3433"/>
      <c r="B107" s="2346">
        <v>6</v>
      </c>
      <c r="C107" s="2347">
        <f>0.7608/C101</f>
        <v>2.1133333333333333</v>
      </c>
      <c r="D107" s="2347">
        <f>0.7608/D101</f>
        <v>2.1133333333333333</v>
      </c>
      <c r="E107" s="2347">
        <f>0.6482/E101</f>
        <v>1.8005555555555557</v>
      </c>
      <c r="F107" s="2347">
        <f>0.6482/F101</f>
        <v>1.8005555555555557</v>
      </c>
      <c r="G107" s="2347">
        <f>0.6482/G101</f>
        <v>1.8005555555555557</v>
      </c>
      <c r="H107" s="2347">
        <f>0.6482/H101</f>
        <v>1.8005555555555557</v>
      </c>
      <c r="I107" s="2347">
        <f>0.6482/I101</f>
        <v>1.8005555555555557</v>
      </c>
      <c r="J107" s="2347">
        <f>0.4525/J101</f>
        <v>1.2569444444444444</v>
      </c>
      <c r="K107" s="2347">
        <f>0.4525/K101</f>
        <v>1.2569444444444444</v>
      </c>
      <c r="L107" s="2347">
        <f>0.4525/L101</f>
        <v>1.2569444444444444</v>
      </c>
      <c r="M107" s="2347">
        <f>0.4525/M101</f>
        <v>1.2569444444444444</v>
      </c>
      <c r="N107" s="2347">
        <f>0.4525/N101</f>
        <v>1.2569444444444444</v>
      </c>
    </row>
    <row r="108" spans="1:14">
      <c r="A108" s="3433"/>
      <c r="B108" s="3435"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434"/>
      <c r="B109" s="3436"/>
      <c r="C109" s="2349">
        <f>(-0.163*(C108^2)-0.59*C108+7617)*(10^(-4))/C101</f>
        <v>2.1158333333333337</v>
      </c>
      <c r="D109" s="2349">
        <f>(-0.163*(D108^2)-0.59*D108+7617)*(10^(-4))/D101</f>
        <v>2.1158333333333337</v>
      </c>
      <c r="E109" s="2349">
        <f>(-0.161*(E108^2)-7.509*E108+6533)*(10^(-4))/E101</f>
        <v>1.8147222222222223</v>
      </c>
      <c r="F109" s="2349">
        <f>(-0.161*(F108^2)-7.509*F108+6533)*(10^(-4))/F101</f>
        <v>1.8147222222222223</v>
      </c>
      <c r="G109" s="2349">
        <f>(-0.161*(G108^2)-7.509*G108+6533)*(10^(-4))/G101</f>
        <v>1.8147222222222223</v>
      </c>
      <c r="H109" s="2349">
        <f>(-0.161*(H108^2)-7.509*H108+6533)*(10^(-4))/H101</f>
        <v>1.8147222222222223</v>
      </c>
      <c r="I109" s="2349">
        <f>(-0.161*(I108^2)-7.509*I108+6533)*(10^(-4))/I101</f>
        <v>1.8147222222222223</v>
      </c>
      <c r="J109" s="2349">
        <f>(-0.214*(J108^2)-21.991*J108+4665)*(10^(-4))/J101</f>
        <v>1.2958333333333334</v>
      </c>
      <c r="K109" s="2349">
        <f>(-0.214*(K108^2)-21.991*K108+4665)*(10^(-4))/K101</f>
        <v>1.2958333333333334</v>
      </c>
      <c r="L109" s="2349">
        <f>(-0.214*(L108^2)-21.991*L108+4665)*(10^(-4))/L101</f>
        <v>1.2958333333333334</v>
      </c>
      <c r="M109" s="2349">
        <f>(-0.214*(M108^2)-21.991*M108+4665)*(10^(-4))/M101</f>
        <v>1.2958333333333334</v>
      </c>
      <c r="N109" s="2349">
        <f>(-0.214*(N108^2)-21.991*N108+4665)*(10^(-4))/N101</f>
        <v>1.2958333333333334</v>
      </c>
    </row>
    <row r="110" spans="1:14">
      <c r="A110" s="3430" t="s">
        <v>2797</v>
      </c>
      <c r="B110" s="3430"/>
      <c r="C110" s="3430"/>
      <c r="D110" s="3430"/>
      <c r="E110" s="3430"/>
      <c r="F110" s="3430"/>
      <c r="G110" s="3430"/>
      <c r="H110" s="3430"/>
      <c r="I110" s="3430"/>
      <c r="J110" s="3430"/>
      <c r="K110" s="2352"/>
      <c r="L110" s="2352"/>
      <c r="M110" s="2352"/>
      <c r="N110" s="2352"/>
    </row>
    <row r="112" spans="1:14" ht="13.5" thickBot="1"/>
    <row r="113" spans="1:13" ht="25.5" thickBot="1">
      <c r="A113" s="842" t="s">
        <v>2798</v>
      </c>
      <c r="B113" s="1197">
        <f>G3</f>
        <v>0.36</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0.93010000000000004</v>
      </c>
      <c r="C115" s="849">
        <f>B115</f>
        <v>0.93010000000000004</v>
      </c>
      <c r="D115" s="849">
        <f>ROUND(0.8331-0.0109*B113,4)</f>
        <v>0.82920000000000005</v>
      </c>
      <c r="E115" s="849">
        <f>D115</f>
        <v>0.82920000000000005</v>
      </c>
      <c r="F115" s="849">
        <f>E115</f>
        <v>0.82920000000000005</v>
      </c>
      <c r="G115" s="849">
        <f>F115</f>
        <v>0.82920000000000005</v>
      </c>
      <c r="H115" s="849">
        <f>G115</f>
        <v>0.82920000000000005</v>
      </c>
      <c r="I115" s="849">
        <f>ROUND(0.689-0.0155*B113,4)</f>
        <v>0.68340000000000001</v>
      </c>
      <c r="J115" s="849">
        <f t="shared" ref="J115:M118" si="32">I115</f>
        <v>0.68340000000000001</v>
      </c>
      <c r="K115" s="849">
        <f t="shared" si="32"/>
        <v>0.68340000000000001</v>
      </c>
      <c r="L115" s="849">
        <f t="shared" si="32"/>
        <v>0.68340000000000001</v>
      </c>
      <c r="M115" s="850">
        <f t="shared" si="32"/>
        <v>0.68340000000000001</v>
      </c>
    </row>
    <row r="116" spans="1:13">
      <c r="A116" s="848" t="s">
        <v>2698</v>
      </c>
      <c r="B116" s="849">
        <f>ROUND(0.949-0.012*B113,4)</f>
        <v>0.94469999999999998</v>
      </c>
      <c r="C116" s="849">
        <f>B116</f>
        <v>0.94469999999999998</v>
      </c>
      <c r="D116" s="849">
        <f>ROUND(0.8567-0.013*B113,4)</f>
        <v>0.85199999999999998</v>
      </c>
      <c r="E116" s="849">
        <f t="shared" ref="E116:H117" si="33">D116</f>
        <v>0.85199999999999998</v>
      </c>
      <c r="F116" s="849">
        <f t="shared" si="33"/>
        <v>0.85199999999999998</v>
      </c>
      <c r="G116" s="849">
        <f t="shared" si="33"/>
        <v>0.85199999999999998</v>
      </c>
      <c r="H116" s="849">
        <f t="shared" si="33"/>
        <v>0.85199999999999998</v>
      </c>
      <c r="I116" s="849">
        <f>ROUND(0.7694-0.014*B113,4)</f>
        <v>0.76439999999999997</v>
      </c>
      <c r="J116" s="849">
        <f t="shared" si="32"/>
        <v>0.76439999999999997</v>
      </c>
      <c r="K116" s="849">
        <f t="shared" si="32"/>
        <v>0.76439999999999997</v>
      </c>
      <c r="L116" s="849">
        <f t="shared" si="32"/>
        <v>0.76439999999999997</v>
      </c>
      <c r="M116" s="850">
        <f t="shared" si="32"/>
        <v>0.76439999999999997</v>
      </c>
    </row>
    <row r="117" spans="1:13">
      <c r="A117" s="848" t="s">
        <v>2699</v>
      </c>
      <c r="B117" s="849">
        <f>ROUND(0.8808-0.006*B113,4)</f>
        <v>0.87860000000000005</v>
      </c>
      <c r="C117" s="849">
        <f>B117</f>
        <v>0.87860000000000005</v>
      </c>
      <c r="D117" s="849">
        <f>ROUND(0.8748-0.008*B113,4)</f>
        <v>0.87190000000000001</v>
      </c>
      <c r="E117" s="849">
        <f t="shared" si="33"/>
        <v>0.87190000000000001</v>
      </c>
      <c r="F117" s="849">
        <f t="shared" si="33"/>
        <v>0.87190000000000001</v>
      </c>
      <c r="G117" s="849">
        <f t="shared" si="33"/>
        <v>0.87190000000000001</v>
      </c>
      <c r="H117" s="849">
        <f t="shared" si="33"/>
        <v>0.87190000000000001</v>
      </c>
      <c r="I117" s="849">
        <f>ROUND(0.7412-0.0095*B113,4)</f>
        <v>0.73780000000000001</v>
      </c>
      <c r="J117" s="849">
        <f t="shared" si="32"/>
        <v>0.73780000000000001</v>
      </c>
      <c r="K117" s="849">
        <f t="shared" si="32"/>
        <v>0.73780000000000001</v>
      </c>
      <c r="L117" s="849">
        <f t="shared" si="32"/>
        <v>0.73780000000000001</v>
      </c>
      <c r="M117" s="850">
        <f t="shared" si="32"/>
        <v>0.73780000000000001</v>
      </c>
    </row>
    <row r="118" spans="1:13" ht="13.5" thickBot="1">
      <c r="A118" s="670" t="s">
        <v>2700</v>
      </c>
      <c r="B118" s="851">
        <f>ROUND(0.7275-0.01*B113,4)</f>
        <v>0.72389999999999999</v>
      </c>
      <c r="C118" s="851">
        <f>B118</f>
        <v>0.72389999999999999</v>
      </c>
      <c r="D118" s="851">
        <f>ROUND(0.7043-0.012*B113,4)</f>
        <v>0.7</v>
      </c>
      <c r="E118" s="851">
        <f>D118</f>
        <v>0.7</v>
      </c>
      <c r="F118" s="851">
        <f>E118</f>
        <v>0.7</v>
      </c>
      <c r="G118" s="851">
        <f>ROUND(0.6299-0.0122*B113,4)</f>
        <v>0.62549999999999994</v>
      </c>
      <c r="H118" s="851">
        <f>G118</f>
        <v>0.62549999999999994</v>
      </c>
      <c r="I118" s="851">
        <f>ROUND(0.5667-0.0136*B113,4)</f>
        <v>0.56179999999999997</v>
      </c>
      <c r="J118" s="851">
        <f t="shared" si="32"/>
        <v>0.56179999999999997</v>
      </c>
      <c r="K118" s="851">
        <f t="shared" si="32"/>
        <v>0.56179999999999997</v>
      </c>
      <c r="L118" s="851">
        <f t="shared" si="32"/>
        <v>0.56179999999999997</v>
      </c>
      <c r="M118" s="852">
        <f t="shared" si="32"/>
        <v>0.56179999999999997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53" t="s">
        <v>183</v>
      </c>
      <c r="B18" s="821" t="s">
        <v>560</v>
      </c>
      <c r="C18" s="822" t="s">
        <v>561</v>
      </c>
      <c r="D18" s="823"/>
      <c r="E18" s="821">
        <v>1</v>
      </c>
      <c r="F18" s="824" t="s">
        <v>562</v>
      </c>
      <c r="G18" s="825"/>
      <c r="H18" s="817"/>
      <c r="I18" s="817"/>
    </row>
    <row r="19" spans="1:9" s="826" customFormat="1" ht="19.5" customHeight="1">
      <c r="A19" s="3453"/>
      <c r="B19" s="3453" t="s">
        <v>563</v>
      </c>
      <c r="C19" s="822" t="s">
        <v>564</v>
      </c>
      <c r="D19" s="823"/>
      <c r="E19" s="821">
        <v>0.9</v>
      </c>
      <c r="F19" s="824" t="s">
        <v>565</v>
      </c>
      <c r="G19" s="825"/>
      <c r="H19" s="817"/>
      <c r="I19" s="817"/>
    </row>
    <row r="20" spans="1:9" s="826" customFormat="1" ht="19.5" customHeight="1">
      <c r="A20" s="3453"/>
      <c r="B20" s="3453"/>
      <c r="C20" s="822" t="s">
        <v>566</v>
      </c>
      <c r="D20" s="823"/>
      <c r="E20" s="821">
        <v>1.1000000000000001</v>
      </c>
      <c r="F20" s="824" t="s">
        <v>567</v>
      </c>
      <c r="G20" s="825"/>
      <c r="H20" s="817"/>
      <c r="I20" s="817"/>
    </row>
    <row r="21" spans="1:9" s="826" customFormat="1" ht="19.5" customHeight="1">
      <c r="A21" s="3453"/>
      <c r="B21" s="3453"/>
      <c r="C21" s="822" t="s">
        <v>568</v>
      </c>
      <c r="D21" s="823"/>
      <c r="E21" s="821">
        <v>0.8</v>
      </c>
      <c r="F21" s="824" t="s">
        <v>569</v>
      </c>
      <c r="G21" s="825"/>
      <c r="H21" s="817"/>
      <c r="I21" s="817"/>
    </row>
    <row r="22" spans="1:9" s="826" customFormat="1" ht="19.5" customHeight="1">
      <c r="A22" s="3453"/>
      <c r="B22" s="3453"/>
      <c r="C22" s="822" t="s">
        <v>570</v>
      </c>
      <c r="D22" s="823"/>
      <c r="E22" s="821">
        <v>0.5</v>
      </c>
      <c r="F22" s="824"/>
      <c r="G22" s="825"/>
      <c r="H22" s="817"/>
      <c r="I22" s="817"/>
    </row>
    <row r="23" spans="1:9" s="826" customFormat="1" ht="19.5" customHeight="1">
      <c r="A23" s="3453" t="s">
        <v>184</v>
      </c>
      <c r="B23" s="821" t="s">
        <v>560</v>
      </c>
      <c r="C23" s="822" t="s">
        <v>571</v>
      </c>
      <c r="D23" s="823"/>
      <c r="E23" s="821">
        <v>1</v>
      </c>
      <c r="F23" s="824" t="s">
        <v>572</v>
      </c>
      <c r="G23" s="825"/>
      <c r="H23" s="817"/>
      <c r="I23" s="817"/>
    </row>
    <row r="24" spans="1:9" s="826" customFormat="1" ht="19.5" customHeight="1">
      <c r="A24" s="3453"/>
      <c r="B24" s="3453" t="s">
        <v>563</v>
      </c>
      <c r="C24" s="822" t="s">
        <v>573</v>
      </c>
      <c r="D24" s="823"/>
      <c r="E24" s="821">
        <v>0.5</v>
      </c>
      <c r="F24" s="824"/>
      <c r="G24" s="825"/>
      <c r="H24" s="817"/>
      <c r="I24" s="817"/>
    </row>
    <row r="25" spans="1:9" s="826" customFormat="1" ht="19.5" customHeight="1">
      <c r="A25" s="3453"/>
      <c r="B25" s="3453"/>
      <c r="C25" s="822" t="s">
        <v>574</v>
      </c>
      <c r="D25" s="823"/>
      <c r="E25" s="821">
        <v>1.1000000000000001</v>
      </c>
      <c r="F25" s="824"/>
      <c r="G25" s="825"/>
      <c r="H25" s="817"/>
      <c r="I25" s="817"/>
    </row>
    <row r="26" spans="1:9" s="826" customFormat="1" ht="19.5" customHeight="1">
      <c r="A26" s="3453"/>
      <c r="B26" s="3453"/>
      <c r="C26" s="822" t="s">
        <v>575</v>
      </c>
      <c r="D26" s="823"/>
      <c r="E26" s="821">
        <v>1.1000000000000001</v>
      </c>
      <c r="F26" s="824"/>
      <c r="G26" s="825"/>
      <c r="H26" s="817"/>
      <c r="I26" s="817"/>
    </row>
    <row r="27" spans="1:9" s="826" customFormat="1" ht="19.5" customHeight="1">
      <c r="A27" s="3453"/>
      <c r="B27" s="3453"/>
      <c r="C27" s="822" t="s">
        <v>576</v>
      </c>
      <c r="D27" s="823"/>
      <c r="E27" s="821">
        <v>0.9</v>
      </c>
      <c r="F27" s="824" t="s">
        <v>577</v>
      </c>
      <c r="G27" s="825"/>
      <c r="H27" s="817"/>
      <c r="I27" s="817"/>
    </row>
    <row r="28" spans="1:9" s="826" customFormat="1" ht="19.5" customHeight="1">
      <c r="A28" s="3453"/>
      <c r="B28" s="3453"/>
      <c r="C28" s="822" t="s">
        <v>578</v>
      </c>
      <c r="D28" s="823"/>
      <c r="E28" s="821">
        <v>0.9</v>
      </c>
      <c r="F28" s="824" t="s">
        <v>579</v>
      </c>
      <c r="G28" s="825"/>
      <c r="H28" s="817"/>
      <c r="I28" s="817"/>
    </row>
    <row r="29" spans="1:9" s="826" customFormat="1" ht="19.5" customHeight="1">
      <c r="A29" s="3453"/>
      <c r="B29" s="3453"/>
      <c r="C29" s="822" t="s">
        <v>580</v>
      </c>
      <c r="D29" s="823"/>
      <c r="E29" s="821">
        <v>0.9</v>
      </c>
      <c r="F29" s="824" t="s">
        <v>581</v>
      </c>
      <c r="G29" s="825"/>
      <c r="H29" s="817"/>
      <c r="I29" s="817"/>
    </row>
    <row r="30" spans="1:9" s="826" customFormat="1" ht="19.5" customHeight="1">
      <c r="A30" s="3453"/>
      <c r="B30" s="3453"/>
      <c r="C30" s="822" t="s">
        <v>582</v>
      </c>
      <c r="D30" s="823"/>
      <c r="E30" s="821">
        <v>0.9</v>
      </c>
      <c r="F30" s="824" t="s">
        <v>583</v>
      </c>
      <c r="G30" s="825"/>
      <c r="H30" s="817"/>
      <c r="I30" s="817"/>
    </row>
    <row r="31" spans="1:9" s="826" customFormat="1" ht="19.5" customHeight="1">
      <c r="A31" s="3453"/>
      <c r="B31" s="3453"/>
      <c r="C31" s="822" t="s">
        <v>584</v>
      </c>
      <c r="D31" s="823"/>
      <c r="E31" s="821">
        <v>0.8</v>
      </c>
      <c r="F31" s="824" t="s">
        <v>585</v>
      </c>
      <c r="G31" s="825"/>
      <c r="H31" s="817"/>
      <c r="I31" s="817"/>
    </row>
    <row r="32" spans="1:9" s="826" customFormat="1" ht="19.5" customHeight="1">
      <c r="A32" s="3453"/>
      <c r="B32" s="3453"/>
      <c r="C32" s="822" t="s">
        <v>586</v>
      </c>
      <c r="D32" s="823"/>
      <c r="E32" s="821">
        <v>0.8</v>
      </c>
      <c r="F32" s="824" t="s">
        <v>587</v>
      </c>
      <c r="G32" s="825"/>
      <c r="H32" s="817"/>
      <c r="I32" s="817"/>
    </row>
    <row r="33" spans="1:9" s="826" customFormat="1" ht="19.5" customHeight="1">
      <c r="A33" s="3453" t="s">
        <v>185</v>
      </c>
      <c r="B33" s="821" t="s">
        <v>560</v>
      </c>
      <c r="C33" s="822" t="s">
        <v>588</v>
      </c>
      <c r="D33" s="823"/>
      <c r="E33" s="821">
        <v>1</v>
      </c>
      <c r="F33" s="824" t="s">
        <v>589</v>
      </c>
      <c r="G33" s="825"/>
      <c r="H33" s="817"/>
      <c r="I33" s="817"/>
    </row>
    <row r="34" spans="1:9" s="826" customFormat="1" ht="19.5" customHeight="1">
      <c r="A34" s="3453"/>
      <c r="B34" s="821" t="s">
        <v>563</v>
      </c>
      <c r="C34" s="822" t="s">
        <v>590</v>
      </c>
      <c r="D34" s="823"/>
      <c r="E34" s="821">
        <v>1.5</v>
      </c>
      <c r="F34" s="824" t="s">
        <v>591</v>
      </c>
      <c r="G34" s="825"/>
      <c r="H34" s="817"/>
      <c r="I34" s="817"/>
    </row>
    <row r="35" spans="1:9" s="826" customFormat="1" ht="19.5" customHeight="1">
      <c r="A35" s="3453" t="s">
        <v>186</v>
      </c>
      <c r="B35" s="821" t="s">
        <v>560</v>
      </c>
      <c r="C35" s="822" t="s">
        <v>592</v>
      </c>
      <c r="D35" s="823"/>
      <c r="E35" s="821">
        <v>1</v>
      </c>
      <c r="F35" s="824" t="s">
        <v>593</v>
      </c>
      <c r="G35" s="825"/>
      <c r="H35" s="817"/>
      <c r="I35" s="817"/>
    </row>
    <row r="36" spans="1:9" s="826" customFormat="1" ht="19.5" customHeight="1">
      <c r="A36" s="3453"/>
      <c r="B36" s="3453" t="s">
        <v>563</v>
      </c>
      <c r="C36" s="822" t="s">
        <v>594</v>
      </c>
      <c r="D36" s="823"/>
      <c r="E36" s="821">
        <v>1</v>
      </c>
      <c r="F36" s="824" t="s">
        <v>595</v>
      </c>
      <c r="G36" s="825"/>
      <c r="H36" s="817"/>
      <c r="I36" s="817"/>
    </row>
    <row r="37" spans="1:9" s="826" customFormat="1" ht="19.5" customHeight="1">
      <c r="A37" s="3453"/>
      <c r="B37" s="3453"/>
      <c r="C37" s="822" t="s">
        <v>596</v>
      </c>
      <c r="D37" s="823"/>
      <c r="E37" s="821">
        <v>1.5</v>
      </c>
      <c r="F37" s="824" t="s">
        <v>597</v>
      </c>
      <c r="G37" s="825"/>
      <c r="H37" s="817"/>
      <c r="I37" s="817"/>
    </row>
    <row r="38" spans="1:9" s="826" customFormat="1" ht="19.5" customHeight="1">
      <c r="A38" s="3453"/>
      <c r="B38" s="3453"/>
      <c r="C38" s="822" t="s">
        <v>598</v>
      </c>
      <c r="D38" s="823"/>
      <c r="E38" s="821">
        <v>1</v>
      </c>
      <c r="F38" s="824" t="s">
        <v>599</v>
      </c>
      <c r="G38" s="825"/>
      <c r="H38" s="817"/>
      <c r="I38" s="817"/>
    </row>
    <row r="39" spans="1:9" s="826" customFormat="1" ht="19.5" customHeight="1">
      <c r="A39" s="3453"/>
      <c r="B39" s="345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53" t="s">
        <v>614</v>
      </c>
      <c r="C61" s="757" t="s">
        <v>615</v>
      </c>
      <c r="D61" s="757" t="s">
        <v>616</v>
      </c>
      <c r="E61" s="834">
        <v>0.5</v>
      </c>
      <c r="F61" s="821">
        <v>80</v>
      </c>
    </row>
    <row r="62" spans="1:8" s="817" customFormat="1" ht="24">
      <c r="A62" s="821">
        <v>2</v>
      </c>
      <c r="B62" s="3453"/>
      <c r="C62" s="757" t="s">
        <v>617</v>
      </c>
      <c r="D62" s="757" t="s">
        <v>618</v>
      </c>
      <c r="E62" s="834">
        <v>0.5</v>
      </c>
      <c r="F62" s="821">
        <v>80</v>
      </c>
    </row>
    <row r="63" spans="1:8" s="817" customFormat="1" ht="36">
      <c r="A63" s="821">
        <v>3</v>
      </c>
      <c r="B63" s="3453"/>
      <c r="C63" s="757" t="s">
        <v>619</v>
      </c>
      <c r="D63" s="757" t="s">
        <v>620</v>
      </c>
      <c r="E63" s="834">
        <v>0.5</v>
      </c>
      <c r="F63" s="821">
        <v>80</v>
      </c>
    </row>
    <row r="64" spans="1:8" s="817" customFormat="1" ht="36">
      <c r="A64" s="821">
        <v>4</v>
      </c>
      <c r="B64" s="3453"/>
      <c r="C64" s="757" t="s">
        <v>621</v>
      </c>
      <c r="D64" s="757" t="s">
        <v>622</v>
      </c>
      <c r="E64" s="834">
        <v>0.4</v>
      </c>
      <c r="F64" s="821">
        <v>60</v>
      </c>
    </row>
    <row r="65" spans="1:6" s="817" customFormat="1" ht="36">
      <c r="A65" s="821">
        <v>5</v>
      </c>
      <c r="B65" s="3453"/>
      <c r="C65" s="757" t="s">
        <v>623</v>
      </c>
      <c r="D65" s="757" t="s">
        <v>624</v>
      </c>
      <c r="E65" s="834">
        <v>0.2</v>
      </c>
      <c r="F65" s="821">
        <v>30</v>
      </c>
    </row>
    <row r="66" spans="1:6" s="817" customFormat="1" ht="36">
      <c r="A66" s="821">
        <v>6</v>
      </c>
      <c r="B66" s="3453"/>
      <c r="C66" s="757" t="s">
        <v>625</v>
      </c>
      <c r="D66" s="757" t="s">
        <v>626</v>
      </c>
      <c r="E66" s="834">
        <v>0.3</v>
      </c>
      <c r="F66" s="821">
        <v>50</v>
      </c>
    </row>
    <row r="67" spans="1:6" s="817" customFormat="1" ht="36">
      <c r="A67" s="821">
        <v>7</v>
      </c>
      <c r="B67" s="3453"/>
      <c r="C67" s="757" t="s">
        <v>627</v>
      </c>
      <c r="D67" s="757" t="s">
        <v>628</v>
      </c>
      <c r="E67" s="834">
        <v>0.2</v>
      </c>
      <c r="F67" s="821">
        <v>30</v>
      </c>
    </row>
    <row r="68" spans="1:6" s="817" customFormat="1" ht="36">
      <c r="A68" s="821">
        <v>8</v>
      </c>
      <c r="B68" s="3453"/>
      <c r="C68" s="757" t="s">
        <v>629</v>
      </c>
      <c r="D68" s="757" t="s">
        <v>630</v>
      </c>
      <c r="E68" s="834">
        <v>0.2</v>
      </c>
      <c r="F68" s="821">
        <v>30</v>
      </c>
    </row>
    <row r="69" spans="1:6" s="817" customFormat="1" ht="36">
      <c r="A69" s="821">
        <v>9</v>
      </c>
      <c r="B69" s="3453"/>
      <c r="C69" s="757" t="s">
        <v>631</v>
      </c>
      <c r="D69" s="757" t="s">
        <v>632</v>
      </c>
      <c r="E69" s="834">
        <v>0.2</v>
      </c>
      <c r="F69" s="821">
        <v>30</v>
      </c>
    </row>
    <row r="70" spans="1:6" s="817" customFormat="1" ht="48">
      <c r="A70" s="821">
        <v>10</v>
      </c>
      <c r="B70" s="3453"/>
      <c r="C70" s="757" t="s">
        <v>633</v>
      </c>
      <c r="D70" s="757" t="s">
        <v>634</v>
      </c>
      <c r="E70" s="834">
        <v>0.2</v>
      </c>
      <c r="F70" s="821">
        <v>30</v>
      </c>
    </row>
    <row r="71" spans="1:6" s="817" customFormat="1" ht="48">
      <c r="A71" s="821">
        <v>11</v>
      </c>
      <c r="B71" s="3453"/>
      <c r="C71" s="757" t="s">
        <v>635</v>
      </c>
      <c r="D71" s="757" t="s">
        <v>636</v>
      </c>
      <c r="E71" s="834">
        <v>0.2</v>
      </c>
      <c r="F71" s="821">
        <v>30</v>
      </c>
    </row>
    <row r="72" spans="1:6" s="817" customFormat="1" ht="36">
      <c r="A72" s="821">
        <v>12</v>
      </c>
      <c r="B72" s="3453"/>
      <c r="C72" s="757" t="s">
        <v>637</v>
      </c>
      <c r="D72" s="757" t="s">
        <v>638</v>
      </c>
      <c r="E72" s="834">
        <v>0.5</v>
      </c>
      <c r="F72" s="821">
        <v>80</v>
      </c>
    </row>
    <row r="73" spans="1:6" s="817" customFormat="1" ht="24">
      <c r="A73" s="821">
        <v>13</v>
      </c>
      <c r="B73" s="3453"/>
      <c r="C73" s="757" t="s">
        <v>639</v>
      </c>
      <c r="D73" s="757" t="s">
        <v>640</v>
      </c>
      <c r="E73" s="834">
        <v>0.4</v>
      </c>
      <c r="F73" s="821">
        <v>60</v>
      </c>
    </row>
    <row r="74" spans="1:6" s="817" customFormat="1" ht="24">
      <c r="A74" s="821">
        <v>14</v>
      </c>
      <c r="B74" s="3453"/>
      <c r="C74" s="757" t="s">
        <v>641</v>
      </c>
      <c r="D74" s="757" t="s">
        <v>642</v>
      </c>
      <c r="E74" s="834">
        <v>0.2</v>
      </c>
      <c r="F74" s="821">
        <v>30</v>
      </c>
    </row>
    <row r="75" spans="1:6" s="817" customFormat="1" ht="24">
      <c r="A75" s="821">
        <v>15</v>
      </c>
      <c r="B75" s="3453"/>
      <c r="C75" s="757" t="s">
        <v>643</v>
      </c>
      <c r="D75" s="757" t="s">
        <v>644</v>
      </c>
      <c r="E75" s="834">
        <v>0.2</v>
      </c>
      <c r="F75" s="821">
        <v>30</v>
      </c>
    </row>
    <row r="76" spans="1:6" s="817" customFormat="1" ht="24">
      <c r="A76" s="821">
        <v>16</v>
      </c>
      <c r="B76" s="3453" t="s">
        <v>645</v>
      </c>
      <c r="C76" s="757" t="s">
        <v>646</v>
      </c>
      <c r="D76" s="757" t="s">
        <v>647</v>
      </c>
      <c r="E76" s="834">
        <v>0.5</v>
      </c>
      <c r="F76" s="821">
        <v>80</v>
      </c>
    </row>
    <row r="77" spans="1:6" s="817" customFormat="1" ht="24">
      <c r="A77" s="821">
        <v>17</v>
      </c>
      <c r="B77" s="3453"/>
      <c r="C77" s="757" t="s">
        <v>648</v>
      </c>
      <c r="D77" s="757" t="s">
        <v>649</v>
      </c>
      <c r="E77" s="834">
        <v>0.5</v>
      </c>
      <c r="F77" s="821">
        <v>80</v>
      </c>
    </row>
    <row r="78" spans="1:6" s="817" customFormat="1" ht="24">
      <c r="A78" s="821">
        <v>18</v>
      </c>
      <c r="B78" s="3453"/>
      <c r="C78" s="757" t="s">
        <v>650</v>
      </c>
      <c r="D78" s="757" t="s">
        <v>651</v>
      </c>
      <c r="E78" s="834">
        <v>0.2</v>
      </c>
      <c r="F78" s="821">
        <v>30</v>
      </c>
    </row>
    <row r="79" spans="1:6" s="817" customFormat="1" ht="24">
      <c r="A79" s="821">
        <v>19</v>
      </c>
      <c r="B79" s="3453"/>
      <c r="C79" s="757" t="s">
        <v>652</v>
      </c>
      <c r="D79" s="757" t="s">
        <v>653</v>
      </c>
      <c r="E79" s="834">
        <v>0.5</v>
      </c>
      <c r="F79" s="821">
        <v>80</v>
      </c>
    </row>
    <row r="80" spans="1:6" s="817" customFormat="1" ht="36">
      <c r="A80" s="821">
        <v>20</v>
      </c>
      <c r="B80" s="3453"/>
      <c r="C80" s="757" t="s">
        <v>654</v>
      </c>
      <c r="D80" s="757" t="s">
        <v>655</v>
      </c>
      <c r="E80" s="834">
        <v>0.2</v>
      </c>
      <c r="F80" s="821">
        <v>30</v>
      </c>
    </row>
    <row r="81" spans="1:6" s="817" customFormat="1" ht="36">
      <c r="A81" s="821">
        <v>21</v>
      </c>
      <c r="B81" s="3453"/>
      <c r="C81" s="757" t="s">
        <v>656</v>
      </c>
      <c r="D81" s="757" t="s">
        <v>657</v>
      </c>
      <c r="E81" s="834">
        <v>0.2</v>
      </c>
      <c r="F81" s="821">
        <v>30</v>
      </c>
    </row>
    <row r="82" spans="1:6" s="817" customFormat="1" ht="48">
      <c r="A82" s="821">
        <v>22</v>
      </c>
      <c r="B82" s="3453"/>
      <c r="C82" s="757" t="s">
        <v>658</v>
      </c>
      <c r="D82" s="757" t="s">
        <v>659</v>
      </c>
      <c r="E82" s="834">
        <v>0.2</v>
      </c>
      <c r="F82" s="821">
        <v>30</v>
      </c>
    </row>
    <row r="83" spans="1:6" s="817" customFormat="1" ht="48">
      <c r="A83" s="821">
        <v>23</v>
      </c>
      <c r="B83" s="3453"/>
      <c r="C83" s="757" t="s">
        <v>660</v>
      </c>
      <c r="D83" s="757" t="s">
        <v>661</v>
      </c>
      <c r="E83" s="834">
        <v>0.2</v>
      </c>
      <c r="F83" s="821">
        <v>30</v>
      </c>
    </row>
    <row r="84" spans="1:6" s="817" customFormat="1" ht="36">
      <c r="A84" s="821">
        <v>24</v>
      </c>
      <c r="B84" s="3453"/>
      <c r="C84" s="757" t="s">
        <v>662</v>
      </c>
      <c r="D84" s="757" t="s">
        <v>663</v>
      </c>
      <c r="E84" s="834">
        <v>0.2</v>
      </c>
      <c r="F84" s="821">
        <v>30</v>
      </c>
    </row>
    <row r="85" spans="1:6" s="817" customFormat="1" ht="36">
      <c r="A85" s="821">
        <v>25</v>
      </c>
      <c r="B85" s="3453"/>
      <c r="C85" s="757" t="s">
        <v>664</v>
      </c>
      <c r="D85" s="757" t="s">
        <v>665</v>
      </c>
      <c r="E85" s="834">
        <v>0.5</v>
      </c>
      <c r="F85" s="821">
        <v>80</v>
      </c>
    </row>
    <row r="86" spans="1:6" s="817" customFormat="1" ht="36">
      <c r="A86" s="821">
        <v>26</v>
      </c>
      <c r="B86" s="3453"/>
      <c r="C86" s="757" t="s">
        <v>666</v>
      </c>
      <c r="D86" s="757" t="s">
        <v>667</v>
      </c>
      <c r="E86" s="834">
        <v>0.2</v>
      </c>
      <c r="F86" s="821">
        <v>30</v>
      </c>
    </row>
    <row r="87" spans="1:6" s="817" customFormat="1" ht="36">
      <c r="A87" s="821">
        <v>27</v>
      </c>
      <c r="B87" s="3453"/>
      <c r="C87" s="757" t="s">
        <v>668</v>
      </c>
      <c r="D87" s="757" t="s">
        <v>669</v>
      </c>
      <c r="E87" s="834">
        <v>0.2</v>
      </c>
      <c r="F87" s="821">
        <v>30</v>
      </c>
    </row>
    <row r="88" spans="1:6" s="817" customFormat="1" ht="36">
      <c r="A88" s="821">
        <v>28</v>
      </c>
      <c r="B88" s="3453"/>
      <c r="C88" s="757" t="s">
        <v>670</v>
      </c>
      <c r="D88" s="757" t="s">
        <v>671</v>
      </c>
      <c r="E88" s="834">
        <v>0.2</v>
      </c>
      <c r="F88" s="821">
        <v>30</v>
      </c>
    </row>
    <row r="89" spans="1:6" s="817" customFormat="1" ht="24">
      <c r="A89" s="821">
        <v>29</v>
      </c>
      <c r="B89" s="3453"/>
      <c r="C89" s="757" t="s">
        <v>672</v>
      </c>
      <c r="D89" s="757" t="s">
        <v>673</v>
      </c>
      <c r="E89" s="834">
        <v>0.2</v>
      </c>
      <c r="F89" s="821">
        <v>30</v>
      </c>
    </row>
    <row r="90" spans="1:6" s="817" customFormat="1" ht="24">
      <c r="A90" s="821">
        <v>30</v>
      </c>
      <c r="B90" s="3453"/>
      <c r="C90" s="757" t="s">
        <v>674</v>
      </c>
      <c r="D90" s="757" t="s">
        <v>675</v>
      </c>
      <c r="E90" s="834">
        <v>0.2</v>
      </c>
      <c r="F90" s="821">
        <v>30</v>
      </c>
    </row>
    <row r="91" spans="1:6" s="817" customFormat="1" ht="36">
      <c r="A91" s="821">
        <v>31</v>
      </c>
      <c r="B91" s="3453"/>
      <c r="C91" s="757" t="s">
        <v>676</v>
      </c>
      <c r="D91" s="757" t="s">
        <v>677</v>
      </c>
      <c r="E91" s="834">
        <v>0.2</v>
      </c>
      <c r="F91" s="821">
        <v>30</v>
      </c>
    </row>
    <row r="92" spans="1:6" s="817" customFormat="1" ht="24">
      <c r="A92" s="821">
        <v>32</v>
      </c>
      <c r="B92" s="3453" t="s">
        <v>678</v>
      </c>
      <c r="C92" s="821" t="s">
        <v>679</v>
      </c>
      <c r="D92" s="757" t="s">
        <v>680</v>
      </c>
      <c r="E92" s="834">
        <v>0.2</v>
      </c>
      <c r="F92" s="821">
        <v>30</v>
      </c>
    </row>
    <row r="93" spans="1:6" s="817" customFormat="1" ht="36">
      <c r="A93" s="821">
        <v>33</v>
      </c>
      <c r="B93" s="3453"/>
      <c r="C93" s="821" t="s">
        <v>681</v>
      </c>
      <c r="D93" s="757" t="s">
        <v>682</v>
      </c>
      <c r="E93" s="834">
        <v>0.2</v>
      </c>
      <c r="F93" s="821">
        <v>30</v>
      </c>
    </row>
    <row r="94" spans="1:6" s="817" customFormat="1" ht="48">
      <c r="A94" s="821">
        <v>34</v>
      </c>
      <c r="B94" s="3453"/>
      <c r="C94" s="821" t="s">
        <v>683</v>
      </c>
      <c r="D94" s="757" t="s">
        <v>684</v>
      </c>
      <c r="E94" s="834">
        <v>0.2</v>
      </c>
      <c r="F94" s="821">
        <v>30</v>
      </c>
    </row>
    <row r="95" spans="1:6" s="817" customFormat="1" ht="36">
      <c r="A95" s="821">
        <v>35</v>
      </c>
      <c r="B95" s="3453"/>
      <c r="C95" s="821" t="s">
        <v>685</v>
      </c>
      <c r="D95" s="757" t="s">
        <v>686</v>
      </c>
      <c r="E95" s="834">
        <v>0.2</v>
      </c>
      <c r="F95" s="821">
        <v>30</v>
      </c>
    </row>
    <row r="96" spans="1:6" s="817" customFormat="1" ht="48">
      <c r="A96" s="821">
        <v>36</v>
      </c>
      <c r="B96" s="3453"/>
      <c r="C96" s="757" t="s">
        <v>687</v>
      </c>
      <c r="D96" s="757" t="s">
        <v>688</v>
      </c>
      <c r="E96" s="834">
        <v>0.2</v>
      </c>
      <c r="F96" s="821">
        <v>30</v>
      </c>
    </row>
    <row r="97" spans="1:6" s="817" customFormat="1" ht="36">
      <c r="A97" s="821">
        <v>37</v>
      </c>
      <c r="B97" s="3453"/>
      <c r="C97" s="821" t="s">
        <v>689</v>
      </c>
      <c r="D97" s="757" t="s">
        <v>690</v>
      </c>
      <c r="E97" s="834">
        <v>0.2</v>
      </c>
      <c r="F97" s="821">
        <v>30</v>
      </c>
    </row>
    <row r="98" spans="1:6" s="817" customFormat="1" ht="36">
      <c r="A98" s="821">
        <v>38</v>
      </c>
      <c r="B98" s="3453"/>
      <c r="C98" s="821" t="s">
        <v>691</v>
      </c>
      <c r="D98" s="757" t="s">
        <v>692</v>
      </c>
      <c r="E98" s="834">
        <v>0.2</v>
      </c>
      <c r="F98" s="821">
        <v>30</v>
      </c>
    </row>
    <row r="99" spans="1:6" s="817" customFormat="1" ht="36">
      <c r="A99" s="821">
        <v>39</v>
      </c>
      <c r="B99" s="3453" t="s">
        <v>693</v>
      </c>
      <c r="C99" s="821" t="s">
        <v>694</v>
      </c>
      <c r="D99" s="757" t="s">
        <v>695</v>
      </c>
      <c r="E99" s="834">
        <v>0.3</v>
      </c>
      <c r="F99" s="821">
        <v>50</v>
      </c>
    </row>
    <row r="100" spans="1:6" s="817" customFormat="1" ht="24">
      <c r="A100" s="821">
        <v>40</v>
      </c>
      <c r="B100" s="3453"/>
      <c r="C100" s="821" t="s">
        <v>696</v>
      </c>
      <c r="D100" s="757" t="s">
        <v>697</v>
      </c>
      <c r="E100" s="834">
        <v>0.2</v>
      </c>
      <c r="F100" s="821">
        <v>30</v>
      </c>
    </row>
    <row r="101" spans="1:6" s="817" customFormat="1" ht="36">
      <c r="A101" s="821">
        <v>41</v>
      </c>
      <c r="B101" s="345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53" t="s">
        <v>708</v>
      </c>
      <c r="C105" s="821" t="s">
        <v>709</v>
      </c>
      <c r="D105" s="757" t="s">
        <v>710</v>
      </c>
      <c r="E105" s="834">
        <v>0.2</v>
      </c>
      <c r="F105" s="821">
        <v>30</v>
      </c>
    </row>
    <row r="106" spans="1:6" s="817" customFormat="1" ht="36">
      <c r="A106" s="821">
        <v>46</v>
      </c>
      <c r="B106" s="3453"/>
      <c r="C106" s="821" t="s">
        <v>711</v>
      </c>
      <c r="D106" s="757" t="s">
        <v>712</v>
      </c>
      <c r="E106" s="834">
        <v>0.2</v>
      </c>
      <c r="F106" s="821">
        <v>30</v>
      </c>
    </row>
    <row r="107" spans="1:6" s="817" customFormat="1" ht="36">
      <c r="A107" s="821">
        <v>47</v>
      </c>
      <c r="B107" s="3453" t="s">
        <v>713</v>
      </c>
      <c r="C107" s="821" t="s">
        <v>714</v>
      </c>
      <c r="D107" s="757" t="s">
        <v>715</v>
      </c>
      <c r="E107" s="834">
        <v>0.3</v>
      </c>
      <c r="F107" s="821">
        <v>50</v>
      </c>
    </row>
    <row r="108" spans="1:6" s="817" customFormat="1" ht="36">
      <c r="A108" s="821">
        <v>48</v>
      </c>
      <c r="B108" s="345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53" t="s">
        <v>724</v>
      </c>
      <c r="C111" s="821" t="s">
        <v>725</v>
      </c>
      <c r="D111" s="757" t="s">
        <v>726</v>
      </c>
      <c r="E111" s="834">
        <v>0.2</v>
      </c>
      <c r="F111" s="821">
        <v>30</v>
      </c>
    </row>
    <row r="112" spans="1:6" s="817" customFormat="1" ht="24">
      <c r="A112" s="821">
        <v>52</v>
      </c>
      <c r="B112" s="3453"/>
      <c r="C112" s="821" t="s">
        <v>727</v>
      </c>
      <c r="D112" s="757" t="s">
        <v>728</v>
      </c>
      <c r="E112" s="834">
        <v>0.2</v>
      </c>
      <c r="F112" s="821">
        <v>30</v>
      </c>
    </row>
    <row r="113" spans="1:6" s="817" customFormat="1" ht="24">
      <c r="A113" s="821">
        <v>53</v>
      </c>
      <c r="B113" s="345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53" t="s">
        <v>737</v>
      </c>
      <c r="C116" s="821" t="s">
        <v>738</v>
      </c>
      <c r="D116" s="757" t="s">
        <v>739</v>
      </c>
      <c r="E116" s="834">
        <v>0.2</v>
      </c>
      <c r="F116" s="821">
        <v>30</v>
      </c>
    </row>
    <row r="117" spans="1:6" ht="36">
      <c r="A117" s="821">
        <v>57</v>
      </c>
      <c r="B117" s="345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2820</v>
      </c>
      <c r="B1" s="2363"/>
      <c r="C1" s="2363"/>
      <c r="D1" s="2363"/>
      <c r="E1" s="2363"/>
      <c r="F1" s="3021"/>
      <c r="G1" s="3021"/>
      <c r="H1" s="3021"/>
      <c r="I1" s="3021"/>
      <c r="J1" s="3021"/>
      <c r="K1" s="3021"/>
      <c r="L1" s="3021"/>
      <c r="M1" s="3021"/>
      <c r="N1" s="3021"/>
      <c r="O1" s="3021"/>
      <c r="P1" s="3021"/>
    </row>
    <row r="2" spans="1:16" ht="15.75">
      <c r="A2" s="2361" t="s">
        <v>2812</v>
      </c>
      <c r="B2" s="2826" t="e">
        <f ca="1">SUMIF(B6:B13,"&lt;&gt;#ref!",B6:B13)</f>
        <v>#DIV/0!</v>
      </c>
      <c r="C2" s="2361" t="s">
        <v>2813</v>
      </c>
      <c r="D2" s="2361" t="s">
        <v>2814</v>
      </c>
      <c r="E2" s="2836">
        <f ca="1">SUMIF(E6:E13,"&lt;&gt;#ref!",E6:E13)</f>
        <v>0</v>
      </c>
      <c r="F2" s="3021"/>
      <c r="G2" s="3021"/>
      <c r="H2" s="3021"/>
      <c r="I2" s="3021"/>
      <c r="J2" s="3021"/>
      <c r="K2" s="3021"/>
      <c r="L2" s="3021"/>
      <c r="M2" s="3021"/>
      <c r="N2" s="3021"/>
      <c r="O2" s="3021"/>
      <c r="P2" s="3021"/>
    </row>
    <row r="3" spans="1:16" ht="15.75">
      <c r="A3" s="2361" t="s">
        <v>2815</v>
      </c>
      <c r="B3" s="2826" t="e">
        <f ca="1">ROUND(B2*10000/E2,0)</f>
        <v>#DIV/0!</v>
      </c>
      <c r="C3" s="2361"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2816</v>
      </c>
      <c r="B5" s="2834" t="s">
        <v>2817</v>
      </c>
      <c r="C5" s="2362"/>
      <c r="D5" s="3021"/>
      <c r="E5" s="2835" t="s">
        <v>2818</v>
      </c>
      <c r="F5" s="3021"/>
      <c r="G5" s="3021"/>
      <c r="H5" s="3021"/>
      <c r="I5" s="3021"/>
      <c r="J5" s="3021"/>
      <c r="K5" s="3021"/>
      <c r="L5" s="3021"/>
      <c r="M5" s="3021"/>
      <c r="N5" s="3021"/>
      <c r="O5" s="3021"/>
      <c r="P5" s="3021"/>
    </row>
    <row r="6" spans="1:16" ht="15.75">
      <c r="A6" s="2833" t="s">
        <v>2819</v>
      </c>
      <c r="B6" s="2826" t="e">
        <f ca="1">SUMIF(INDIRECT("'"&amp;A6&amp;"'"&amp;"!A:A"),"总价",INDIRECT("'"&amp;A6&amp;"'"&amp;"!B:B"))</f>
        <v>#DIV/0!</v>
      </c>
      <c r="C6" s="2361" t="s">
        <v>2813</v>
      </c>
      <c r="D6" s="3021"/>
      <c r="E6" s="2836">
        <f ca="1">SUMIF(INDIRECT("'"&amp;A6&amp;"'"&amp;"!C:C"),"建筑面积",INDIRECT("'"&amp;A6&amp;"'"&amp;"!D:D"))</f>
        <v>0</v>
      </c>
      <c r="F6" s="3021"/>
      <c r="G6" s="3021"/>
      <c r="H6" s="3021"/>
      <c r="I6" s="3021"/>
      <c r="J6" s="3021"/>
      <c r="K6" s="3021"/>
      <c r="L6" s="3021"/>
      <c r="M6" s="3021"/>
      <c r="N6" s="3021"/>
      <c r="O6" s="3021"/>
      <c r="P6" s="3021"/>
    </row>
    <row r="7" spans="1:16" ht="15.75">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59" t="s">
        <v>1117</v>
      </c>
      <c r="C1" s="3459"/>
      <c r="D1" s="3459"/>
      <c r="E1" s="3459"/>
      <c r="F1" s="3459"/>
      <c r="G1" s="3455" t="s">
        <v>1118</v>
      </c>
      <c r="H1" s="3455"/>
      <c r="I1" s="3455"/>
      <c r="J1" s="3455"/>
      <c r="K1" s="3455"/>
      <c r="L1" s="3455"/>
      <c r="N1" s="3455" t="s">
        <v>1119</v>
      </c>
      <c r="O1" s="3455"/>
      <c r="P1" s="3455"/>
      <c r="Q1" s="3455"/>
      <c r="S1" s="3455" t="s">
        <v>1120</v>
      </c>
      <c r="T1" s="3455"/>
      <c r="U1" s="3455"/>
      <c r="V1" s="3455"/>
      <c r="X1" s="3454" t="s">
        <v>1121</v>
      </c>
      <c r="Y1" s="3455"/>
      <c r="Z1" s="3455"/>
      <c r="AA1" s="3455"/>
      <c r="AB1" s="3455"/>
      <c r="AD1" s="3454" t="s">
        <v>1122</v>
      </c>
      <c r="AE1" s="3455"/>
      <c r="AF1" s="3455"/>
      <c r="AG1" s="3455"/>
      <c r="AH1" s="345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2848</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B17" si="2">B6*(1+N5)</f>
        <v>483.1434279321756</v>
      </c>
      <c r="C5" s="2413">
        <f t="shared" ref="C5:C17" si="3">C6*(1+O5)</f>
        <v>345.93622669144776</v>
      </c>
      <c r="D5" s="2413">
        <f t="shared" ref="D5:D22" si="4">C5</f>
        <v>345.93622669144776</v>
      </c>
      <c r="E5" s="2413">
        <f t="shared" ref="E5:E17" si="5">E6*(1+P5)</f>
        <v>694.24498562544113</v>
      </c>
      <c r="F5" s="2413">
        <f t="shared" ref="F5:F17" si="6">F6*(1+Q5)</f>
        <v>319.35475932716082</v>
      </c>
      <c r="G5" s="3040">
        <v>2021</v>
      </c>
      <c r="H5" s="2415">
        <v>1</v>
      </c>
      <c r="I5" s="2416">
        <v>0</v>
      </c>
      <c r="J5" s="2416">
        <v>0</v>
      </c>
      <c r="K5" s="2416">
        <v>0</v>
      </c>
      <c r="L5" s="2416">
        <v>0</v>
      </c>
      <c r="N5" s="2418">
        <f t="shared" ref="N5:Q9" si="7">I5/100</f>
        <v>0</v>
      </c>
      <c r="O5" s="2418">
        <f t="shared" si="7"/>
        <v>0</v>
      </c>
      <c r="P5" s="2418">
        <f t="shared" si="7"/>
        <v>0</v>
      </c>
      <c r="Q5" s="2418">
        <f t="shared" si="7"/>
        <v>0</v>
      </c>
      <c r="S5" s="2419"/>
      <c r="W5" s="2420" t="s">
        <v>2849</v>
      </c>
      <c r="X5" s="2421">
        <f>ROUND(IF(项目基本情况!B5="出让",SUMPRODUCT(PRODUCT(1+N5:N$33)),SUMPRODUCT(PRODUCT(1+N5:N$32))),4)</f>
        <v>1.571</v>
      </c>
      <c r="Y5" s="2421">
        <f>ROUND(IF(项目基本情况!B5="出让",SUMPRODUCT(PRODUCT(1+O5:O$33)),SUMPRODUCT(PRODUCT(1+O5:O$32))),4)</f>
        <v>1.3420000000000001</v>
      </c>
      <c r="Z5" s="2421">
        <f t="shared" ref="Z5:Z17" si="8">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AF17" si="9">AE5</f>
        <v>1.0999999999999999E-2</v>
      </c>
      <c r="AG5" s="2422">
        <f>ROUND(AVERAGE(K5:K$33)/100,4)</f>
        <v>1.8499999999999999E-2</v>
      </c>
      <c r="AH5" s="2422">
        <f>ROUND(AVERAGE(L5:L$33)/100,4)</f>
        <v>1.1900000000000001E-2</v>
      </c>
    </row>
    <row r="6" spans="1:34" s="2430" customFormat="1">
      <c r="A6" s="2423" t="s">
        <v>3054</v>
      </c>
      <c r="B6" s="2424">
        <f t="shared" si="2"/>
        <v>483.1434279321756</v>
      </c>
      <c r="C6" s="2424">
        <f t="shared" si="3"/>
        <v>345.93622669144776</v>
      </c>
      <c r="D6" s="2424">
        <f t="shared" si="4"/>
        <v>345.93622669144776</v>
      </c>
      <c r="E6" s="2424">
        <f t="shared" si="5"/>
        <v>694.24498562544113</v>
      </c>
      <c r="F6" s="2424">
        <f t="shared" si="6"/>
        <v>319.35475932716082</v>
      </c>
      <c r="G6" s="3040">
        <v>2020</v>
      </c>
      <c r="H6" s="2425">
        <v>4</v>
      </c>
      <c r="I6" s="2387">
        <v>0</v>
      </c>
      <c r="J6" s="2387">
        <v>0</v>
      </c>
      <c r="K6" s="2387">
        <v>0</v>
      </c>
      <c r="L6" s="2388">
        <v>0</v>
      </c>
      <c r="M6" s="2410"/>
      <c r="N6" s="2426">
        <f t="shared" si="7"/>
        <v>0</v>
      </c>
      <c r="O6" s="2411">
        <f t="shared" si="7"/>
        <v>0</v>
      </c>
      <c r="P6" s="2411">
        <f t="shared" si="7"/>
        <v>0</v>
      </c>
      <c r="Q6" s="2411">
        <f t="shared" si="7"/>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si="8"/>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si="9"/>
        <v>1.14E-2</v>
      </c>
      <c r="AG6" s="2429">
        <f>ROUND(AVERAGE(K6:K$33)/100,4)</f>
        <v>1.9199999999999998E-2</v>
      </c>
      <c r="AH6" s="2429">
        <f>ROUND(AVERAGE(L6:L$33)/100,4)</f>
        <v>1.23E-2</v>
      </c>
    </row>
    <row r="7" spans="1:34" s="2430" customFormat="1">
      <c r="A7" s="2423" t="s">
        <v>3052</v>
      </c>
      <c r="B7" s="2424">
        <f t="shared" si="2"/>
        <v>483.1434279321756</v>
      </c>
      <c r="C7" s="2424">
        <f t="shared" si="3"/>
        <v>345.93622669144776</v>
      </c>
      <c r="D7" s="2424">
        <f t="shared" si="4"/>
        <v>345.93622669144776</v>
      </c>
      <c r="E7" s="2424">
        <f t="shared" si="5"/>
        <v>694.24498562544113</v>
      </c>
      <c r="F7" s="2424">
        <f t="shared" si="6"/>
        <v>319.35475932716082</v>
      </c>
      <c r="G7" s="3037">
        <v>2020</v>
      </c>
      <c r="H7" s="2425">
        <v>3</v>
      </c>
      <c r="I7" s="2387">
        <v>0.36</v>
      </c>
      <c r="J7" s="2387">
        <v>-0.39</v>
      </c>
      <c r="K7" s="2387">
        <v>0.49</v>
      </c>
      <c r="L7" s="2388">
        <v>7.0000000000000007E-2</v>
      </c>
      <c r="M7" s="2410"/>
      <c r="N7" s="2426">
        <f t="shared" si="7"/>
        <v>3.5999999999999999E-3</v>
      </c>
      <c r="O7" s="2411">
        <f t="shared" si="7"/>
        <v>-3.9000000000000003E-3</v>
      </c>
      <c r="P7" s="2411">
        <f t="shared" si="7"/>
        <v>4.8999999999999998E-3</v>
      </c>
      <c r="Q7" s="2411">
        <f t="shared" si="7"/>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si="8"/>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si="9"/>
        <v>1.1900000000000001E-2</v>
      </c>
      <c r="AG7" s="2429">
        <f>ROUND(AVERAGE(K7:K$33)/100,4)</f>
        <v>1.9900000000000001E-2</v>
      </c>
      <c r="AH7" s="2429">
        <f>ROUND(AVERAGE(L7:L$33)/100,4)</f>
        <v>1.2800000000000001E-2</v>
      </c>
    </row>
    <row r="8" spans="1:34" s="2430" customFormat="1">
      <c r="A8" s="2423" t="s">
        <v>2865</v>
      </c>
      <c r="B8" s="2424">
        <f t="shared" si="2"/>
        <v>481.4103506697644</v>
      </c>
      <c r="C8" s="2424">
        <f t="shared" si="3"/>
        <v>347.29066026648707</v>
      </c>
      <c r="D8" s="2424">
        <f t="shared" si="4"/>
        <v>347.29066026648707</v>
      </c>
      <c r="E8" s="2424">
        <f t="shared" si="5"/>
        <v>690.85977273901995</v>
      </c>
      <c r="F8" s="2424">
        <f t="shared" si="6"/>
        <v>319.13136737000184</v>
      </c>
      <c r="G8" s="2414">
        <v>2020</v>
      </c>
      <c r="H8" s="2425">
        <v>2</v>
      </c>
      <c r="I8" s="2387">
        <v>0.31</v>
      </c>
      <c r="J8" s="2387">
        <v>-0.78</v>
      </c>
      <c r="K8" s="2387">
        <v>0.5</v>
      </c>
      <c r="L8" s="2388">
        <v>0.47</v>
      </c>
      <c r="M8" s="2410"/>
      <c r="N8" s="2426">
        <f t="shared" si="7"/>
        <v>3.0999999999999999E-3</v>
      </c>
      <c r="O8" s="2411">
        <f t="shared" si="7"/>
        <v>-7.8000000000000005E-3</v>
      </c>
      <c r="P8" s="2411">
        <f t="shared" si="7"/>
        <v>5.0000000000000001E-3</v>
      </c>
      <c r="Q8" s="2411">
        <f t="shared" si="7"/>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si="8"/>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si="9"/>
        <v>1.2500000000000001E-2</v>
      </c>
      <c r="AG8" s="2429">
        <f>ROUND(AVERAGE(K8:K$33)/100,4)</f>
        <v>2.0400000000000001E-2</v>
      </c>
      <c r="AH8" s="2429">
        <f>ROUND(AVERAGE(L8:L$33)/100,4)</f>
        <v>1.32E-2</v>
      </c>
    </row>
    <row r="9" spans="1:34" s="2430" customFormat="1">
      <c r="A9" s="2423" t="s">
        <v>2863</v>
      </c>
      <c r="B9" s="2424">
        <f t="shared" si="2"/>
        <v>479.92259063878413</v>
      </c>
      <c r="C9" s="2424">
        <f t="shared" si="3"/>
        <v>350.02082268341775</v>
      </c>
      <c r="D9" s="2424">
        <f t="shared" si="4"/>
        <v>350.02082268341775</v>
      </c>
      <c r="E9" s="2424">
        <f t="shared" si="5"/>
        <v>687.42265944181099</v>
      </c>
      <c r="F9" s="2424">
        <f t="shared" si="6"/>
        <v>317.63846657708956</v>
      </c>
      <c r="G9" s="2414">
        <v>2020</v>
      </c>
      <c r="H9" s="2425">
        <v>1</v>
      </c>
      <c r="I9" s="2387">
        <v>0.12</v>
      </c>
      <c r="J9" s="2387">
        <v>-0.4</v>
      </c>
      <c r="K9" s="2387">
        <v>0.21</v>
      </c>
      <c r="L9" s="2388">
        <v>0.27</v>
      </c>
      <c r="M9" s="2410"/>
      <c r="N9" s="2426">
        <f t="shared" si="7"/>
        <v>1.1999999999999999E-3</v>
      </c>
      <c r="O9" s="2411">
        <f t="shared" si="7"/>
        <v>-4.0000000000000001E-3</v>
      </c>
      <c r="P9" s="2411">
        <f t="shared" si="7"/>
        <v>2.0999999999999999E-3</v>
      </c>
      <c r="Q9" s="2411">
        <f t="shared" si="7"/>
        <v>2.7000000000000001E-3</v>
      </c>
      <c r="R9" s="2427"/>
      <c r="S9" s="2426">
        <f>B9/B10-1</f>
        <v>1.2000000000000899E-3</v>
      </c>
      <c r="T9" s="2411">
        <f>C9/C10-1</f>
        <v>-4.0000000000000036E-3</v>
      </c>
      <c r="U9" s="2411">
        <f>D9/D10-1</f>
        <v>-4.0000000000000036E-3</v>
      </c>
      <c r="V9" s="2411">
        <f>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si="8"/>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si="9"/>
        <v>1.3299999999999999E-2</v>
      </c>
      <c r="AG9" s="2429">
        <f>ROUND(AVERAGE(K9:K$33)/100,4)</f>
        <v>2.1100000000000001E-2</v>
      </c>
      <c r="AH9" s="2429">
        <f>ROUND(AVERAGE(L9:L$33)/100,4)</f>
        <v>1.3599999999999999E-2</v>
      </c>
    </row>
    <row r="10" spans="1:34" s="2430" customFormat="1">
      <c r="A10" s="2423" t="s">
        <v>2862</v>
      </c>
      <c r="B10" s="2424">
        <f t="shared" si="2"/>
        <v>479.34737379023579</v>
      </c>
      <c r="C10" s="2424">
        <f t="shared" si="3"/>
        <v>351.4265287986122</v>
      </c>
      <c r="D10" s="2424">
        <f t="shared" si="4"/>
        <v>351.4265287986122</v>
      </c>
      <c r="E10" s="2424">
        <f t="shared" si="5"/>
        <v>685.98209703803116</v>
      </c>
      <c r="F10" s="2424">
        <f t="shared" si="6"/>
        <v>316.78315206651001</v>
      </c>
      <c r="G10" s="2414">
        <v>2019</v>
      </c>
      <c r="H10" s="2425">
        <v>4</v>
      </c>
      <c r="I10" s="2425">
        <v>0.45</v>
      </c>
      <c r="J10" s="2425">
        <v>-0.12</v>
      </c>
      <c r="K10" s="2425">
        <v>0.54</v>
      </c>
      <c r="L10" s="2431">
        <v>0.48</v>
      </c>
      <c r="M10" s="2410"/>
      <c r="N10" s="2426">
        <f t="shared" ref="N10:N15" si="10">I10/100</f>
        <v>4.5000000000000005E-3</v>
      </c>
      <c r="O10" s="2411">
        <f t="shared" ref="O10:O20" si="11">J10/100</f>
        <v>-1.1999999999999999E-3</v>
      </c>
      <c r="P10" s="2411">
        <f t="shared" ref="P10:P20" si="12">K10/100</f>
        <v>5.4000000000000003E-3</v>
      </c>
      <c r="Q10" s="2411">
        <f t="shared" ref="Q10:Q20" si="13">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si="8"/>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si="9"/>
        <v>1.4E-2</v>
      </c>
      <c r="AG10" s="2429">
        <f>ROUND(AVERAGE(K10:K$33)/100,4)</f>
        <v>2.1899999999999999E-2</v>
      </c>
      <c r="AH10" s="2429">
        <f>ROUND(AVERAGE(L10:L$33)/100,4)</f>
        <v>1.4E-2</v>
      </c>
    </row>
    <row r="11" spans="1:34" s="2430" customFormat="1" ht="13.5" thickBot="1">
      <c r="A11" s="2423" t="s">
        <v>2861</v>
      </c>
      <c r="B11" s="2424">
        <f t="shared" si="2"/>
        <v>477.19997390765138</v>
      </c>
      <c r="C11" s="2424">
        <f t="shared" si="3"/>
        <v>351.84874729536665</v>
      </c>
      <c r="D11" s="2424">
        <f t="shared" si="4"/>
        <v>351.84874729536665</v>
      </c>
      <c r="E11" s="2424">
        <f t="shared" si="5"/>
        <v>682.29768951465201</v>
      </c>
      <c r="F11" s="2424">
        <f t="shared" si="6"/>
        <v>315.26985675409043</v>
      </c>
      <c r="G11" s="2414">
        <v>2019</v>
      </c>
      <c r="H11" s="2425">
        <v>3</v>
      </c>
      <c r="I11" s="2425">
        <v>0.61</v>
      </c>
      <c r="J11" s="2425">
        <v>0.67</v>
      </c>
      <c r="K11" s="2425">
        <v>0.6</v>
      </c>
      <c r="L11" s="2431">
        <v>1.03</v>
      </c>
      <c r="M11" s="2410"/>
      <c r="N11" s="2426">
        <f t="shared" si="10"/>
        <v>6.0999999999999995E-3</v>
      </c>
      <c r="O11" s="2411">
        <f t="shared" si="11"/>
        <v>6.7000000000000002E-3</v>
      </c>
      <c r="P11" s="2411">
        <f t="shared" si="12"/>
        <v>6.0000000000000001E-3</v>
      </c>
      <c r="Q11" s="2411">
        <f t="shared" si="13"/>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si="8"/>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si="9"/>
        <v>1.47E-2</v>
      </c>
      <c r="AG11" s="2429">
        <f>ROUND(AVERAGE(K11:K$33)/100,4)</f>
        <v>2.2599999999999999E-2</v>
      </c>
      <c r="AH11" s="2429">
        <f>ROUND(AVERAGE(L11:L$33)/100,4)</f>
        <v>1.44E-2</v>
      </c>
    </row>
    <row r="12" spans="1:34" s="2430" customFormat="1">
      <c r="A12" s="2423" t="s">
        <v>2859</v>
      </c>
      <c r="B12" s="2424">
        <f t="shared" si="2"/>
        <v>474.30670301923408</v>
      </c>
      <c r="C12" s="2424">
        <f t="shared" si="3"/>
        <v>349.50705005996491</v>
      </c>
      <c r="D12" s="2424">
        <f t="shared" si="4"/>
        <v>349.50705005996491</v>
      </c>
      <c r="E12" s="2424">
        <f t="shared" si="5"/>
        <v>678.22831959706957</v>
      </c>
      <c r="F12" s="2424">
        <f t="shared" si="6"/>
        <v>312.0556832169558</v>
      </c>
      <c r="G12" s="2414">
        <v>2019</v>
      </c>
      <c r="H12" s="2432">
        <v>2</v>
      </c>
      <c r="I12" s="2432">
        <v>1.53</v>
      </c>
      <c r="J12" s="2432">
        <v>1.01</v>
      </c>
      <c r="K12" s="2432">
        <v>1.62</v>
      </c>
      <c r="L12" s="2433">
        <v>1.25</v>
      </c>
      <c r="M12" s="2410"/>
      <c r="N12" s="2426">
        <f t="shared" si="10"/>
        <v>1.5300000000000001E-2</v>
      </c>
      <c r="O12" s="2411">
        <f t="shared" si="11"/>
        <v>1.01E-2</v>
      </c>
      <c r="P12" s="2411">
        <f t="shared" si="12"/>
        <v>1.6200000000000003E-2</v>
      </c>
      <c r="Q12" s="2411">
        <f t="shared" si="13"/>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si="8"/>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si="9"/>
        <v>1.4999999999999999E-2</v>
      </c>
      <c r="AG12" s="2429">
        <f>ROUND(AVERAGE(K12:K$33)/100,4)</f>
        <v>2.3300000000000001E-2</v>
      </c>
      <c r="AH12" s="2429">
        <f>ROUND(AVERAGE(L12:L$33)/100,4)</f>
        <v>1.46E-2</v>
      </c>
    </row>
    <row r="13" spans="1:34" s="2430" customFormat="1" ht="13.5" thickBot="1">
      <c r="A13" s="2423" t="s">
        <v>2857</v>
      </c>
      <c r="B13" s="2424">
        <f t="shared" si="2"/>
        <v>467.15916775261894</v>
      </c>
      <c r="C13" s="2424">
        <f t="shared" si="3"/>
        <v>346.01232557169084</v>
      </c>
      <c r="D13" s="2424">
        <f t="shared" si="4"/>
        <v>346.01232557169084</v>
      </c>
      <c r="E13" s="2424">
        <f t="shared" si="5"/>
        <v>667.41617752122568</v>
      </c>
      <c r="F13" s="2424">
        <f t="shared" si="6"/>
        <v>308.20314391798104</v>
      </c>
      <c r="G13" s="2414">
        <v>2019</v>
      </c>
      <c r="H13" s="2425">
        <v>1</v>
      </c>
      <c r="I13" s="2425">
        <v>0.6</v>
      </c>
      <c r="J13" s="2425">
        <v>0.37</v>
      </c>
      <c r="K13" s="2425">
        <v>0.63</v>
      </c>
      <c r="L13" s="2431">
        <v>1.1299999999999999</v>
      </c>
      <c r="M13" s="2410"/>
      <c r="N13" s="2426">
        <f t="shared" si="10"/>
        <v>6.0000000000000001E-3</v>
      </c>
      <c r="O13" s="2411">
        <f t="shared" si="11"/>
        <v>3.7000000000000002E-3</v>
      </c>
      <c r="P13" s="2411">
        <f t="shared" si="12"/>
        <v>6.3E-3</v>
      </c>
      <c r="Q13" s="2411">
        <f t="shared" si="13"/>
        <v>1.1299999999999999E-2</v>
      </c>
      <c r="R13" s="2427"/>
      <c r="S13" s="2426">
        <f>B13/B14-1</f>
        <v>6.0000000000000053E-3</v>
      </c>
      <c r="T13" s="2411">
        <f>C13/C14-1</f>
        <v>3.7000000000000366E-3</v>
      </c>
      <c r="U13" s="2411">
        <f>D13/D14-1</f>
        <v>3.7000000000000366E-3</v>
      </c>
      <c r="V13" s="2411">
        <f>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si="8"/>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si="9"/>
        <v>1.5299999999999999E-2</v>
      </c>
      <c r="AG13" s="2429">
        <f>ROUND(AVERAGE(K13:K$33)/100,4)</f>
        <v>2.3699999999999999E-2</v>
      </c>
      <c r="AH13" s="2429">
        <f>ROUND(AVERAGE(L13:L$33)/100,4)</f>
        <v>1.47E-2</v>
      </c>
    </row>
    <row r="14" spans="1:34" s="2430" customFormat="1">
      <c r="A14" s="2423" t="s">
        <v>2860</v>
      </c>
      <c r="B14" s="2434">
        <f t="shared" si="2"/>
        <v>464.37293017158942</v>
      </c>
      <c r="C14" s="2434">
        <f t="shared" si="3"/>
        <v>344.73679941385956</v>
      </c>
      <c r="D14" s="2434">
        <f t="shared" si="4"/>
        <v>344.73679941385956</v>
      </c>
      <c r="E14" s="2434">
        <f t="shared" si="5"/>
        <v>663.2377795103107</v>
      </c>
      <c r="F14" s="2435">
        <f t="shared" si="6"/>
        <v>304.75936311478398</v>
      </c>
      <c r="G14" s="3457">
        <v>2018</v>
      </c>
      <c r="H14" s="2432">
        <v>4</v>
      </c>
      <c r="I14" s="2432">
        <v>0.96</v>
      </c>
      <c r="J14" s="2432">
        <v>1.03</v>
      </c>
      <c r="K14" s="2432">
        <v>0.92</v>
      </c>
      <c r="L14" s="2433">
        <v>1.29</v>
      </c>
      <c r="M14" s="2410"/>
      <c r="N14" s="2426">
        <f t="shared" si="10"/>
        <v>9.5999999999999992E-3</v>
      </c>
      <c r="O14" s="2411">
        <f t="shared" si="11"/>
        <v>1.03E-2</v>
      </c>
      <c r="P14" s="2411">
        <f t="shared" si="12"/>
        <v>9.1999999999999998E-3</v>
      </c>
      <c r="Q14" s="2411">
        <f t="shared" si="13"/>
        <v>1.29E-2</v>
      </c>
      <c r="R14" s="2427"/>
      <c r="S14" s="2426"/>
      <c r="T14" s="2411"/>
      <c r="U14" s="2411"/>
      <c r="V14" s="2411"/>
      <c r="W14" s="2428"/>
      <c r="X14" s="2428">
        <f>ROUND(SUMPRODUCT(PRODUCT(1+N14:N$32)),4)</f>
        <v>1.5099</v>
      </c>
      <c r="Y14" s="2428">
        <f>ROUND(SUMPRODUCT(PRODUCT(1+O14:O$32)),4)</f>
        <v>1.3372999999999999</v>
      </c>
      <c r="Z14" s="2428">
        <f t="shared" si="8"/>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si="9"/>
        <v>1.5800000000000002E-2</v>
      </c>
      <c r="AG14" s="2429">
        <f>ROUND(AVERAGE(K14:K$33)/100,4)</f>
        <v>2.4500000000000001E-2</v>
      </c>
      <c r="AH14" s="2429">
        <f>ROUND(AVERAGE(L14:L$33)/100,4)</f>
        <v>1.49E-2</v>
      </c>
    </row>
    <row r="15" spans="1:34" s="2430" customFormat="1" ht="14.45" customHeight="1">
      <c r="A15" s="2423" t="s">
        <v>2855</v>
      </c>
      <c r="B15" s="2424">
        <f t="shared" si="2"/>
        <v>459.95733971036987</v>
      </c>
      <c r="C15" s="2424">
        <f t="shared" si="3"/>
        <v>341.22221064422405</v>
      </c>
      <c r="D15" s="2424">
        <f t="shared" si="4"/>
        <v>341.22221064422405</v>
      </c>
      <c r="E15" s="2424">
        <f t="shared" si="5"/>
        <v>657.19161663724799</v>
      </c>
      <c r="F15" s="2424">
        <f t="shared" si="6"/>
        <v>300.87803644464805</v>
      </c>
      <c r="G15" s="3457"/>
      <c r="H15" s="2425">
        <v>3</v>
      </c>
      <c r="I15" s="2425">
        <v>1.51</v>
      </c>
      <c r="J15" s="2425">
        <v>1.41</v>
      </c>
      <c r="K15" s="2425">
        <v>1.52</v>
      </c>
      <c r="L15" s="2431">
        <v>1.74</v>
      </c>
      <c r="M15" s="2410"/>
      <c r="N15" s="2426">
        <f t="shared" si="10"/>
        <v>1.5100000000000001E-2</v>
      </c>
      <c r="O15" s="2411">
        <f t="shared" si="11"/>
        <v>1.41E-2</v>
      </c>
      <c r="P15" s="2411">
        <f t="shared" si="12"/>
        <v>1.52E-2</v>
      </c>
      <c r="Q15" s="2411">
        <f t="shared" si="13"/>
        <v>1.7399999999999999E-2</v>
      </c>
      <c r="R15" s="2427"/>
      <c r="S15" s="2426"/>
      <c r="T15" s="2411"/>
      <c r="U15" s="2411"/>
      <c r="V15" s="2411"/>
      <c r="W15" s="2428"/>
      <c r="X15" s="2428">
        <f>ROUND(SUMPRODUCT(PRODUCT(1+N15:N$32)),4)</f>
        <v>1.4956</v>
      </c>
      <c r="Y15" s="2428">
        <f>ROUND(SUMPRODUCT(PRODUCT(1+O15:O$32)),4)</f>
        <v>1.3237000000000001</v>
      </c>
      <c r="Z15" s="2428">
        <f t="shared" si="8"/>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si="9"/>
        <v>1.61E-2</v>
      </c>
      <c r="AG15" s="2429">
        <f>ROUND(AVERAGE(K15:K$33)/100,4)</f>
        <v>2.53E-2</v>
      </c>
      <c r="AH15" s="2429">
        <f>ROUND(AVERAGE(L15:L$33)/100,4)</f>
        <v>1.4999999999999999E-2</v>
      </c>
    </row>
    <row r="16" spans="1:34" s="2430" customFormat="1" ht="14.45" customHeight="1">
      <c r="A16" s="2423" t="s">
        <v>2854</v>
      </c>
      <c r="B16" s="2424">
        <f t="shared" si="2"/>
        <v>453.11529869999993</v>
      </c>
      <c r="C16" s="2424">
        <f t="shared" si="3"/>
        <v>336.47787264000004</v>
      </c>
      <c r="D16" s="2424">
        <f t="shared" si="4"/>
        <v>336.47787264000004</v>
      </c>
      <c r="E16" s="2424">
        <f t="shared" si="5"/>
        <v>647.35186823999993</v>
      </c>
      <c r="F16" s="2424">
        <f t="shared" si="6"/>
        <v>295.73229452000004</v>
      </c>
      <c r="G16" s="3457"/>
      <c r="H16" s="2436">
        <v>2</v>
      </c>
      <c r="I16" s="2436">
        <v>1.49</v>
      </c>
      <c r="J16" s="2436">
        <v>0.96</v>
      </c>
      <c r="K16" s="2436">
        <v>1.58</v>
      </c>
      <c r="L16" s="2437">
        <v>2.44</v>
      </c>
      <c r="M16" s="2410"/>
      <c r="N16" s="2426">
        <f>I16/100</f>
        <v>1.49E-2</v>
      </c>
      <c r="O16" s="2411">
        <f t="shared" si="11"/>
        <v>9.5999999999999992E-3</v>
      </c>
      <c r="P16" s="2411">
        <f t="shared" si="12"/>
        <v>1.5800000000000002E-2</v>
      </c>
      <c r="Q16" s="2411">
        <f t="shared" si="13"/>
        <v>2.4399999999999998E-2</v>
      </c>
      <c r="R16" s="2427"/>
      <c r="S16" s="2426"/>
      <c r="T16" s="2411"/>
      <c r="U16" s="2411"/>
      <c r="V16" s="2411"/>
      <c r="W16" s="2428"/>
      <c r="X16" s="2428">
        <f>ROUND(SUMPRODUCT(PRODUCT(1+N16:N$32)),4)</f>
        <v>1.4733000000000001</v>
      </c>
      <c r="Y16" s="2428">
        <f>ROUND(SUMPRODUCT(PRODUCT(1+O16:O$32)),4)</f>
        <v>1.3052999999999999</v>
      </c>
      <c r="Z16" s="2428">
        <f t="shared" si="8"/>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si="9"/>
        <v>1.6199999999999999E-2</v>
      </c>
      <c r="AG16" s="2429">
        <f>ROUND(AVERAGE(K16:K$33)/100,4)</f>
        <v>2.5899999999999999E-2</v>
      </c>
      <c r="AH16" s="2429">
        <f>ROUND(AVERAGE(L16:L$33)/100,4)</f>
        <v>1.49E-2</v>
      </c>
    </row>
    <row r="17" spans="1:34" s="2430" customFormat="1" ht="15" customHeight="1" thickBot="1">
      <c r="A17" s="2423" t="s">
        <v>2847</v>
      </c>
      <c r="B17" s="2424">
        <f t="shared" si="2"/>
        <v>446.46299999999997</v>
      </c>
      <c r="C17" s="2424">
        <f t="shared" si="3"/>
        <v>333.27840000000003</v>
      </c>
      <c r="D17" s="2424">
        <f t="shared" si="4"/>
        <v>333.27840000000003</v>
      </c>
      <c r="E17" s="2424">
        <f t="shared" si="5"/>
        <v>637.28279999999995</v>
      </c>
      <c r="F17" s="2424">
        <f t="shared" si="6"/>
        <v>288.68830000000003</v>
      </c>
      <c r="G17" s="3464"/>
      <c r="H17" s="2425">
        <v>1</v>
      </c>
      <c r="I17" s="2425">
        <v>1.7</v>
      </c>
      <c r="J17" s="2425">
        <v>1.92</v>
      </c>
      <c r="K17" s="2425">
        <v>1.64</v>
      </c>
      <c r="L17" s="2431">
        <v>2.0099999999999998</v>
      </c>
      <c r="M17" s="2410"/>
      <c r="N17" s="2426">
        <f t="shared" ref="N17:N22" si="14">I17/100</f>
        <v>1.7000000000000001E-2</v>
      </c>
      <c r="O17" s="2411">
        <f t="shared" si="11"/>
        <v>1.9199999999999998E-2</v>
      </c>
      <c r="P17" s="2411">
        <f t="shared" si="12"/>
        <v>1.6399999999999998E-2</v>
      </c>
      <c r="Q17" s="2411">
        <f t="shared" si="13"/>
        <v>2.0099999999999996E-2</v>
      </c>
      <c r="R17" s="2427"/>
      <c r="S17" s="2426">
        <f>B17/B18-1</f>
        <v>1.6999999999999904E-2</v>
      </c>
      <c r="T17" s="2411">
        <f>C17/C18-1</f>
        <v>1.9200000000000106E-2</v>
      </c>
      <c r="U17" s="2411">
        <f>D17/D18-1</f>
        <v>1.9200000000000106E-2</v>
      </c>
      <c r="V17" s="2411">
        <f>E17/E18-1</f>
        <v>1.639999999999997E-2</v>
      </c>
      <c r="W17" s="2428"/>
      <c r="X17" s="2428">
        <f>ROUND(SUMPRODUCT(PRODUCT(1+N17:N$32)),4)</f>
        <v>1.4517</v>
      </c>
      <c r="Y17" s="2428">
        <f>ROUND(SUMPRODUCT(PRODUCT(1+O17:O$32)),4)</f>
        <v>1.2928999999999999</v>
      </c>
      <c r="Z17" s="2428">
        <f t="shared" si="8"/>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si="9"/>
        <v>1.66E-2</v>
      </c>
      <c r="AG17" s="2429">
        <f>ROUND(AVERAGE(K17:K$33)/100,4)</f>
        <v>2.6499999999999999E-2</v>
      </c>
      <c r="AH17" s="2429">
        <f>ROUND(AVERAGE(L17:L$33)/100,4)</f>
        <v>1.43E-2</v>
      </c>
    </row>
    <row r="18" spans="1:34">
      <c r="A18" s="2423" t="s">
        <v>2845</v>
      </c>
      <c r="B18" s="2438">
        <v>439</v>
      </c>
      <c r="C18" s="2438">
        <v>327</v>
      </c>
      <c r="D18" s="2438">
        <f t="shared" si="4"/>
        <v>327</v>
      </c>
      <c r="E18" s="2438">
        <v>627</v>
      </c>
      <c r="F18" s="2439">
        <v>283</v>
      </c>
      <c r="G18" s="3460">
        <v>2017</v>
      </c>
      <c r="H18" s="2432">
        <v>4</v>
      </c>
      <c r="I18" s="2432">
        <v>1.71</v>
      </c>
      <c r="J18" s="2432">
        <v>1.78</v>
      </c>
      <c r="K18" s="2432">
        <v>1.71</v>
      </c>
      <c r="L18" s="2433">
        <v>1.43</v>
      </c>
      <c r="N18" s="2426">
        <f t="shared" si="14"/>
        <v>1.7100000000000001E-2</v>
      </c>
      <c r="O18" s="2411">
        <f t="shared" si="11"/>
        <v>1.78E-2</v>
      </c>
      <c r="P18" s="2411">
        <f t="shared" si="12"/>
        <v>1.7100000000000001E-2</v>
      </c>
      <c r="Q18" s="2411">
        <f t="shared" si="13"/>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2846</v>
      </c>
      <c r="B19" s="2424">
        <f t="shared" ref="B19:C21" si="15">B20*(1+N19)</f>
        <v>431.80730811680002</v>
      </c>
      <c r="C19" s="2424">
        <f t="shared" si="15"/>
        <v>320.57880516480003</v>
      </c>
      <c r="D19" s="2424">
        <f t="shared" si="4"/>
        <v>320.57880516480003</v>
      </c>
      <c r="E19" s="2424">
        <f t="shared" ref="E19:F21" si="16">E20*(1+P19)</f>
        <v>615.96110553196797</v>
      </c>
      <c r="F19" s="2424">
        <f t="shared" si="16"/>
        <v>279.46777300108801</v>
      </c>
      <c r="G19" s="3457"/>
      <c r="H19" s="2425">
        <v>3</v>
      </c>
      <c r="I19" s="2425">
        <v>2.98</v>
      </c>
      <c r="J19" s="2425">
        <v>2.11</v>
      </c>
      <c r="K19" s="2425">
        <v>3.24</v>
      </c>
      <c r="L19" s="2431">
        <v>1.72</v>
      </c>
      <c r="M19" s="2410"/>
      <c r="N19" s="2426">
        <f t="shared" si="14"/>
        <v>2.98E-2</v>
      </c>
      <c r="O19" s="2411">
        <f t="shared" si="11"/>
        <v>2.1099999999999997E-2</v>
      </c>
      <c r="P19" s="2411">
        <f t="shared" si="12"/>
        <v>3.2400000000000005E-2</v>
      </c>
      <c r="Q19" s="2411">
        <f t="shared" si="13"/>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
        <v>419.31181600000002</v>
      </c>
      <c r="C20" s="2424">
        <f t="shared" si="15"/>
        <v>313.95436800000004</v>
      </c>
      <c r="D20" s="2424">
        <f t="shared" si="4"/>
        <v>313.95436800000004</v>
      </c>
      <c r="E20" s="2424">
        <f t="shared" si="16"/>
        <v>596.63028431999999</v>
      </c>
      <c r="F20" s="2424">
        <f t="shared" si="16"/>
        <v>274.74220703999998</v>
      </c>
      <c r="G20" s="3457"/>
      <c r="H20" s="2436">
        <v>2</v>
      </c>
      <c r="I20" s="2436">
        <v>3.4</v>
      </c>
      <c r="J20" s="2436">
        <v>2</v>
      </c>
      <c r="K20" s="2436">
        <v>3.82</v>
      </c>
      <c r="L20" s="2437">
        <v>1.68</v>
      </c>
      <c r="M20" s="2410"/>
      <c r="N20" s="2426">
        <f t="shared" si="14"/>
        <v>3.4000000000000002E-2</v>
      </c>
      <c r="O20" s="2411">
        <f t="shared" si="11"/>
        <v>0.02</v>
      </c>
      <c r="P20" s="2411">
        <f t="shared" si="12"/>
        <v>3.8199999999999998E-2</v>
      </c>
      <c r="Q20" s="2411">
        <f t="shared" si="13"/>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 t="shared" si="15"/>
        <v>405.524</v>
      </c>
      <c r="C21" s="2424">
        <f t="shared" si="15"/>
        <v>307.79840000000002</v>
      </c>
      <c r="D21" s="2424">
        <f t="shared" si="4"/>
        <v>307.79840000000002</v>
      </c>
      <c r="E21" s="2424">
        <f t="shared" si="16"/>
        <v>574.67759999999998</v>
      </c>
      <c r="F21" s="2424">
        <f t="shared" si="16"/>
        <v>270.20280000000002</v>
      </c>
      <c r="G21" s="3464"/>
      <c r="H21" s="2425">
        <v>1</v>
      </c>
      <c r="I21" s="2425">
        <v>3.45</v>
      </c>
      <c r="J21" s="2425">
        <v>1.92</v>
      </c>
      <c r="K21" s="2425">
        <v>3.92</v>
      </c>
      <c r="L21" s="2431">
        <v>1.58</v>
      </c>
      <c r="M21" s="2410"/>
      <c r="N21" s="2426">
        <f t="shared" si="14"/>
        <v>3.4500000000000003E-2</v>
      </c>
      <c r="O21" s="2411">
        <f t="shared" ref="O21:Q36" si="17">J21/100</f>
        <v>1.9199999999999998E-2</v>
      </c>
      <c r="P21" s="2411">
        <f t="shared" si="17"/>
        <v>3.9199999999999999E-2</v>
      </c>
      <c r="Q21" s="2411">
        <f t="shared" si="17"/>
        <v>1.5800000000000002E-2</v>
      </c>
      <c r="R21" s="2427"/>
      <c r="S21" s="2426">
        <f>B21/B22-1</f>
        <v>3.4499999999999975E-2</v>
      </c>
      <c r="T21" s="2411">
        <f>C21/C22-1</f>
        <v>1.9200000000000106E-2</v>
      </c>
      <c r="U21" s="2411">
        <f>D21/D22-1</f>
        <v>1.9200000000000106E-2</v>
      </c>
      <c r="V21" s="2411">
        <f>E21/E22-1</f>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 t="shared" si="4"/>
        <v>302</v>
      </c>
      <c r="E22" s="2438">
        <v>553</v>
      </c>
      <c r="F22" s="2439">
        <v>266</v>
      </c>
      <c r="G22" s="3460">
        <v>2016</v>
      </c>
      <c r="H22" s="2432">
        <v>4</v>
      </c>
      <c r="I22" s="2432">
        <v>4.5599999999999996</v>
      </c>
      <c r="J22" s="2432">
        <v>2.15</v>
      </c>
      <c r="K22" s="2432">
        <v>5.32</v>
      </c>
      <c r="L22" s="2433">
        <v>1.57</v>
      </c>
      <c r="N22" s="2426">
        <f t="shared" si="14"/>
        <v>4.5599999999999995E-2</v>
      </c>
      <c r="O22" s="2411">
        <f t="shared" si="17"/>
        <v>2.1499999999999998E-2</v>
      </c>
      <c r="P22" s="2411">
        <f t="shared" si="17"/>
        <v>5.3200000000000004E-2</v>
      </c>
      <c r="Q22" s="2411">
        <f t="shared" si="17"/>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8">B22/(1+N22)</f>
        <v>374.90436113236416</v>
      </c>
      <c r="C23" s="2424">
        <f t="shared" si="18"/>
        <v>295.64366128242779</v>
      </c>
      <c r="D23" s="2424">
        <f t="shared" ref="D23:D82" si="19">C23</f>
        <v>295.64366128242779</v>
      </c>
      <c r="E23" s="2424">
        <f t="shared" ref="E23:F25" si="20">E22/(1+P22)</f>
        <v>525.06646410938095</v>
      </c>
      <c r="F23" s="2424">
        <f t="shared" si="20"/>
        <v>261.88835286009646</v>
      </c>
      <c r="G23" s="3457"/>
      <c r="H23" s="2425">
        <v>3</v>
      </c>
      <c r="I23" s="2425">
        <v>4.12</v>
      </c>
      <c r="J23" s="2425">
        <v>2</v>
      </c>
      <c r="K23" s="2425">
        <v>4.79</v>
      </c>
      <c r="L23" s="2431">
        <v>1.97</v>
      </c>
      <c r="N23" s="2426">
        <f t="shared" ref="N23:Q57" si="21">I23/100</f>
        <v>4.1200000000000001E-2</v>
      </c>
      <c r="O23" s="2411">
        <f t="shared" si="17"/>
        <v>0.02</v>
      </c>
      <c r="P23" s="2411">
        <f t="shared" si="17"/>
        <v>4.7899999999999998E-2</v>
      </c>
      <c r="Q23" s="2411">
        <f t="shared" si="17"/>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8"/>
        <v>360.06949782209392</v>
      </c>
      <c r="C24" s="2424">
        <f t="shared" si="18"/>
        <v>289.84672674747821</v>
      </c>
      <c r="D24" s="2424">
        <f t="shared" si="19"/>
        <v>289.84672674747821</v>
      </c>
      <c r="E24" s="2424">
        <f t="shared" si="20"/>
        <v>501.06543001181495</v>
      </c>
      <c r="F24" s="2424">
        <f t="shared" si="20"/>
        <v>256.82882500744967</v>
      </c>
      <c r="G24" s="3457"/>
      <c r="H24" s="2436">
        <v>2</v>
      </c>
      <c r="I24" s="2436">
        <v>3.85</v>
      </c>
      <c r="J24" s="2436">
        <v>1.95</v>
      </c>
      <c r="K24" s="2436">
        <v>4.4800000000000004</v>
      </c>
      <c r="L24" s="2437">
        <v>1.41</v>
      </c>
      <c r="N24" s="2426">
        <f t="shared" si="21"/>
        <v>3.85E-2</v>
      </c>
      <c r="O24" s="2411">
        <f t="shared" si="17"/>
        <v>1.95E-2</v>
      </c>
      <c r="P24" s="2411">
        <f t="shared" si="17"/>
        <v>4.4800000000000006E-2</v>
      </c>
      <c r="Q24" s="2411">
        <f t="shared" si="17"/>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8"/>
        <v>346.720748986128</v>
      </c>
      <c r="C25" s="2424">
        <f t="shared" si="18"/>
        <v>284.30282172386285</v>
      </c>
      <c r="D25" s="2424">
        <f t="shared" si="19"/>
        <v>284.30282172386285</v>
      </c>
      <c r="E25" s="2424">
        <f t="shared" si="20"/>
        <v>479.58023546306947</v>
      </c>
      <c r="F25" s="2424">
        <f t="shared" si="20"/>
        <v>253.25788877571213</v>
      </c>
      <c r="G25" s="3458"/>
      <c r="H25" s="2425">
        <v>1</v>
      </c>
      <c r="I25" s="2425">
        <v>4.09</v>
      </c>
      <c r="J25" s="2425">
        <v>2.93</v>
      </c>
      <c r="K25" s="2425">
        <v>4.54</v>
      </c>
      <c r="L25" s="2431">
        <v>1.48</v>
      </c>
      <c r="N25" s="2426">
        <f t="shared" si="21"/>
        <v>4.0899999999999999E-2</v>
      </c>
      <c r="O25" s="2411">
        <f t="shared" si="17"/>
        <v>2.9300000000000003E-2</v>
      </c>
      <c r="P25" s="2411">
        <f t="shared" si="17"/>
        <v>4.5400000000000003E-2</v>
      </c>
      <c r="Q25" s="2411">
        <f t="shared" si="17"/>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9"/>
        <v>277</v>
      </c>
      <c r="E26" s="2438">
        <v>459</v>
      </c>
      <c r="F26" s="2439">
        <v>249</v>
      </c>
      <c r="G26" s="3456">
        <v>2015</v>
      </c>
      <c r="H26" s="2444">
        <v>4</v>
      </c>
      <c r="I26" s="2444">
        <v>1.63</v>
      </c>
      <c r="J26" s="2444">
        <v>1.1100000000000001</v>
      </c>
      <c r="K26" s="2444">
        <v>1.77</v>
      </c>
      <c r="L26" s="2445">
        <v>1.89</v>
      </c>
      <c r="N26" s="2446">
        <f t="shared" si="21"/>
        <v>1.6299999999999999E-2</v>
      </c>
      <c r="O26" s="2447">
        <f t="shared" si="17"/>
        <v>1.11E-2</v>
      </c>
      <c r="P26" s="2447">
        <f t="shared" si="17"/>
        <v>1.77E-2</v>
      </c>
      <c r="Q26" s="2447">
        <f t="shared" si="17"/>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22">B26/(1+N26)</f>
        <v>327.65915576109415</v>
      </c>
      <c r="C27" s="2424">
        <f t="shared" si="22"/>
        <v>273.95905449510434</v>
      </c>
      <c r="D27" s="2424">
        <f t="shared" si="19"/>
        <v>273.95905449510434</v>
      </c>
      <c r="E27" s="2424">
        <f t="shared" ref="E27:F29" si="23">E26/(1+P26)</f>
        <v>451.01699911565294</v>
      </c>
      <c r="F27" s="2424">
        <f t="shared" si="23"/>
        <v>244.38119540681129</v>
      </c>
      <c r="G27" s="3457"/>
      <c r="H27" s="2449">
        <v>3</v>
      </c>
      <c r="I27" s="2449">
        <v>1.65</v>
      </c>
      <c r="J27" s="2449">
        <v>0.92</v>
      </c>
      <c r="K27" s="2449">
        <v>1.88</v>
      </c>
      <c r="L27" s="2450">
        <v>1.26</v>
      </c>
      <c r="N27" s="2426">
        <f t="shared" si="21"/>
        <v>1.6500000000000001E-2</v>
      </c>
      <c r="O27" s="2451">
        <f t="shared" si="17"/>
        <v>9.1999999999999998E-3</v>
      </c>
      <c r="P27" s="2451">
        <f t="shared" si="17"/>
        <v>1.8799999999999997E-2</v>
      </c>
      <c r="Q27" s="2451">
        <f t="shared" si="17"/>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22"/>
        <v>322.34053690220776</v>
      </c>
      <c r="C28" s="2424">
        <f t="shared" si="22"/>
        <v>271.46160770422546</v>
      </c>
      <c r="D28" s="2424">
        <f t="shared" si="19"/>
        <v>271.46160770422546</v>
      </c>
      <c r="E28" s="2424">
        <f t="shared" si="23"/>
        <v>442.69434542172456</v>
      </c>
      <c r="F28" s="2424">
        <f t="shared" si="23"/>
        <v>241.34030753190925</v>
      </c>
      <c r="G28" s="3457"/>
      <c r="H28" s="2436">
        <v>2</v>
      </c>
      <c r="I28" s="2436">
        <v>0.77</v>
      </c>
      <c r="J28" s="2436">
        <v>0.69</v>
      </c>
      <c r="K28" s="2436">
        <v>0.8</v>
      </c>
      <c r="L28" s="2437">
        <v>0.88</v>
      </c>
      <c r="N28" s="2426">
        <f t="shared" si="21"/>
        <v>7.7000000000000002E-3</v>
      </c>
      <c r="O28" s="2451">
        <f t="shared" si="17"/>
        <v>6.8999999999999999E-3</v>
      </c>
      <c r="P28" s="2451">
        <f t="shared" si="17"/>
        <v>8.0000000000000002E-3</v>
      </c>
      <c r="Q28" s="2451">
        <f t="shared" si="17"/>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22"/>
        <v>319.87748030386797</v>
      </c>
      <c r="C29" s="2424">
        <f t="shared" si="22"/>
        <v>269.60135833173649</v>
      </c>
      <c r="D29" s="2424">
        <f t="shared" si="19"/>
        <v>269.60135833173649</v>
      </c>
      <c r="E29" s="2424">
        <f t="shared" si="23"/>
        <v>439.18089823583784</v>
      </c>
      <c r="F29" s="2424">
        <f t="shared" si="23"/>
        <v>239.23503918706311</v>
      </c>
      <c r="G29" s="3458"/>
      <c r="H29" s="2425">
        <v>1</v>
      </c>
      <c r="I29" s="2425">
        <v>0.51</v>
      </c>
      <c r="J29" s="2425">
        <v>0.54</v>
      </c>
      <c r="K29" s="2425">
        <v>0.48</v>
      </c>
      <c r="L29" s="2431">
        <v>0.93</v>
      </c>
      <c r="N29" s="2442">
        <f t="shared" si="21"/>
        <v>5.1000000000000004E-3</v>
      </c>
      <c r="O29" s="2443">
        <f t="shared" si="17"/>
        <v>5.4000000000000003E-3</v>
      </c>
      <c r="P29" s="2443">
        <f t="shared" si="17"/>
        <v>4.7999999999999996E-3</v>
      </c>
      <c r="Q29" s="2443">
        <f t="shared" si="17"/>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9"/>
        <v>268</v>
      </c>
      <c r="E30" s="2452">
        <v>437</v>
      </c>
      <c r="F30" s="2453">
        <v>237</v>
      </c>
      <c r="G30" s="3456">
        <v>2014</v>
      </c>
      <c r="H30" s="2444">
        <v>4</v>
      </c>
      <c r="I30" s="2444">
        <v>0.21</v>
      </c>
      <c r="J30" s="2444">
        <v>0.41</v>
      </c>
      <c r="K30" s="2444">
        <v>0.12</v>
      </c>
      <c r="L30" s="2445">
        <v>0.89</v>
      </c>
      <c r="N30" s="2426">
        <f t="shared" si="21"/>
        <v>2.0999999999999999E-3</v>
      </c>
      <c r="O30" s="2411">
        <f t="shared" si="17"/>
        <v>4.0999999999999995E-3</v>
      </c>
      <c r="P30" s="2411">
        <f t="shared" si="17"/>
        <v>1.1999999999999999E-3</v>
      </c>
      <c r="Q30" s="2411">
        <f t="shared" si="17"/>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24">B30/(1+N30)</f>
        <v>317.33359944117353</v>
      </c>
      <c r="C31" s="2424">
        <f t="shared" si="24"/>
        <v>266.90568668459315</v>
      </c>
      <c r="D31" s="2424">
        <f t="shared" si="19"/>
        <v>266.90568668459315</v>
      </c>
      <c r="E31" s="2424">
        <f t="shared" ref="E31:F33" si="25">E30/(1+P30)</f>
        <v>436.47622852576905</v>
      </c>
      <c r="F31" s="2424">
        <f t="shared" si="25"/>
        <v>234.90930716622066</v>
      </c>
      <c r="G31" s="3457"/>
      <c r="H31" s="2454">
        <v>3</v>
      </c>
      <c r="I31" s="2454">
        <v>0.83</v>
      </c>
      <c r="J31" s="2454">
        <v>1.47</v>
      </c>
      <c r="K31" s="2454">
        <v>0.65</v>
      </c>
      <c r="L31" s="2455">
        <v>0.72</v>
      </c>
      <c r="N31" s="2426">
        <f t="shared" si="21"/>
        <v>8.3000000000000001E-3</v>
      </c>
      <c r="O31" s="2411">
        <f t="shared" si="17"/>
        <v>1.47E-2</v>
      </c>
      <c r="P31" s="2411">
        <f t="shared" si="17"/>
        <v>6.5000000000000006E-3</v>
      </c>
      <c r="Q31" s="2411">
        <f t="shared" si="17"/>
        <v>7.1999999999999998E-3</v>
      </c>
      <c r="R31" s="2427"/>
      <c r="S31" s="2426"/>
      <c r="T31" s="2411"/>
      <c r="U31" s="2411"/>
      <c r="V31" s="2411"/>
      <c r="X31" s="2410">
        <f>ROUND(SUMPRODUCT(PRODUCT(1+N31:N$32)),4)</f>
        <v>1.0325</v>
      </c>
      <c r="Y31" s="2410">
        <f>ROUND(SUMPRODUCT(PRODUCT(1+O31:O$32)),4)</f>
        <v>1.0353000000000001</v>
      </c>
      <c r="Z31" s="2410">
        <f>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24"/>
        <v>314.72141172386546</v>
      </c>
      <c r="C32" s="2424">
        <f t="shared" si="24"/>
        <v>263.03901319069001</v>
      </c>
      <c r="D32" s="2424">
        <f t="shared" si="19"/>
        <v>263.03901319069001</v>
      </c>
      <c r="E32" s="2424">
        <f t="shared" si="25"/>
        <v>433.65745506782821</v>
      </c>
      <c r="F32" s="2424">
        <f t="shared" si="25"/>
        <v>233.23005080045735</v>
      </c>
      <c r="G32" s="3457"/>
      <c r="H32" s="2444">
        <v>2</v>
      </c>
      <c r="I32" s="2444">
        <v>2.4</v>
      </c>
      <c r="J32" s="2444">
        <v>2.0299999999999998</v>
      </c>
      <c r="K32" s="2444">
        <v>2.59</v>
      </c>
      <c r="L32" s="2445">
        <v>1.52</v>
      </c>
      <c r="N32" s="2426">
        <f t="shared" si="21"/>
        <v>2.4E-2</v>
      </c>
      <c r="O32" s="2411">
        <f t="shared" si="17"/>
        <v>2.0299999999999999E-2</v>
      </c>
      <c r="P32" s="2411">
        <f t="shared" si="17"/>
        <v>2.5899999999999999E-2</v>
      </c>
      <c r="Q32" s="2411">
        <f t="shared" si="17"/>
        <v>1.52E-2</v>
      </c>
      <c r="R32" s="2427"/>
      <c r="S32" s="2426"/>
      <c r="T32" s="2411"/>
      <c r="U32" s="2411"/>
      <c r="V32" s="2411"/>
      <c r="X32" s="2410">
        <f>1+N32</f>
        <v>1.024</v>
      </c>
      <c r="Y32" s="2410">
        <f>1+O32</f>
        <v>1.0203</v>
      </c>
      <c r="Z32" s="2410">
        <f>Y32</f>
        <v>1.0203</v>
      </c>
      <c r="AA32" s="2410">
        <f>1+P32</f>
        <v>1.0259</v>
      </c>
      <c r="AB32" s="2410">
        <f>1+Q32</f>
        <v>1.0152000000000001</v>
      </c>
      <c r="AD32" s="2411">
        <f>ROUND(AVERAGE(I32:I$33)/100,4)</f>
        <v>2.69E-2</v>
      </c>
      <c r="AE32" s="2411">
        <f>ROUND(AVERAGE(J32:J$33)/100,4)</f>
        <v>2.1899999999999999E-2</v>
      </c>
      <c r="AF32" s="2411">
        <f>AE32</f>
        <v>2.1899999999999999E-2</v>
      </c>
      <c r="AG32" s="2411">
        <f>ROUND(AVERAGE(K32:K$33)/100,4)</f>
        <v>2.9399999999999999E-2</v>
      </c>
      <c r="AH32" s="2411">
        <f>ROUND(AVERAGE(L32:L$33)/100,4)</f>
        <v>1.44E-2</v>
      </c>
    </row>
    <row r="33" spans="1:34" s="2460" customFormat="1" ht="13.5" thickBot="1">
      <c r="A33" s="2456" t="s">
        <v>144</v>
      </c>
      <c r="B33" s="2457">
        <f t="shared" si="24"/>
        <v>307.34512863658733</v>
      </c>
      <c r="C33" s="2457">
        <f t="shared" si="24"/>
        <v>257.80556031626975</v>
      </c>
      <c r="D33" s="2457">
        <f t="shared" si="19"/>
        <v>257.80556031626975</v>
      </c>
      <c r="E33" s="2457">
        <f t="shared" si="25"/>
        <v>422.70928459677179</v>
      </c>
      <c r="F33" s="2457">
        <f t="shared" si="25"/>
        <v>229.73803270336617</v>
      </c>
      <c r="G33" s="3458"/>
      <c r="H33" s="2458">
        <v>1</v>
      </c>
      <c r="I33" s="2458">
        <v>2.97</v>
      </c>
      <c r="J33" s="2458">
        <v>2.34</v>
      </c>
      <c r="K33" s="2458">
        <v>3.28</v>
      </c>
      <c r="L33" s="2459">
        <v>1.36</v>
      </c>
      <c r="N33" s="2461">
        <f t="shared" si="21"/>
        <v>2.9700000000000001E-2</v>
      </c>
      <c r="O33" s="2462">
        <f t="shared" si="17"/>
        <v>2.3399999999999997E-2</v>
      </c>
      <c r="P33" s="2462">
        <f t="shared" si="17"/>
        <v>3.2799999999999996E-2</v>
      </c>
      <c r="Q33" s="2462">
        <f t="shared" si="17"/>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9"/>
        <v>252</v>
      </c>
      <c r="E34" s="2438">
        <v>409</v>
      </c>
      <c r="F34" s="2439">
        <v>227</v>
      </c>
      <c r="G34" s="3461">
        <v>2013</v>
      </c>
      <c r="H34" s="2468">
        <v>4</v>
      </c>
      <c r="I34" s="2468">
        <v>1.83</v>
      </c>
      <c r="J34" s="2468">
        <v>1.68</v>
      </c>
      <c r="K34" s="2468">
        <v>1.97</v>
      </c>
      <c r="L34" s="2469">
        <v>0.87</v>
      </c>
      <c r="N34" s="2446">
        <f t="shared" si="21"/>
        <v>1.83E-2</v>
      </c>
      <c r="O34" s="2447">
        <f t="shared" si="17"/>
        <v>1.6799999999999999E-2</v>
      </c>
      <c r="P34" s="2447">
        <f t="shared" si="17"/>
        <v>1.9699999999999999E-2</v>
      </c>
      <c r="Q34" s="2447">
        <f t="shared" si="17"/>
        <v>8.6999999999999994E-3</v>
      </c>
      <c r="R34" s="2427"/>
      <c r="S34" s="2440"/>
      <c r="T34" s="2441"/>
      <c r="U34" s="2441"/>
      <c r="V34" s="2441"/>
      <c r="X34" s="2441"/>
      <c r="Y34" s="2441"/>
      <c r="Z34" s="2441"/>
    </row>
    <row r="35" spans="1:34">
      <c r="A35" s="2423" t="s">
        <v>1131</v>
      </c>
      <c r="B35" s="2424">
        <f t="shared" ref="B35:C37" si="26">B34/(1+N34)</f>
        <v>293.62663262299913</v>
      </c>
      <c r="C35" s="2424">
        <f t="shared" si="26"/>
        <v>247.83634933123525</v>
      </c>
      <c r="D35" s="2424">
        <f t="shared" si="19"/>
        <v>247.83634933123525</v>
      </c>
      <c r="E35" s="2424">
        <f t="shared" ref="E35:F37" si="27">E34/(1+P34)</f>
        <v>401.09836226341076</v>
      </c>
      <c r="F35" s="2424">
        <f t="shared" si="27"/>
        <v>225.04213343908003</v>
      </c>
      <c r="G35" s="3462"/>
      <c r="H35" s="2449">
        <v>3</v>
      </c>
      <c r="I35" s="2449">
        <v>1.86</v>
      </c>
      <c r="J35" s="2449">
        <v>1.72</v>
      </c>
      <c r="K35" s="2449">
        <v>1.98</v>
      </c>
      <c r="L35" s="2450">
        <v>0.88</v>
      </c>
      <c r="N35" s="2426">
        <f t="shared" si="21"/>
        <v>1.8600000000000002E-2</v>
      </c>
      <c r="O35" s="2451">
        <f t="shared" si="17"/>
        <v>1.72E-2</v>
      </c>
      <c r="P35" s="2451">
        <f t="shared" si="17"/>
        <v>1.9799999999999998E-2</v>
      </c>
      <c r="Q35" s="2451">
        <f t="shared" si="17"/>
        <v>8.8000000000000005E-3</v>
      </c>
      <c r="R35" s="2427"/>
      <c r="S35" s="2426"/>
      <c r="T35" s="2411"/>
      <c r="U35" s="2411"/>
      <c r="V35" s="2411"/>
    </row>
    <row r="36" spans="1:34">
      <c r="A36" s="2423" t="s">
        <v>1132</v>
      </c>
      <c r="B36" s="2424">
        <f t="shared" si="26"/>
        <v>288.2649053828776</v>
      </c>
      <c r="C36" s="2424">
        <f t="shared" si="26"/>
        <v>243.64564425013293</v>
      </c>
      <c r="D36" s="2424">
        <f t="shared" si="19"/>
        <v>243.64564425013293</v>
      </c>
      <c r="E36" s="2424">
        <f t="shared" si="27"/>
        <v>393.31080825986544</v>
      </c>
      <c r="F36" s="2424">
        <f t="shared" si="27"/>
        <v>223.07903790551154</v>
      </c>
      <c r="G36" s="3462"/>
      <c r="H36" s="2436">
        <v>2</v>
      </c>
      <c r="I36" s="2436">
        <v>2.04</v>
      </c>
      <c r="J36" s="2436">
        <v>2.33</v>
      </c>
      <c r="K36" s="2436">
        <v>2.0699999999999998</v>
      </c>
      <c r="L36" s="2437">
        <v>0.69</v>
      </c>
      <c r="N36" s="2426">
        <f t="shared" si="21"/>
        <v>2.0400000000000001E-2</v>
      </c>
      <c r="O36" s="2451">
        <f t="shared" si="17"/>
        <v>2.3300000000000001E-2</v>
      </c>
      <c r="P36" s="2451">
        <f t="shared" si="17"/>
        <v>2.07E-2</v>
      </c>
      <c r="Q36" s="2451">
        <f t="shared" si="17"/>
        <v>6.8999999999999999E-3</v>
      </c>
      <c r="R36" s="2427"/>
      <c r="S36" s="2426"/>
      <c r="T36" s="2411"/>
      <c r="U36" s="2411"/>
      <c r="V36" s="2411"/>
      <c r="X36" s="2470"/>
      <c r="Y36" s="2471"/>
    </row>
    <row r="37" spans="1:34">
      <c r="A37" s="2423" t="s">
        <v>1133</v>
      </c>
      <c r="B37" s="2424">
        <f t="shared" si="26"/>
        <v>282.50186729015837</v>
      </c>
      <c r="C37" s="2424">
        <f t="shared" si="26"/>
        <v>238.09796174155468</v>
      </c>
      <c r="D37" s="2424">
        <f t="shared" si="19"/>
        <v>238.09796174155468</v>
      </c>
      <c r="E37" s="2424">
        <f t="shared" si="27"/>
        <v>385.33438646014054</v>
      </c>
      <c r="F37" s="2424">
        <f t="shared" si="27"/>
        <v>221.55034055567739</v>
      </c>
      <c r="G37" s="3463"/>
      <c r="H37" s="2425">
        <v>1</v>
      </c>
      <c r="I37" s="2425">
        <v>1.67</v>
      </c>
      <c r="J37" s="2425">
        <v>1.31</v>
      </c>
      <c r="K37" s="2425">
        <v>1.85</v>
      </c>
      <c r="L37" s="2431">
        <v>0.96</v>
      </c>
      <c r="N37" s="2442">
        <f t="shared" si="21"/>
        <v>1.67E-2</v>
      </c>
      <c r="O37" s="2443">
        <f t="shared" si="21"/>
        <v>1.3100000000000001E-2</v>
      </c>
      <c r="P37" s="2443">
        <f t="shared" si="21"/>
        <v>1.8500000000000003E-2</v>
      </c>
      <c r="Q37" s="2443">
        <f t="shared" si="21"/>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9"/>
        <v>234</v>
      </c>
      <c r="E38" s="2473">
        <v>379</v>
      </c>
      <c r="F38" s="2474">
        <v>220</v>
      </c>
      <c r="G38" s="3456">
        <v>2012</v>
      </c>
      <c r="H38" s="2444">
        <v>4</v>
      </c>
      <c r="I38" s="2444">
        <v>0.91</v>
      </c>
      <c r="J38" s="2444">
        <v>0.68</v>
      </c>
      <c r="K38" s="2444">
        <v>0.98</v>
      </c>
      <c r="L38" s="2445">
        <v>0.9</v>
      </c>
      <c r="N38" s="2426">
        <f t="shared" si="21"/>
        <v>9.1000000000000004E-3</v>
      </c>
      <c r="O38" s="2411">
        <f t="shared" si="21"/>
        <v>6.8000000000000005E-3</v>
      </c>
      <c r="P38" s="2411">
        <f t="shared" si="21"/>
        <v>9.7999999999999997E-3</v>
      </c>
      <c r="Q38" s="2411">
        <f t="shared" si="21"/>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9"/>
        <v>232.41954707985698</v>
      </c>
      <c r="E39" s="2424">
        <f t="shared" ref="E39:F41" si="28">E38/(1+P38)</f>
        <v>375.32184591008121</v>
      </c>
      <c r="F39" s="2424">
        <f t="shared" si="28"/>
        <v>218.03766105054513</v>
      </c>
      <c r="G39" s="3457"/>
      <c r="H39" s="2449">
        <v>3</v>
      </c>
      <c r="I39" s="2449">
        <v>0.09</v>
      </c>
      <c r="J39" s="2449">
        <v>0.28999999999999998</v>
      </c>
      <c r="K39" s="2449">
        <v>-0.01</v>
      </c>
      <c r="L39" s="2450">
        <v>0.57999999999999996</v>
      </c>
      <c r="N39" s="2426">
        <f t="shared" si="21"/>
        <v>8.9999999999999998E-4</v>
      </c>
      <c r="O39" s="2411">
        <f t="shared" si="21"/>
        <v>2.8999999999999998E-3</v>
      </c>
      <c r="P39" s="2411">
        <f t="shared" si="21"/>
        <v>-1E-4</v>
      </c>
      <c r="Q39" s="2411">
        <f t="shared" si="21"/>
        <v>5.7999999999999996E-3</v>
      </c>
      <c r="R39" s="2427"/>
      <c r="S39" s="2426"/>
      <c r="T39" s="2411"/>
      <c r="U39" s="2411"/>
      <c r="V39" s="2411"/>
    </row>
    <row r="40" spans="1:34">
      <c r="A40" s="2423" t="s">
        <v>1136</v>
      </c>
      <c r="B40" s="2424">
        <f>B39/(1+N39)</f>
        <v>275.24529281292263</v>
      </c>
      <c r="C40" s="2424">
        <f>C39/(1+O39)</f>
        <v>231.74747938962707</v>
      </c>
      <c r="D40" s="2424">
        <f t="shared" si="19"/>
        <v>231.74747938962707</v>
      </c>
      <c r="E40" s="2424">
        <f t="shared" si="28"/>
        <v>375.35938184826603</v>
      </c>
      <c r="F40" s="2424">
        <f t="shared" si="28"/>
        <v>216.78033510692495</v>
      </c>
      <c r="G40" s="3457"/>
      <c r="H40" s="2436">
        <v>2</v>
      </c>
      <c r="I40" s="2436">
        <v>0.02</v>
      </c>
      <c r="J40" s="2436">
        <v>0.12</v>
      </c>
      <c r="K40" s="2436">
        <v>-0.08</v>
      </c>
      <c r="L40" s="2437">
        <v>1.24</v>
      </c>
      <c r="N40" s="2426">
        <f t="shared" si="21"/>
        <v>2.0000000000000001E-4</v>
      </c>
      <c r="O40" s="2411">
        <f t="shared" si="21"/>
        <v>1.1999999999999999E-3</v>
      </c>
      <c r="P40" s="2411">
        <f t="shared" si="21"/>
        <v>-8.0000000000000004E-4</v>
      </c>
      <c r="Q40" s="2411">
        <f t="shared" si="21"/>
        <v>1.24E-2</v>
      </c>
      <c r="R40" s="2427"/>
      <c r="S40" s="2426"/>
      <c r="T40" s="2411"/>
      <c r="U40" s="2411"/>
      <c r="V40" s="2411"/>
    </row>
    <row r="41" spans="1:34" ht="13.5" thickBot="1">
      <c r="A41" s="2423" t="s">
        <v>1137</v>
      </c>
      <c r="B41" s="2424">
        <f>B40/(1+N40)</f>
        <v>275.19025476197027</v>
      </c>
      <c r="C41" s="2475">
        <v>232</v>
      </c>
      <c r="D41" s="2475">
        <f t="shared" si="19"/>
        <v>232</v>
      </c>
      <c r="E41" s="2424">
        <f t="shared" si="28"/>
        <v>375.65990977608692</v>
      </c>
      <c r="F41" s="2424">
        <f t="shared" si="28"/>
        <v>214.12518283971252</v>
      </c>
      <c r="G41" s="3458"/>
      <c r="H41" s="2425">
        <v>1</v>
      </c>
      <c r="I41" s="2425">
        <v>0.02</v>
      </c>
      <c r="J41" s="2425">
        <v>0.13</v>
      </c>
      <c r="K41" s="2425">
        <v>-0.04</v>
      </c>
      <c r="L41" s="2431">
        <v>0.46</v>
      </c>
      <c r="N41" s="2426">
        <f t="shared" si="21"/>
        <v>2.0000000000000001E-4</v>
      </c>
      <c r="O41" s="2411">
        <f t="shared" si="21"/>
        <v>1.2999999999999999E-3</v>
      </c>
      <c r="P41" s="2411">
        <f t="shared" si="21"/>
        <v>-4.0000000000000002E-4</v>
      </c>
      <c r="Q41" s="2411">
        <f t="shared" si="21"/>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9"/>
        <v>232</v>
      </c>
      <c r="E42" s="2438">
        <v>376</v>
      </c>
      <c r="F42" s="2439">
        <v>213</v>
      </c>
      <c r="G42" s="3456">
        <v>2011</v>
      </c>
      <c r="H42" s="2444">
        <v>4</v>
      </c>
      <c r="I42" s="2444">
        <v>-0.2</v>
      </c>
      <c r="J42" s="2444">
        <v>0.04</v>
      </c>
      <c r="K42" s="2444">
        <v>-0.34</v>
      </c>
      <c r="L42" s="2445">
        <v>0.46</v>
      </c>
      <c r="N42" s="2446">
        <f t="shared" si="21"/>
        <v>-2E-3</v>
      </c>
      <c r="O42" s="2447">
        <f t="shared" si="21"/>
        <v>4.0000000000000002E-4</v>
      </c>
      <c r="P42" s="2447">
        <f t="shared" si="21"/>
        <v>-3.4000000000000002E-3</v>
      </c>
      <c r="Q42" s="2447">
        <f t="shared" si="21"/>
        <v>4.5999999999999999E-3</v>
      </c>
      <c r="R42" s="2427"/>
      <c r="S42" s="2440"/>
      <c r="T42" s="2441"/>
      <c r="U42" s="2441"/>
      <c r="V42" s="2441"/>
      <c r="X42" s="2441"/>
      <c r="Y42" s="2441"/>
      <c r="Z42" s="2441"/>
    </row>
    <row r="43" spans="1:34">
      <c r="A43" s="2423" t="s">
        <v>1139</v>
      </c>
      <c r="B43" s="2424">
        <f t="shared" ref="B43:C45" si="29">B42/(1+N42)</f>
        <v>275.55110220440883</v>
      </c>
      <c r="C43" s="2424">
        <f t="shared" si="29"/>
        <v>231.90723710515795</v>
      </c>
      <c r="D43" s="2424">
        <f t="shared" si="19"/>
        <v>231.90723710515795</v>
      </c>
      <c r="E43" s="2424">
        <f t="shared" ref="E43:F45" si="30">E42/(1+P42)</f>
        <v>377.28276138872161</v>
      </c>
      <c r="F43" s="2424">
        <f t="shared" si="30"/>
        <v>212.02468644236512</v>
      </c>
      <c r="G43" s="3457">
        <v>2011</v>
      </c>
      <c r="H43" s="2449">
        <v>3</v>
      </c>
      <c r="I43" s="2449">
        <v>0.13</v>
      </c>
      <c r="J43" s="2449">
        <v>0.75</v>
      </c>
      <c r="K43" s="2449">
        <v>-0.08</v>
      </c>
      <c r="L43" s="2450">
        <v>0.53</v>
      </c>
      <c r="N43" s="2426">
        <f t="shared" si="21"/>
        <v>1.2999999999999999E-3</v>
      </c>
      <c r="O43" s="2451">
        <f t="shared" si="21"/>
        <v>7.4999999999999997E-3</v>
      </c>
      <c r="P43" s="2451">
        <f t="shared" si="21"/>
        <v>-8.0000000000000004E-4</v>
      </c>
      <c r="Q43" s="2451">
        <f t="shared" si="21"/>
        <v>5.3E-3</v>
      </c>
      <c r="R43" s="2427"/>
      <c r="S43" s="2426"/>
      <c r="T43" s="2411"/>
      <c r="U43" s="2411"/>
      <c r="V43" s="2411"/>
    </row>
    <row r="44" spans="1:34">
      <c r="A44" s="2423" t="s">
        <v>1140</v>
      </c>
      <c r="B44" s="2424">
        <f t="shared" si="29"/>
        <v>275.19335084830601</v>
      </c>
      <c r="C44" s="2424">
        <f t="shared" si="29"/>
        <v>230.18088050139744</v>
      </c>
      <c r="D44" s="2424">
        <f t="shared" si="19"/>
        <v>230.18088050139744</v>
      </c>
      <c r="E44" s="2424">
        <f t="shared" si="30"/>
        <v>377.58482925212331</v>
      </c>
      <c r="F44" s="2424">
        <f t="shared" si="30"/>
        <v>210.90687997847917</v>
      </c>
      <c r="G44" s="3457">
        <v>2011</v>
      </c>
      <c r="H44" s="2436">
        <v>2</v>
      </c>
      <c r="I44" s="2436">
        <v>-0.4</v>
      </c>
      <c r="J44" s="2436">
        <v>0.17</v>
      </c>
      <c r="K44" s="2436">
        <v>-0.57999999999999996</v>
      </c>
      <c r="L44" s="2437">
        <v>-0.2</v>
      </c>
      <c r="N44" s="2426">
        <f t="shared" si="21"/>
        <v>-4.0000000000000001E-3</v>
      </c>
      <c r="O44" s="2451">
        <f t="shared" si="21"/>
        <v>1.7000000000000001E-3</v>
      </c>
      <c r="P44" s="2451">
        <f t="shared" si="21"/>
        <v>-5.7999999999999996E-3</v>
      </c>
      <c r="Q44" s="2451">
        <f t="shared" si="21"/>
        <v>-2E-3</v>
      </c>
      <c r="R44" s="2427"/>
      <c r="S44" s="2426"/>
      <c r="T44" s="2411"/>
      <c r="U44" s="2411"/>
      <c r="V44" s="2411"/>
    </row>
    <row r="45" spans="1:34" ht="13.5" thickBot="1">
      <c r="A45" s="2423" t="s">
        <v>1141</v>
      </c>
      <c r="B45" s="2424">
        <f t="shared" si="29"/>
        <v>276.29854502841971</v>
      </c>
      <c r="C45" s="2424">
        <f t="shared" si="29"/>
        <v>229.79023709833027</v>
      </c>
      <c r="D45" s="2424">
        <f t="shared" si="19"/>
        <v>229.79023709833027</v>
      </c>
      <c r="E45" s="2424">
        <f t="shared" si="30"/>
        <v>379.78759731655936</v>
      </c>
      <c r="F45" s="2424">
        <f t="shared" si="30"/>
        <v>211.32953905659235</v>
      </c>
      <c r="G45" s="3458">
        <v>2011</v>
      </c>
      <c r="H45" s="2425">
        <v>1</v>
      </c>
      <c r="I45" s="2425">
        <v>2.65</v>
      </c>
      <c r="J45" s="2425">
        <v>3.76</v>
      </c>
      <c r="K45" s="2425">
        <v>1.89</v>
      </c>
      <c r="L45" s="2431">
        <v>7.95</v>
      </c>
      <c r="N45" s="2442">
        <f t="shared" si="21"/>
        <v>2.6499999999999999E-2</v>
      </c>
      <c r="O45" s="2443">
        <f t="shared" si="21"/>
        <v>3.7599999999999995E-2</v>
      </c>
      <c r="P45" s="2443">
        <f t="shared" si="21"/>
        <v>1.89E-2</v>
      </c>
      <c r="Q45" s="2443">
        <f t="shared" si="21"/>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9"/>
        <v>221</v>
      </c>
      <c r="E46" s="2438">
        <v>373</v>
      </c>
      <c r="F46" s="2439">
        <v>196</v>
      </c>
      <c r="G46" s="3456">
        <v>2010</v>
      </c>
      <c r="H46" s="2444">
        <v>4</v>
      </c>
      <c r="I46" s="2444">
        <v>5.72</v>
      </c>
      <c r="J46" s="2444">
        <v>6.57</v>
      </c>
      <c r="K46" s="2444">
        <v>5.72</v>
      </c>
      <c r="L46" s="2445">
        <v>2.72</v>
      </c>
      <c r="N46" s="2426">
        <f t="shared" si="21"/>
        <v>5.7200000000000001E-2</v>
      </c>
      <c r="O46" s="2411">
        <f t="shared" si="21"/>
        <v>6.5700000000000008E-2</v>
      </c>
      <c r="P46" s="2411">
        <f t="shared" si="21"/>
        <v>5.7200000000000001E-2</v>
      </c>
      <c r="Q46" s="2411">
        <f t="shared" si="21"/>
        <v>2.7200000000000002E-2</v>
      </c>
      <c r="R46" s="2427"/>
      <c r="S46" s="2440"/>
      <c r="T46" s="2441"/>
      <c r="U46" s="2441"/>
      <c r="V46" s="2441"/>
      <c r="X46" s="2441"/>
      <c r="Y46" s="2441"/>
      <c r="Z46" s="2441"/>
    </row>
    <row r="47" spans="1:34">
      <c r="A47" s="2423" t="s">
        <v>1143</v>
      </c>
      <c r="B47" s="2424">
        <f t="shared" ref="B47:C49" si="31">B46/(1+N46)</f>
        <v>254.44570563753314</v>
      </c>
      <c r="C47" s="2424">
        <f t="shared" si="31"/>
        <v>207.37543398705074</v>
      </c>
      <c r="D47" s="2424">
        <f t="shared" si="19"/>
        <v>207.37543398705074</v>
      </c>
      <c r="E47" s="2424">
        <f t="shared" ref="E47:F49" si="32">E46/(1+P46)</f>
        <v>352.81876655315932</v>
      </c>
      <c r="F47" s="2424">
        <f t="shared" si="32"/>
        <v>190.809968847352</v>
      </c>
      <c r="G47" s="3457">
        <v>2010</v>
      </c>
      <c r="H47" s="2449">
        <v>3</v>
      </c>
      <c r="I47" s="2449">
        <v>4.7300000000000004</v>
      </c>
      <c r="J47" s="2449">
        <v>3.9</v>
      </c>
      <c r="K47" s="2449">
        <v>5.03</v>
      </c>
      <c r="L47" s="2450">
        <v>4.21</v>
      </c>
      <c r="N47" s="2426">
        <f t="shared" si="21"/>
        <v>4.7300000000000002E-2</v>
      </c>
      <c r="O47" s="2411">
        <f t="shared" si="21"/>
        <v>3.9E-2</v>
      </c>
      <c r="P47" s="2411">
        <f t="shared" si="21"/>
        <v>5.0300000000000004E-2</v>
      </c>
      <c r="Q47" s="2411">
        <f t="shared" si="21"/>
        <v>4.2099999999999999E-2</v>
      </c>
      <c r="R47" s="2427"/>
      <c r="S47" s="2426"/>
      <c r="T47" s="2411"/>
      <c r="U47" s="2411"/>
      <c r="V47" s="2411"/>
    </row>
    <row r="48" spans="1:34">
      <c r="A48" s="2423" t="s">
        <v>1144</v>
      </c>
      <c r="B48" s="2424">
        <f t="shared" si="31"/>
        <v>242.95398227588385</v>
      </c>
      <c r="C48" s="2424">
        <f t="shared" si="31"/>
        <v>199.59137053614126</v>
      </c>
      <c r="D48" s="2424">
        <f t="shared" si="19"/>
        <v>199.59137053614126</v>
      </c>
      <c r="E48" s="2424">
        <f t="shared" si="32"/>
        <v>335.92189522342125</v>
      </c>
      <c r="F48" s="2424">
        <f t="shared" si="32"/>
        <v>183.10139991109489</v>
      </c>
      <c r="G48" s="3457">
        <v>2010</v>
      </c>
      <c r="H48" s="2436">
        <v>2</v>
      </c>
      <c r="I48" s="2436">
        <v>4.6900000000000004</v>
      </c>
      <c r="J48" s="2436">
        <v>3.55</v>
      </c>
      <c r="K48" s="2436">
        <v>5.07</v>
      </c>
      <c r="L48" s="2437">
        <v>4.2300000000000004</v>
      </c>
      <c r="N48" s="2426">
        <f t="shared" si="21"/>
        <v>4.6900000000000004E-2</v>
      </c>
      <c r="O48" s="2411">
        <f t="shared" si="21"/>
        <v>3.5499999999999997E-2</v>
      </c>
      <c r="P48" s="2411">
        <f t="shared" si="21"/>
        <v>5.0700000000000002E-2</v>
      </c>
      <c r="Q48" s="2411">
        <f t="shared" si="21"/>
        <v>4.2300000000000004E-2</v>
      </c>
      <c r="R48" s="2427"/>
      <c r="S48" s="2426"/>
      <c r="T48" s="2411"/>
      <c r="U48" s="2411"/>
      <c r="V48" s="2411"/>
    </row>
    <row r="49" spans="1:26" ht="13.5" thickBot="1">
      <c r="A49" s="2423" t="s">
        <v>1145</v>
      </c>
      <c r="B49" s="2424">
        <f t="shared" si="31"/>
        <v>232.06990378821649</v>
      </c>
      <c r="C49" s="2424">
        <f t="shared" si="31"/>
        <v>192.74878854286936</v>
      </c>
      <c r="D49" s="2424">
        <f t="shared" si="19"/>
        <v>192.74878854286936</v>
      </c>
      <c r="E49" s="2424">
        <f t="shared" si="32"/>
        <v>319.71247284992984</v>
      </c>
      <c r="F49" s="2424">
        <f t="shared" si="32"/>
        <v>175.67053622862409</v>
      </c>
      <c r="G49" s="3458">
        <v>2010</v>
      </c>
      <c r="H49" s="2425">
        <v>1</v>
      </c>
      <c r="I49" s="2425">
        <v>5.4</v>
      </c>
      <c r="J49" s="2425">
        <v>3.2</v>
      </c>
      <c r="K49" s="2425">
        <v>6.16</v>
      </c>
      <c r="L49" s="2431">
        <v>4.51</v>
      </c>
      <c r="N49" s="2426">
        <f t="shared" si="21"/>
        <v>5.4000000000000006E-2</v>
      </c>
      <c r="O49" s="2411">
        <f t="shared" si="21"/>
        <v>3.2000000000000001E-2</v>
      </c>
      <c r="P49" s="2411">
        <f t="shared" si="21"/>
        <v>6.1600000000000002E-2</v>
      </c>
      <c r="Q49" s="2411">
        <f t="shared" si="21"/>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9"/>
        <v>187</v>
      </c>
      <c r="E50" s="2438">
        <v>301</v>
      </c>
      <c r="F50" s="2439">
        <v>168</v>
      </c>
      <c r="G50" s="3456">
        <v>2009</v>
      </c>
      <c r="H50" s="2444">
        <v>4</v>
      </c>
      <c r="I50" s="2444">
        <v>2.2999999999999998</v>
      </c>
      <c r="J50" s="2444">
        <v>1.04</v>
      </c>
      <c r="K50" s="2444">
        <v>2.84</v>
      </c>
      <c r="L50" s="2445">
        <v>0.67</v>
      </c>
      <c r="N50" s="2446">
        <f t="shared" si="21"/>
        <v>2.3E-2</v>
      </c>
      <c r="O50" s="2447">
        <f t="shared" si="21"/>
        <v>1.04E-2</v>
      </c>
      <c r="P50" s="2447">
        <f t="shared" si="21"/>
        <v>2.8399999999999998E-2</v>
      </c>
      <c r="Q50" s="2447">
        <f t="shared" si="21"/>
        <v>6.7000000000000002E-3</v>
      </c>
      <c r="R50" s="2427"/>
      <c r="S50" s="2440"/>
      <c r="T50" s="2441"/>
      <c r="U50" s="2441"/>
      <c r="V50" s="2441"/>
      <c r="X50" s="2441"/>
      <c r="Y50" s="2441"/>
      <c r="Z50" s="2441"/>
    </row>
    <row r="51" spans="1:26">
      <c r="A51" s="2423" t="s">
        <v>1147</v>
      </c>
      <c r="B51" s="2424">
        <f t="shared" ref="B51:C53" si="33">B50/(1+N50)</f>
        <v>215.05376344086022</v>
      </c>
      <c r="C51" s="2424">
        <f t="shared" si="33"/>
        <v>185.0752177355503</v>
      </c>
      <c r="D51" s="2424">
        <f t="shared" si="19"/>
        <v>185.0752177355503</v>
      </c>
      <c r="E51" s="2424">
        <f t="shared" ref="E51:F53" si="34">E50/(1+P50)</f>
        <v>292.68767016725008</v>
      </c>
      <c r="F51" s="2424">
        <f t="shared" si="34"/>
        <v>166.88189132810174</v>
      </c>
      <c r="G51" s="3457">
        <v>2009</v>
      </c>
      <c r="H51" s="2449">
        <v>3</v>
      </c>
      <c r="I51" s="2449">
        <v>2.1</v>
      </c>
      <c r="J51" s="2449">
        <v>1.86</v>
      </c>
      <c r="K51" s="2449">
        <v>2.29</v>
      </c>
      <c r="L51" s="2450">
        <v>0.85</v>
      </c>
      <c r="N51" s="2426">
        <f t="shared" si="21"/>
        <v>2.1000000000000001E-2</v>
      </c>
      <c r="O51" s="2451">
        <f t="shared" si="21"/>
        <v>1.8600000000000002E-2</v>
      </c>
      <c r="P51" s="2451">
        <f t="shared" si="21"/>
        <v>2.29E-2</v>
      </c>
      <c r="Q51" s="2451">
        <f t="shared" si="21"/>
        <v>8.5000000000000006E-3</v>
      </c>
      <c r="R51" s="2427"/>
      <c r="S51" s="2426"/>
      <c r="T51" s="2411"/>
      <c r="U51" s="2411"/>
      <c r="V51" s="2411"/>
    </row>
    <row r="52" spans="1:26">
      <c r="A52" s="2423" t="s">
        <v>1148</v>
      </c>
      <c r="B52" s="2424">
        <f t="shared" si="33"/>
        <v>210.630522469011</v>
      </c>
      <c r="C52" s="2424">
        <f t="shared" si="33"/>
        <v>181.69567812247232</v>
      </c>
      <c r="D52" s="2424">
        <f t="shared" si="19"/>
        <v>181.69567812247232</v>
      </c>
      <c r="E52" s="2424">
        <f t="shared" si="34"/>
        <v>286.13517466736738</v>
      </c>
      <c r="F52" s="2424">
        <f t="shared" si="34"/>
        <v>165.47535084591149</v>
      </c>
      <c r="G52" s="3457">
        <v>2009</v>
      </c>
      <c r="H52" s="2436">
        <v>2</v>
      </c>
      <c r="I52" s="2436">
        <v>0.86</v>
      </c>
      <c r="J52" s="2436">
        <v>-1.1299999999999999</v>
      </c>
      <c r="K52" s="2436">
        <v>1.79</v>
      </c>
      <c r="L52" s="2437">
        <v>-2.0699999999999998</v>
      </c>
      <c r="N52" s="2426">
        <f t="shared" si="21"/>
        <v>8.6E-3</v>
      </c>
      <c r="O52" s="2451">
        <f t="shared" si="21"/>
        <v>-1.1299999999999999E-2</v>
      </c>
      <c r="P52" s="2451">
        <f t="shared" si="21"/>
        <v>1.7899999999999999E-2</v>
      </c>
      <c r="Q52" s="2451">
        <f t="shared" si="21"/>
        <v>-2.07E-2</v>
      </c>
      <c r="R52" s="2427"/>
      <c r="S52" s="2426"/>
      <c r="T52" s="2411"/>
      <c r="U52" s="2411"/>
      <c r="V52" s="2411"/>
    </row>
    <row r="53" spans="1:26">
      <c r="A53" s="2423" t="s">
        <v>1149</v>
      </c>
      <c r="B53" s="2424">
        <f t="shared" si="33"/>
        <v>208.83454537875372</v>
      </c>
      <c r="C53" s="2424">
        <f t="shared" si="33"/>
        <v>183.77230517090351</v>
      </c>
      <c r="D53" s="2424">
        <f t="shared" si="19"/>
        <v>183.77230517090351</v>
      </c>
      <c r="E53" s="2424">
        <f t="shared" si="34"/>
        <v>281.10342338870947</v>
      </c>
      <c r="F53" s="2424">
        <f t="shared" si="34"/>
        <v>168.97309388942256</v>
      </c>
      <c r="G53" s="3458">
        <v>2009</v>
      </c>
      <c r="H53" s="2425">
        <v>1</v>
      </c>
      <c r="I53" s="2425">
        <v>-2.64</v>
      </c>
      <c r="J53" s="2425">
        <v>-2.5299999999999998</v>
      </c>
      <c r="K53" s="2425">
        <v>-3.02</v>
      </c>
      <c r="L53" s="2431">
        <v>1.52</v>
      </c>
      <c r="N53" s="2442">
        <f t="shared" si="21"/>
        <v>-2.64E-2</v>
      </c>
      <c r="O53" s="2443">
        <f t="shared" si="21"/>
        <v>-2.53E-2</v>
      </c>
      <c r="P53" s="2443">
        <f t="shared" si="21"/>
        <v>-3.0200000000000001E-2</v>
      </c>
      <c r="Q53" s="2443">
        <f t="shared" si="21"/>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9"/>
        <v>188</v>
      </c>
      <c r="E54" s="2473">
        <v>289</v>
      </c>
      <c r="F54" s="2474">
        <v>166</v>
      </c>
      <c r="G54" s="3456">
        <v>2008</v>
      </c>
      <c r="H54" s="2444">
        <v>4</v>
      </c>
      <c r="I54" s="2444">
        <v>1.73</v>
      </c>
      <c r="J54" s="2444">
        <v>0.03</v>
      </c>
      <c r="K54" s="2444">
        <v>2.59</v>
      </c>
      <c r="L54" s="2445">
        <v>-1.66</v>
      </c>
      <c r="N54" s="2426">
        <f t="shared" si="21"/>
        <v>1.7299999999999999E-2</v>
      </c>
      <c r="O54" s="2411">
        <f t="shared" si="21"/>
        <v>2.9999999999999997E-4</v>
      </c>
      <c r="P54" s="2411">
        <f t="shared" si="21"/>
        <v>2.5899999999999999E-2</v>
      </c>
      <c r="Q54" s="2411">
        <f t="shared" si="21"/>
        <v>-1.66E-2</v>
      </c>
      <c r="R54" s="2427"/>
      <c r="S54" s="2440"/>
      <c r="T54" s="2441"/>
      <c r="U54" s="2441"/>
      <c r="V54" s="2441"/>
      <c r="X54" s="2441"/>
      <c r="Y54" s="2441"/>
      <c r="Z54" s="2441"/>
    </row>
    <row r="55" spans="1:26">
      <c r="A55" s="2423" t="s">
        <v>1151</v>
      </c>
      <c r="B55" s="2424">
        <f t="shared" ref="B55:C57" si="35">B54/(1+N54)</f>
        <v>210.36075887152265</v>
      </c>
      <c r="C55" s="2424">
        <f t="shared" si="35"/>
        <v>187.94361691492554</v>
      </c>
      <c r="D55" s="2424">
        <f t="shared" si="19"/>
        <v>187.94361691492554</v>
      </c>
      <c r="E55" s="2424">
        <f t="shared" ref="E55:F57" si="36">E54/(1+P54)</f>
        <v>281.70386977288234</v>
      </c>
      <c r="F55" s="2424">
        <f t="shared" si="36"/>
        <v>168.80211511083994</v>
      </c>
      <c r="G55" s="3457">
        <v>2008</v>
      </c>
      <c r="H55" s="2449">
        <v>3</v>
      </c>
      <c r="I55" s="2449">
        <v>1.96</v>
      </c>
      <c r="J55" s="2449">
        <v>2.36</v>
      </c>
      <c r="K55" s="2449">
        <v>1.82</v>
      </c>
      <c r="L55" s="2450">
        <v>2.2200000000000002</v>
      </c>
      <c r="N55" s="2426">
        <f t="shared" si="21"/>
        <v>1.9599999999999999E-2</v>
      </c>
      <c r="O55" s="2411">
        <f t="shared" si="21"/>
        <v>2.3599999999999999E-2</v>
      </c>
      <c r="P55" s="2411">
        <f t="shared" si="21"/>
        <v>1.8200000000000001E-2</v>
      </c>
      <c r="Q55" s="2411">
        <f t="shared" si="21"/>
        <v>2.2200000000000001E-2</v>
      </c>
      <c r="R55" s="2427"/>
      <c r="S55" s="2426"/>
      <c r="T55" s="2411"/>
      <c r="U55" s="2411"/>
      <c r="V55" s="2411"/>
    </row>
    <row r="56" spans="1:26">
      <c r="A56" s="2423" t="s">
        <v>1152</v>
      </c>
      <c r="B56" s="2424">
        <f t="shared" si="35"/>
        <v>206.31694671589116</v>
      </c>
      <c r="C56" s="2424">
        <f t="shared" si="35"/>
        <v>183.61041121036101</v>
      </c>
      <c r="D56" s="2424">
        <f t="shared" si="19"/>
        <v>183.61041121036101</v>
      </c>
      <c r="E56" s="2424">
        <f t="shared" si="36"/>
        <v>276.66850301795557</v>
      </c>
      <c r="F56" s="2424">
        <f t="shared" si="36"/>
        <v>165.1360938278614</v>
      </c>
      <c r="G56" s="3457">
        <v>2008</v>
      </c>
      <c r="H56" s="2436">
        <v>2</v>
      </c>
      <c r="I56" s="2436">
        <v>4.93</v>
      </c>
      <c r="J56" s="2436">
        <v>7.38</v>
      </c>
      <c r="K56" s="2436">
        <v>3.98</v>
      </c>
      <c r="L56" s="2437">
        <v>6.86</v>
      </c>
      <c r="N56" s="2426">
        <f t="shared" si="21"/>
        <v>4.9299999999999997E-2</v>
      </c>
      <c r="O56" s="2411">
        <f t="shared" si="21"/>
        <v>7.3800000000000004E-2</v>
      </c>
      <c r="P56" s="2411">
        <f t="shared" si="21"/>
        <v>3.9800000000000002E-2</v>
      </c>
      <c r="Q56" s="2411">
        <f t="shared" si="21"/>
        <v>6.8600000000000008E-2</v>
      </c>
      <c r="R56" s="2427"/>
      <c r="S56" s="2426"/>
      <c r="T56" s="2411"/>
      <c r="U56" s="2411"/>
      <c r="V56" s="2411"/>
    </row>
    <row r="57" spans="1:26" s="2479" customFormat="1" ht="13.5" thickBot="1">
      <c r="A57" s="2423" t="s">
        <v>1153</v>
      </c>
      <c r="B57" s="2476">
        <f t="shared" si="35"/>
        <v>196.62341248059772</v>
      </c>
      <c r="C57" s="2476">
        <f t="shared" si="35"/>
        <v>170.99125648199012</v>
      </c>
      <c r="D57" s="2476">
        <f t="shared" si="19"/>
        <v>170.99125648199012</v>
      </c>
      <c r="E57" s="2476">
        <f t="shared" si="36"/>
        <v>266.07857570490052</v>
      </c>
      <c r="F57" s="2476">
        <f t="shared" si="36"/>
        <v>154.53499328828505</v>
      </c>
      <c r="G57" s="3458">
        <v>2008</v>
      </c>
      <c r="H57" s="2477">
        <v>1</v>
      </c>
      <c r="I57" s="2477">
        <v>4.1399999999999997</v>
      </c>
      <c r="J57" s="2477">
        <v>3.45</v>
      </c>
      <c r="K57" s="2477">
        <v>4.95</v>
      </c>
      <c r="L57" s="2478">
        <v>4.82</v>
      </c>
      <c r="N57" s="2480">
        <f t="shared" si="21"/>
        <v>4.1399999999999999E-2</v>
      </c>
      <c r="O57" s="2481">
        <f t="shared" si="21"/>
        <v>3.4500000000000003E-2</v>
      </c>
      <c r="P57" s="2481">
        <f t="shared" si="21"/>
        <v>4.9500000000000002E-2</v>
      </c>
      <c r="Q57" s="2481">
        <f t="shared" si="21"/>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9"/>
        <v>165</v>
      </c>
      <c r="E58" s="2438">
        <v>254</v>
      </c>
      <c r="F58" s="2439">
        <v>148</v>
      </c>
      <c r="G58" s="3456">
        <v>2007</v>
      </c>
      <c r="H58" s="2483">
        <v>4</v>
      </c>
      <c r="I58" s="2483">
        <v>5.51</v>
      </c>
      <c r="J58" s="2483">
        <v>4.8899999999999997</v>
      </c>
      <c r="K58" s="2483">
        <v>6.43</v>
      </c>
      <c r="L58" s="2484">
        <v>5.36</v>
      </c>
      <c r="N58" s="2485">
        <f t="shared" ref="N58:O61" si="37">B58/B59-1</f>
        <v>4.1339718365245526E-2</v>
      </c>
      <c r="O58" s="2486">
        <f t="shared" si="37"/>
        <v>4.0324492593776018E-2</v>
      </c>
      <c r="P58" s="2486">
        <f t="shared" ref="P58:Q61" si="38">E58/E59-1</f>
        <v>6.1625555347990968E-2</v>
      </c>
      <c r="Q58" s="2486">
        <f t="shared" si="38"/>
        <v>4.6757569250590603E-2</v>
      </c>
      <c r="R58" s="2427"/>
      <c r="S58" s="2440"/>
      <c r="T58" s="2441"/>
      <c r="U58" s="2441"/>
      <c r="V58" s="2441"/>
      <c r="X58" s="2441"/>
      <c r="Y58" s="2441"/>
      <c r="Z58" s="2441"/>
    </row>
    <row r="59" spans="1:26">
      <c r="A59" s="2423" t="s">
        <v>1155</v>
      </c>
      <c r="B59" s="2424">
        <f t="shared" ref="B59:C61" si="39">B60+(B$58-B$62)*I59/SUM(I$58:I$61)</f>
        <v>180.5366651097618</v>
      </c>
      <c r="C59" s="2424">
        <f t="shared" si="39"/>
        <v>158.60435967302453</v>
      </c>
      <c r="D59" s="2424">
        <f t="shared" si="19"/>
        <v>158.60435967302453</v>
      </c>
      <c r="E59" s="2424">
        <f t="shared" ref="E59:F61" si="40">E60+(E$58-E$62)*K59/SUM(K$58:K$61)</f>
        <v>239.25573260785075</v>
      </c>
      <c r="F59" s="2424">
        <f t="shared" si="40"/>
        <v>141.38899430740037</v>
      </c>
      <c r="G59" s="3457">
        <v>2007</v>
      </c>
      <c r="H59" s="2449">
        <v>3</v>
      </c>
      <c r="I59" s="2449">
        <v>8.65</v>
      </c>
      <c r="J59" s="2449">
        <v>8.06</v>
      </c>
      <c r="K59" s="2449">
        <v>9.94</v>
      </c>
      <c r="L59" s="2450">
        <v>5.8</v>
      </c>
      <c r="N59" s="2485">
        <f t="shared" si="37"/>
        <v>6.940217571740015E-2</v>
      </c>
      <c r="O59" s="2486">
        <f t="shared" si="37"/>
        <v>7.1197482471153428E-2</v>
      </c>
      <c r="P59" s="2486">
        <f t="shared" si="38"/>
        <v>0.10529679922579582</v>
      </c>
      <c r="Q59" s="2486">
        <f t="shared" si="38"/>
        <v>5.3292245059512133E-2</v>
      </c>
      <c r="R59" s="2427"/>
      <c r="S59" s="2426"/>
      <c r="T59" s="2411"/>
      <c r="U59" s="2411"/>
      <c r="V59" s="2411"/>
      <c r="X59" s="2487"/>
      <c r="Y59" s="2487"/>
      <c r="Z59" s="2487"/>
    </row>
    <row r="60" spans="1:26">
      <c r="A60" s="2423" t="s">
        <v>1156</v>
      </c>
      <c r="B60" s="2424">
        <f t="shared" si="39"/>
        <v>168.82017748715555</v>
      </c>
      <c r="C60" s="2424">
        <f t="shared" si="39"/>
        <v>148.06267029972753</v>
      </c>
      <c r="D60" s="2424">
        <f t="shared" si="19"/>
        <v>148.06267029972753</v>
      </c>
      <c r="E60" s="2424">
        <f t="shared" si="40"/>
        <v>216.46288379323747</v>
      </c>
      <c r="F60" s="2424">
        <f t="shared" si="40"/>
        <v>134.23529411764704</v>
      </c>
      <c r="G60" s="3457">
        <v>2007</v>
      </c>
      <c r="H60" s="2436">
        <v>2</v>
      </c>
      <c r="I60" s="2436">
        <v>3.67</v>
      </c>
      <c r="J60" s="2436">
        <v>2.3199999999999998</v>
      </c>
      <c r="K60" s="2436">
        <v>5.0199999999999996</v>
      </c>
      <c r="L60" s="2437">
        <v>6.71</v>
      </c>
      <c r="N60" s="2485">
        <f t="shared" si="37"/>
        <v>3.0339138143848032E-2</v>
      </c>
      <c r="O60" s="2486">
        <f t="shared" si="37"/>
        <v>2.0922341588790472E-2</v>
      </c>
      <c r="P60" s="2486">
        <f t="shared" si="38"/>
        <v>5.6164796592717003E-2</v>
      </c>
      <c r="Q60" s="2486">
        <f t="shared" si="38"/>
        <v>6.5704536723887319E-2</v>
      </c>
      <c r="R60" s="2427"/>
      <c r="S60" s="2426"/>
      <c r="T60" s="2411"/>
      <c r="U60" s="2411"/>
      <c r="V60" s="2411"/>
      <c r="X60" s="2487"/>
      <c r="Y60" s="2487"/>
      <c r="Z60" s="2487"/>
    </row>
    <row r="61" spans="1:26">
      <c r="A61" s="2423" t="s">
        <v>1157</v>
      </c>
      <c r="B61" s="2424">
        <f t="shared" si="39"/>
        <v>163.84913591779542</v>
      </c>
      <c r="C61" s="2424">
        <f t="shared" si="39"/>
        <v>145.0283378746594</v>
      </c>
      <c r="D61" s="2424">
        <f t="shared" si="19"/>
        <v>145.0283378746594</v>
      </c>
      <c r="E61" s="2424">
        <f t="shared" si="40"/>
        <v>204.95180722891567</v>
      </c>
      <c r="F61" s="2424">
        <f t="shared" si="40"/>
        <v>125.95920303605313</v>
      </c>
      <c r="G61" s="3458">
        <v>2007</v>
      </c>
      <c r="H61" s="2425">
        <v>1</v>
      </c>
      <c r="I61" s="2425">
        <v>3.58</v>
      </c>
      <c r="J61" s="2425">
        <v>3.08</v>
      </c>
      <c r="K61" s="2425">
        <v>4.34</v>
      </c>
      <c r="L61" s="2431">
        <v>3.21</v>
      </c>
      <c r="N61" s="2488">
        <f t="shared" si="37"/>
        <v>3.0497710174814063E-2</v>
      </c>
      <c r="O61" s="2489">
        <f t="shared" si="37"/>
        <v>2.8569772160704998E-2</v>
      </c>
      <c r="P61" s="2489">
        <f t="shared" si="38"/>
        <v>5.1034908866234296E-2</v>
      </c>
      <c r="Q61" s="2489">
        <f t="shared" si="38"/>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9"/>
        <v>141</v>
      </c>
      <c r="E62" s="2452">
        <v>195</v>
      </c>
      <c r="F62" s="2453">
        <v>122</v>
      </c>
      <c r="G62" s="3456">
        <v>2006</v>
      </c>
      <c r="H62" s="2444">
        <v>4</v>
      </c>
      <c r="I62" s="2444">
        <v>3.79</v>
      </c>
      <c r="J62" s="2444">
        <v>2.21</v>
      </c>
      <c r="K62" s="2444">
        <v>5.65</v>
      </c>
      <c r="L62" s="2445">
        <v>5.41</v>
      </c>
      <c r="N62" s="2485">
        <f t="shared" ref="N62:O65" si="41">I62/SUM(I$62:I$65)*(B$62/B$66-1)</f>
        <v>7.245466462748526E-2</v>
      </c>
      <c r="O62" s="2486">
        <f t="shared" si="41"/>
        <v>2.3237230038062766E-2</v>
      </c>
      <c r="P62" s="2486">
        <f t="shared" ref="P62:Q65" si="42">K62/SUM(K$62:K$65)*(E$62/E$66-1)</f>
        <v>0.16146893866323722</v>
      </c>
      <c r="Q62" s="2486">
        <f t="shared" si="42"/>
        <v>5.0755230321793784E-2</v>
      </c>
      <c r="R62" s="2427"/>
      <c r="S62" s="2440"/>
      <c r="T62" s="2441"/>
      <c r="U62" s="2441"/>
      <c r="V62" s="2441"/>
      <c r="X62" s="2487"/>
      <c r="Y62" s="2487"/>
      <c r="Z62" s="2487"/>
    </row>
    <row r="63" spans="1:26">
      <c r="A63" s="2423" t="s">
        <v>1159</v>
      </c>
      <c r="B63" s="2424">
        <f t="shared" ref="B63:C65" si="43">B64+(B$62-B$66)*I63/SUM(I$62:I$65)</f>
        <v>149.00125628140702</v>
      </c>
      <c r="C63" s="2424">
        <f t="shared" si="43"/>
        <v>137.95592286501378</v>
      </c>
      <c r="D63" s="2424">
        <f t="shared" si="19"/>
        <v>137.95592286501378</v>
      </c>
      <c r="E63" s="2424">
        <f t="shared" ref="E63:F65" si="44">E64+(E$62-E$66)*K63/SUM(K$62:K$65)</f>
        <v>169.97231450719823</v>
      </c>
      <c r="F63" s="2424">
        <f t="shared" si="44"/>
        <v>116.21390374331551</v>
      </c>
      <c r="G63" s="3457">
        <v>2006</v>
      </c>
      <c r="H63" s="2449">
        <v>3</v>
      </c>
      <c r="I63" s="2449">
        <v>0.92</v>
      </c>
      <c r="J63" s="2449">
        <v>1.08</v>
      </c>
      <c r="K63" s="2449">
        <v>0.73</v>
      </c>
      <c r="L63" s="2450">
        <v>1.08</v>
      </c>
      <c r="N63" s="2485">
        <f t="shared" si="41"/>
        <v>1.7587939698492462E-2</v>
      </c>
      <c r="O63" s="2486">
        <f t="shared" si="41"/>
        <v>1.1355750425840628E-2</v>
      </c>
      <c r="P63" s="2486">
        <f t="shared" si="42"/>
        <v>2.0862358446754544E-2</v>
      </c>
      <c r="Q63" s="2486">
        <f t="shared" si="42"/>
        <v>1.0132282578103011E-2</v>
      </c>
      <c r="R63" s="2427"/>
      <c r="S63" s="2426"/>
      <c r="T63" s="2411"/>
      <c r="U63" s="2411"/>
      <c r="V63" s="2411"/>
      <c r="X63" s="2487"/>
      <c r="Y63" s="2487"/>
      <c r="Z63" s="2487"/>
    </row>
    <row r="64" spans="1:26">
      <c r="A64" s="2423" t="s">
        <v>1160</v>
      </c>
      <c r="B64" s="2424">
        <f t="shared" si="43"/>
        <v>146.57412060301507</v>
      </c>
      <c r="C64" s="2424">
        <f t="shared" si="43"/>
        <v>136.46831955922866</v>
      </c>
      <c r="D64" s="2424">
        <f t="shared" si="19"/>
        <v>136.46831955922866</v>
      </c>
      <c r="E64" s="2424">
        <f t="shared" si="44"/>
        <v>166.73864894795128</v>
      </c>
      <c r="F64" s="2424">
        <f t="shared" si="44"/>
        <v>115.05882352941177</v>
      </c>
      <c r="G64" s="3457">
        <v>2006</v>
      </c>
      <c r="H64" s="2436">
        <v>2</v>
      </c>
      <c r="I64" s="2436">
        <v>0.96</v>
      </c>
      <c r="J64" s="2436">
        <v>0.25</v>
      </c>
      <c r="K64" s="2436">
        <v>1.9</v>
      </c>
      <c r="L64" s="2437">
        <v>0.95</v>
      </c>
      <c r="N64" s="2485">
        <f t="shared" si="41"/>
        <v>1.8352632728861701E-2</v>
      </c>
      <c r="O64" s="2486">
        <f t="shared" si="41"/>
        <v>2.6286459319075526E-3</v>
      </c>
      <c r="P64" s="2486">
        <f t="shared" si="42"/>
        <v>5.4299289107991269E-2</v>
      </c>
      <c r="Q64" s="2486">
        <f t="shared" si="42"/>
        <v>8.9126559714794995E-3</v>
      </c>
      <c r="R64" s="2427"/>
      <c r="S64" s="2426"/>
      <c r="T64" s="2411"/>
      <c r="U64" s="2411"/>
      <c r="V64" s="2411"/>
      <c r="X64" s="2487"/>
      <c r="Y64" s="2487"/>
      <c r="Z64" s="2487"/>
    </row>
    <row r="65" spans="1:26">
      <c r="A65" s="2423" t="s">
        <v>1161</v>
      </c>
      <c r="B65" s="2424">
        <f t="shared" si="43"/>
        <v>144.04145728643215</v>
      </c>
      <c r="C65" s="2424">
        <f t="shared" si="43"/>
        <v>136.12396694214877</v>
      </c>
      <c r="D65" s="2424">
        <f t="shared" si="19"/>
        <v>136.12396694214877</v>
      </c>
      <c r="E65" s="2424">
        <f t="shared" si="44"/>
        <v>158.32225913621264</v>
      </c>
      <c r="F65" s="2424">
        <f t="shared" si="44"/>
        <v>114.04278074866311</v>
      </c>
      <c r="G65" s="3458">
        <v>2006</v>
      </c>
      <c r="H65" s="2425">
        <v>1</v>
      </c>
      <c r="I65" s="2425">
        <v>2.29</v>
      </c>
      <c r="J65" s="2425">
        <v>3.72</v>
      </c>
      <c r="K65" s="2425">
        <v>0.75</v>
      </c>
      <c r="L65" s="2431">
        <v>0.04</v>
      </c>
      <c r="N65" s="2488">
        <f t="shared" si="41"/>
        <v>4.3778675988638847E-2</v>
      </c>
      <c r="O65" s="2489">
        <f t="shared" si="41"/>
        <v>3.9114251466784385E-2</v>
      </c>
      <c r="P65" s="2489">
        <f t="shared" si="42"/>
        <v>2.1433929911049188E-2</v>
      </c>
      <c r="Q65" s="2489">
        <f t="shared" si="42"/>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9"/>
        <v>131</v>
      </c>
      <c r="E66" s="2452">
        <v>155</v>
      </c>
      <c r="F66" s="2453">
        <v>114</v>
      </c>
      <c r="G66" s="3456">
        <v>2005</v>
      </c>
      <c r="H66" s="2444">
        <v>4</v>
      </c>
      <c r="I66" s="2444">
        <v>3.29</v>
      </c>
      <c r="J66" s="2444">
        <v>1.44</v>
      </c>
      <c r="K66" s="2444">
        <v>0.66</v>
      </c>
      <c r="L66" s="2445">
        <v>7.78</v>
      </c>
      <c r="N66" s="2485">
        <f t="shared" ref="N66:O69" si="45">I66/SUM(I$66:I$69)*(B$66/B$70-1)</f>
        <v>9.9404603216919935E-2</v>
      </c>
      <c r="O66" s="2486">
        <f t="shared" si="45"/>
        <v>4.7636550760861554E-2</v>
      </c>
      <c r="P66" s="2486">
        <f t="shared" ref="P66:Q69" si="46">K66/SUM(K$66:K$69)*(E$66/E$70-1)</f>
        <v>8.3756345177664976E-2</v>
      </c>
      <c r="Q66" s="2486">
        <f t="shared" si="46"/>
        <v>5.2148766661559584E-2</v>
      </c>
      <c r="R66" s="2427"/>
      <c r="S66" s="2440"/>
      <c r="T66" s="2441"/>
      <c r="U66" s="2441"/>
      <c r="V66" s="2441"/>
      <c r="X66" s="2487"/>
      <c r="Y66" s="2487"/>
      <c r="Z66" s="2487"/>
    </row>
    <row r="67" spans="1:26">
      <c r="A67" s="2423" t="s">
        <v>1163</v>
      </c>
      <c r="B67" s="2424">
        <f t="shared" ref="B67:C69" si="47">B68+(B$66-B$70)*I67/SUM(I$66:I$69)</f>
        <v>125.9720430107527</v>
      </c>
      <c r="C67" s="2424">
        <f t="shared" si="47"/>
        <v>125.1883408071749</v>
      </c>
      <c r="D67" s="2424">
        <f t="shared" si="19"/>
        <v>125.1883408071749</v>
      </c>
      <c r="E67" s="2424">
        <f t="shared" ref="E67:F69" si="48">E68+(E$66-E$70)*K67/SUM(K$66:K$69)</f>
        <v>144.61421319796952</v>
      </c>
      <c r="F67" s="2424">
        <f t="shared" si="48"/>
        <v>108.42008196721311</v>
      </c>
      <c r="G67" s="3457">
        <v>2005</v>
      </c>
      <c r="H67" s="2449">
        <v>3</v>
      </c>
      <c r="I67" s="2449">
        <v>0.46</v>
      </c>
      <c r="J67" s="2449">
        <v>0.32</v>
      </c>
      <c r="K67" s="2449">
        <v>0.42</v>
      </c>
      <c r="L67" s="2450">
        <v>0.64</v>
      </c>
      <c r="N67" s="2485">
        <f t="shared" si="45"/>
        <v>1.3898515951301874E-2</v>
      </c>
      <c r="O67" s="2486">
        <f t="shared" si="45"/>
        <v>1.0585900169080346E-2</v>
      </c>
      <c r="P67" s="2486">
        <f t="shared" si="46"/>
        <v>5.3299492385786795E-2</v>
      </c>
      <c r="Q67" s="2486">
        <f t="shared" si="46"/>
        <v>4.2898728359123568E-3</v>
      </c>
      <c r="R67" s="2427"/>
      <c r="S67" s="2426"/>
      <c r="T67" s="2411"/>
      <c r="U67" s="2411"/>
      <c r="V67" s="2411"/>
      <c r="X67" s="2487"/>
      <c r="Y67" s="2487"/>
      <c r="Z67" s="2487"/>
    </row>
    <row r="68" spans="1:26">
      <c r="A68" s="2423" t="s">
        <v>1164</v>
      </c>
      <c r="B68" s="2424">
        <f t="shared" si="47"/>
        <v>124.29032258064517</v>
      </c>
      <c r="C68" s="2424">
        <f t="shared" si="47"/>
        <v>123.8968609865471</v>
      </c>
      <c r="D68" s="2424">
        <f t="shared" si="19"/>
        <v>123.8968609865471</v>
      </c>
      <c r="E68" s="2424">
        <f t="shared" si="48"/>
        <v>138.00507614213197</v>
      </c>
      <c r="F68" s="2424">
        <f t="shared" si="48"/>
        <v>107.96106557377048</v>
      </c>
      <c r="G68" s="3457">
        <v>2005</v>
      </c>
      <c r="H68" s="2436">
        <v>2</v>
      </c>
      <c r="I68" s="2436">
        <v>0.47</v>
      </c>
      <c r="J68" s="2436">
        <v>0.1</v>
      </c>
      <c r="K68" s="2436">
        <v>0.52</v>
      </c>
      <c r="L68" s="2437">
        <v>0.79</v>
      </c>
      <c r="N68" s="2485">
        <f t="shared" si="45"/>
        <v>1.420065760241713E-2</v>
      </c>
      <c r="O68" s="2486">
        <f t="shared" si="45"/>
        <v>3.3080938028376083E-3</v>
      </c>
      <c r="P68" s="2486">
        <f t="shared" si="46"/>
        <v>6.598984771573603E-2</v>
      </c>
      <c r="Q68" s="2486">
        <f t="shared" si="46"/>
        <v>5.2953117818293153E-3</v>
      </c>
      <c r="R68" s="2427"/>
      <c r="S68" s="2426"/>
      <c r="T68" s="2411"/>
      <c r="U68" s="2411"/>
      <c r="V68" s="2411"/>
      <c r="X68" s="2487"/>
      <c r="Y68" s="2487"/>
      <c r="Z68" s="2487"/>
    </row>
    <row r="69" spans="1:26">
      <c r="A69" s="2423" t="s">
        <v>1165</v>
      </c>
      <c r="B69" s="2424">
        <f t="shared" si="47"/>
        <v>122.57204301075269</v>
      </c>
      <c r="C69" s="2424">
        <f t="shared" si="47"/>
        <v>123.4932735426009</v>
      </c>
      <c r="D69" s="2424">
        <f t="shared" si="19"/>
        <v>123.4932735426009</v>
      </c>
      <c r="E69" s="2424">
        <f t="shared" si="48"/>
        <v>129.82233502538071</v>
      </c>
      <c r="F69" s="2424">
        <f t="shared" si="48"/>
        <v>107.39446721311475</v>
      </c>
      <c r="G69" s="3458">
        <v>2005</v>
      </c>
      <c r="H69" s="2425">
        <v>1</v>
      </c>
      <c r="I69" s="2425">
        <v>0.43</v>
      </c>
      <c r="J69" s="2425">
        <v>0.37</v>
      </c>
      <c r="K69" s="2425">
        <v>0.37</v>
      </c>
      <c r="L69" s="2431">
        <v>0.55000000000000004</v>
      </c>
      <c r="N69" s="2488">
        <f t="shared" si="45"/>
        <v>1.2992090997956099E-2</v>
      </c>
      <c r="O69" s="2489">
        <f t="shared" si="45"/>
        <v>1.2239947070499151E-2</v>
      </c>
      <c r="P69" s="2489">
        <f t="shared" si="46"/>
        <v>4.6954314720812178E-2</v>
      </c>
      <c r="Q69" s="2489">
        <f t="shared" si="46"/>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9"/>
        <v>122</v>
      </c>
      <c r="E70" s="2473">
        <v>124</v>
      </c>
      <c r="F70" s="2474">
        <v>107</v>
      </c>
      <c r="G70" s="3456">
        <v>2004</v>
      </c>
      <c r="H70" s="2444">
        <v>4</v>
      </c>
      <c r="I70" s="2444">
        <v>0.33</v>
      </c>
      <c r="J70" s="2444">
        <v>0.5</v>
      </c>
      <c r="K70" s="2444">
        <v>0.5</v>
      </c>
      <c r="L70" s="2445">
        <v>0</v>
      </c>
      <c r="N70" s="2485">
        <f t="shared" ref="N70:O73" si="49">I70/SUM(I$70:I$73)*(B$70/B$74-1)</f>
        <v>1.3391770148526898E-2</v>
      </c>
      <c r="O70" s="2486">
        <f t="shared" si="49"/>
        <v>1.063264221158958E-2</v>
      </c>
      <c r="P70" s="2486">
        <f t="shared" ref="P70:Q73" si="50">K70/SUM(K$70:K$73)*(E$70/E$74-1)</f>
        <v>2.2244466688911134E-2</v>
      </c>
      <c r="Q70" s="2486">
        <f t="shared" si="50"/>
        <v>0</v>
      </c>
      <c r="R70" s="2427"/>
      <c r="S70" s="2440"/>
      <c r="T70" s="2441"/>
      <c r="U70" s="2441"/>
      <c r="V70" s="2441"/>
      <c r="X70" s="2487"/>
      <c r="Y70" s="2487"/>
      <c r="Z70" s="2487"/>
    </row>
    <row r="71" spans="1:26">
      <c r="A71" s="2423" t="s">
        <v>1167</v>
      </c>
      <c r="B71" s="2424">
        <f t="shared" ref="B71:C73" si="51">B72+(B$70-B$74)*I71/SUM(I$70:I$73)</f>
        <v>119.51351351351352</v>
      </c>
      <c r="C71" s="2424">
        <f t="shared" si="51"/>
        <v>120.7878787878788</v>
      </c>
      <c r="D71" s="2424">
        <f t="shared" si="19"/>
        <v>120.7878787878788</v>
      </c>
      <c r="E71" s="2424">
        <f t="shared" ref="E71:F73" si="52">E72+(E$70-E$74)*K71/SUM(K$70:K$73)</f>
        <v>121.5975975975976</v>
      </c>
      <c r="F71" s="2424">
        <f t="shared" si="52"/>
        <v>107</v>
      </c>
      <c r="G71" s="3457">
        <v>2004</v>
      </c>
      <c r="H71" s="2449">
        <v>3</v>
      </c>
      <c r="I71" s="2449">
        <v>0.56000000000000005</v>
      </c>
      <c r="J71" s="2449">
        <v>0.8</v>
      </c>
      <c r="K71" s="2449">
        <v>0.83</v>
      </c>
      <c r="L71" s="2450">
        <v>0.06</v>
      </c>
      <c r="N71" s="2485">
        <f t="shared" si="49"/>
        <v>2.2725428130833527E-2</v>
      </c>
      <c r="O71" s="2486">
        <f t="shared" si="49"/>
        <v>1.7012227538543329E-2</v>
      </c>
      <c r="P71" s="2486">
        <f t="shared" si="50"/>
        <v>3.6925814703592477E-2</v>
      </c>
      <c r="Q71" s="2486">
        <f t="shared" si="50"/>
        <v>2.8846153846153744E-2</v>
      </c>
      <c r="R71" s="2427"/>
      <c r="S71" s="2426"/>
      <c r="T71" s="2411"/>
      <c r="U71" s="2411"/>
      <c r="V71" s="2411"/>
      <c r="X71" s="2487"/>
      <c r="Y71" s="2487"/>
      <c r="Z71" s="2487"/>
    </row>
    <row r="72" spans="1:26">
      <c r="A72" s="2423" t="s">
        <v>1168</v>
      </c>
      <c r="B72" s="2424">
        <f t="shared" si="51"/>
        <v>116.99099099099099</v>
      </c>
      <c r="C72" s="2424">
        <f t="shared" si="51"/>
        <v>118.84848484848486</v>
      </c>
      <c r="D72" s="2424">
        <f t="shared" si="19"/>
        <v>118.84848484848486</v>
      </c>
      <c r="E72" s="2424">
        <f t="shared" si="52"/>
        <v>117.60960960960961</v>
      </c>
      <c r="F72" s="2424">
        <f t="shared" si="52"/>
        <v>104</v>
      </c>
      <c r="G72" s="3457">
        <v>2004</v>
      </c>
      <c r="H72" s="2436">
        <v>2</v>
      </c>
      <c r="I72" s="2436">
        <v>1</v>
      </c>
      <c r="J72" s="2436">
        <v>1.5</v>
      </c>
      <c r="K72" s="2436">
        <v>1.5</v>
      </c>
      <c r="L72" s="2437">
        <v>0</v>
      </c>
      <c r="N72" s="2485">
        <f t="shared" si="49"/>
        <v>4.0581121662202721E-2</v>
      </c>
      <c r="O72" s="2486">
        <f t="shared" si="49"/>
        <v>3.1897926634768738E-2</v>
      </c>
      <c r="P72" s="2486">
        <f t="shared" si="50"/>
        <v>6.6733400066733395E-2</v>
      </c>
      <c r="Q72" s="2486">
        <f t="shared" si="50"/>
        <v>0</v>
      </c>
      <c r="R72" s="2427"/>
      <c r="S72" s="2426"/>
      <c r="T72" s="2411"/>
      <c r="U72" s="2411"/>
      <c r="V72" s="2411"/>
      <c r="X72" s="2487"/>
      <c r="Y72" s="2487"/>
      <c r="Z72" s="2487"/>
    </row>
    <row r="73" spans="1:26" s="2479" customFormat="1" ht="13.5" thickBot="1">
      <c r="A73" s="2423" t="s">
        <v>1169</v>
      </c>
      <c r="B73" s="2476">
        <f t="shared" si="51"/>
        <v>112.48648648648648</v>
      </c>
      <c r="C73" s="2476">
        <f t="shared" si="51"/>
        <v>115.21212121212122</v>
      </c>
      <c r="D73" s="2476">
        <f t="shared" si="19"/>
        <v>115.21212121212122</v>
      </c>
      <c r="E73" s="2476">
        <f t="shared" si="52"/>
        <v>110.4024024024024</v>
      </c>
      <c r="F73" s="2476">
        <f t="shared" si="52"/>
        <v>104</v>
      </c>
      <c r="G73" s="3458">
        <v>2004</v>
      </c>
      <c r="H73" s="2477">
        <v>1</v>
      </c>
      <c r="I73" s="2477">
        <v>0.33</v>
      </c>
      <c r="J73" s="2477">
        <v>0.5</v>
      </c>
      <c r="K73" s="2477">
        <v>0.5</v>
      </c>
      <c r="L73" s="2478">
        <v>0</v>
      </c>
      <c r="N73" s="2490">
        <f t="shared" si="49"/>
        <v>1.3391770148526898E-2</v>
      </c>
      <c r="O73" s="2491">
        <f t="shared" si="49"/>
        <v>1.063264221158958E-2</v>
      </c>
      <c r="P73" s="2491">
        <f t="shared" si="50"/>
        <v>2.2244466688911134E-2</v>
      </c>
      <c r="Q73" s="2491">
        <f t="shared" si="50"/>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9"/>
        <v>114</v>
      </c>
      <c r="E74" s="2493">
        <v>108</v>
      </c>
      <c r="F74" s="2494">
        <v>104</v>
      </c>
      <c r="G74" s="3456">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53">B76+(B$74-B$78)/4</f>
        <v>109.75</v>
      </c>
      <c r="C75" s="2497">
        <f t="shared" si="53"/>
        <v>112.25</v>
      </c>
      <c r="D75" s="2497">
        <f t="shared" si="19"/>
        <v>112.25</v>
      </c>
      <c r="E75" s="2497">
        <f t="shared" ref="E75:F77" si="54">E76+(E$74-E$78)/4</f>
        <v>107.25</v>
      </c>
      <c r="F75" s="2497">
        <f t="shared" si="54"/>
        <v>103.5</v>
      </c>
      <c r="G75" s="3457">
        <v>2003</v>
      </c>
      <c r="H75" s="2449">
        <v>3</v>
      </c>
      <c r="I75" s="2495"/>
      <c r="J75" s="2495"/>
      <c r="K75" s="2495"/>
      <c r="L75" s="2495"/>
      <c r="X75" s="2487"/>
      <c r="Y75" s="2487"/>
      <c r="Z75" s="2487"/>
    </row>
    <row r="76" spans="1:26">
      <c r="A76" s="2423" t="s">
        <v>1172</v>
      </c>
      <c r="B76" s="2497">
        <f t="shared" si="53"/>
        <v>108.5</v>
      </c>
      <c r="C76" s="2497">
        <f t="shared" si="53"/>
        <v>110.5</v>
      </c>
      <c r="D76" s="2497">
        <f t="shared" si="19"/>
        <v>110.5</v>
      </c>
      <c r="E76" s="2497">
        <f t="shared" si="54"/>
        <v>106.5</v>
      </c>
      <c r="F76" s="2497">
        <f t="shared" si="54"/>
        <v>103</v>
      </c>
      <c r="G76" s="3457">
        <v>2003</v>
      </c>
      <c r="H76" s="2436">
        <v>2</v>
      </c>
      <c r="I76" s="2495"/>
      <c r="J76" s="2495"/>
      <c r="K76" s="2495"/>
      <c r="L76" s="2495"/>
      <c r="X76" s="2487"/>
      <c r="Y76" s="2487"/>
      <c r="Z76" s="2487"/>
    </row>
    <row r="77" spans="1:26" ht="13.5" thickBot="1">
      <c r="A77" s="2423" t="s">
        <v>1173</v>
      </c>
      <c r="B77" s="2497">
        <f t="shared" si="53"/>
        <v>107.25</v>
      </c>
      <c r="C77" s="2497">
        <f t="shared" si="53"/>
        <v>108.75</v>
      </c>
      <c r="D77" s="2497">
        <f t="shared" si="19"/>
        <v>108.75</v>
      </c>
      <c r="E77" s="2497">
        <f t="shared" si="54"/>
        <v>105.75</v>
      </c>
      <c r="F77" s="2497">
        <f t="shared" si="54"/>
        <v>102.5</v>
      </c>
      <c r="G77" s="3458">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9"/>
        <v>107</v>
      </c>
      <c r="E78" s="2499">
        <v>105</v>
      </c>
      <c r="F78" s="2500">
        <v>102</v>
      </c>
      <c r="G78" s="3456">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55">B80+(B$78-B$82)/4</f>
        <v>105</v>
      </c>
      <c r="C79" s="2497">
        <f t="shared" si="55"/>
        <v>106</v>
      </c>
      <c r="D79" s="2497">
        <f t="shared" si="19"/>
        <v>106</v>
      </c>
      <c r="E79" s="2497">
        <f t="shared" ref="E79:F81" si="56">E80+(E$78-E$82)/4</f>
        <v>104.5</v>
      </c>
      <c r="F79" s="2497">
        <f t="shared" si="56"/>
        <v>101.5</v>
      </c>
      <c r="G79" s="3457">
        <v>2002</v>
      </c>
      <c r="H79" s="2449">
        <v>3</v>
      </c>
      <c r="I79" s="2495"/>
      <c r="J79" s="2495"/>
      <c r="K79" s="2495"/>
      <c r="L79" s="2495"/>
      <c r="X79" s="2487"/>
      <c r="Y79" s="2487"/>
      <c r="Z79" s="2487"/>
    </row>
    <row r="80" spans="1:26">
      <c r="A80" s="2423" t="s">
        <v>1176</v>
      </c>
      <c r="B80" s="2497">
        <f t="shared" si="55"/>
        <v>104</v>
      </c>
      <c r="C80" s="2497">
        <f t="shared" si="55"/>
        <v>105</v>
      </c>
      <c r="D80" s="2497">
        <f t="shared" si="19"/>
        <v>105</v>
      </c>
      <c r="E80" s="2497">
        <f t="shared" si="56"/>
        <v>104</v>
      </c>
      <c r="F80" s="2497">
        <f t="shared" si="56"/>
        <v>101</v>
      </c>
      <c r="G80" s="3457">
        <v>2002</v>
      </c>
      <c r="H80" s="2436">
        <v>2</v>
      </c>
      <c r="I80" s="2495"/>
      <c r="J80" s="2495"/>
      <c r="K80" s="2495"/>
      <c r="L80" s="2495"/>
      <c r="X80" s="2487"/>
      <c r="Y80" s="2487"/>
      <c r="Z80" s="2487"/>
    </row>
    <row r="81" spans="1:26" s="2460" customFormat="1" ht="13.5" thickBot="1">
      <c r="A81" s="2456" t="s">
        <v>1177</v>
      </c>
      <c r="B81" s="2463">
        <f t="shared" si="55"/>
        <v>103</v>
      </c>
      <c r="C81" s="2463">
        <f t="shared" si="55"/>
        <v>104</v>
      </c>
      <c r="D81" s="2463">
        <f t="shared" si="19"/>
        <v>104</v>
      </c>
      <c r="E81" s="2463">
        <f t="shared" si="56"/>
        <v>103.5</v>
      </c>
      <c r="F81" s="2463">
        <f t="shared" si="56"/>
        <v>100.5</v>
      </c>
      <c r="G81" s="3458">
        <v>2002</v>
      </c>
      <c r="H81" s="2501">
        <v>1</v>
      </c>
      <c r="I81" s="2502"/>
      <c r="J81" s="2502"/>
      <c r="K81" s="2502"/>
      <c r="L81" s="2502"/>
      <c r="N81" s="2503"/>
      <c r="S81" s="2503"/>
      <c r="X81" s="2504"/>
      <c r="Y81" s="2504"/>
      <c r="Z81" s="2504"/>
    </row>
    <row r="82" spans="1:26" ht="13.5" thickBot="1">
      <c r="B82" s="2505">
        <v>102</v>
      </c>
      <c r="C82" s="2506">
        <v>103</v>
      </c>
      <c r="D82" s="2506">
        <f t="shared" si="19"/>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80"/>
      <c r="B4" s="3128" t="s">
        <v>1595</v>
      </c>
      <c r="C4" s="3128"/>
      <c r="D4" s="3128"/>
      <c r="E4" s="1680"/>
    </row>
    <row r="5" spans="1:5" ht="16.5" thickTop="1">
      <c r="A5" s="1678"/>
      <c r="B5" s="3126" t="s">
        <v>1587</v>
      </c>
      <c r="C5" s="1681" t="s">
        <v>1588</v>
      </c>
      <c r="D5" s="959">
        <f ca="1">结果表!H101</f>
        <v>63410</v>
      </c>
      <c r="E5" s="1678"/>
    </row>
    <row r="6" spans="1:5" ht="15.75">
      <c r="A6" s="1678"/>
      <c r="B6" s="3126"/>
      <c r="C6" s="1681" t="s">
        <v>1589</v>
      </c>
      <c r="D6" s="959" t="str">
        <f ca="1">NUMBERSTRING(INT(D5*10000),2)&amp;"元整"</f>
        <v>陆亿叁仟肆佰壹拾万元整</v>
      </c>
      <c r="E6" s="1678"/>
    </row>
    <row r="7" spans="1:5" ht="15.75">
      <c r="A7" s="1678"/>
      <c r="B7" s="3131"/>
      <c r="C7" s="1682" t="s">
        <v>1590</v>
      </c>
      <c r="D7" s="960">
        <f ca="1">结果表!H102</f>
        <v>30991</v>
      </c>
      <c r="E7" s="1678"/>
    </row>
    <row r="8" spans="1:5" ht="15.75">
      <c r="A8" s="1678"/>
      <c r="B8" s="3132" t="str">
        <f>结果表!E103</f>
        <v>2.估价师知悉的法定优先受偿款</v>
      </c>
      <c r="C8" s="1683" t="s">
        <v>1591</v>
      </c>
      <c r="D8" s="960">
        <f>结果表!H103</f>
        <v>0</v>
      </c>
      <c r="E8" s="1678"/>
    </row>
    <row r="9" spans="1:5" ht="15.75">
      <c r="A9" s="1678"/>
      <c r="B9" s="3134"/>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25" t="str">
        <f>结果表!E107</f>
        <v>3.房地产抵押价值</v>
      </c>
      <c r="C13" s="1686" t="s">
        <v>1588</v>
      </c>
      <c r="D13" s="962">
        <f ca="1">结果表!H107</f>
        <v>63410</v>
      </c>
      <c r="E13" s="1678"/>
    </row>
    <row r="14" spans="1:5" ht="15.75">
      <c r="A14" s="1678"/>
      <c r="B14" s="3126"/>
      <c r="C14" s="1681" t="s">
        <v>1589</v>
      </c>
      <c r="D14" s="959" t="str">
        <f ca="1">NUMBERSTRING(INT(D13*10000),2)&amp;"元整"</f>
        <v>陆亿叁仟肆佰壹拾万元整</v>
      </c>
      <c r="E14" s="1678"/>
    </row>
    <row r="15" spans="1:5" ht="15">
      <c r="A15" s="1678"/>
      <c r="B15" s="3131"/>
      <c r="C15" s="1682" t="s">
        <v>1599</v>
      </c>
      <c r="D15" s="968">
        <f ca="1">结果表!H108</f>
        <v>30991</v>
      </c>
      <c r="E15" s="1678"/>
    </row>
    <row r="16" spans="1:5" ht="15">
      <c r="A16" s="1678"/>
      <c r="B16" s="3132" t="str">
        <f>结果表!E109</f>
        <v>——</v>
      </c>
      <c r="C16" s="1686" t="s">
        <v>1600</v>
      </c>
      <c r="D16" s="1687" t="str">
        <f>结果表!H109</f>
        <v>——</v>
      </c>
      <c r="E16" s="1678"/>
    </row>
    <row r="17" spans="1:5" ht="15.75">
      <c r="A17" s="1678"/>
      <c r="B17" s="3133"/>
      <c r="C17" s="1681" t="s">
        <v>1601</v>
      </c>
      <c r="D17" s="959" t="e">
        <f>NUMBERSTRING(INT(D16*10000),2)&amp;"元整"</f>
        <v>#VALUE!</v>
      </c>
      <c r="E17" s="1678"/>
    </row>
    <row r="18" spans="1:5" ht="15">
      <c r="A18" s="1678"/>
      <c r="B18" s="3134"/>
      <c r="C18" s="1682" t="s">
        <v>1590</v>
      </c>
      <c r="D18" s="968" t="str">
        <f>结果表!H110</f>
        <v>——</v>
      </c>
      <c r="E18" s="1678"/>
    </row>
    <row r="19" spans="1:5" ht="15.75">
      <c r="A19" s="1678"/>
      <c r="B19" s="3125" t="str">
        <f>结果表!E111</f>
        <v>4.抵押净值</v>
      </c>
      <c r="C19" s="1686" t="s">
        <v>1588</v>
      </c>
      <c r="D19" s="960">
        <f ca="1">结果表!H111</f>
        <v>54302</v>
      </c>
      <c r="E19" s="1678"/>
    </row>
    <row r="20" spans="1:5" ht="15.75">
      <c r="A20" s="1678"/>
      <c r="B20" s="3126"/>
      <c r="C20" s="1681" t="s">
        <v>1601</v>
      </c>
      <c r="D20" s="959" t="str">
        <f ca="1">NUMBERSTRING(INT(D19*10000),2)&amp;"元整"</f>
        <v>伍亿肆仟叁佰零贰万元整</v>
      </c>
      <c r="E20" s="1678"/>
    </row>
    <row r="21" spans="1:5" ht="15.75" thickBot="1">
      <c r="A21" s="1678"/>
      <c r="B21" s="3127"/>
      <c r="C21" s="1688" t="s">
        <v>1599</v>
      </c>
      <c r="D21" s="969">
        <f ca="1">结果表!H112</f>
        <v>26540</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 activePane="bottomLeft" state="frozen"/>
      <selection activeCell="U518" sqref="U518"/>
      <selection pane="bottomLeft" activeCell="R24" sqref="R24"/>
    </sheetView>
  </sheetViews>
  <sheetFormatPr defaultColWidth="9" defaultRowHeight="12.75"/>
  <cols>
    <col min="1" max="1" width="11.5" style="135"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68" t="s">
        <v>2823</v>
      </c>
      <c r="D1" s="3469"/>
      <c r="E1" s="3469"/>
      <c r="F1" s="3469"/>
      <c r="G1" s="3469"/>
      <c r="H1" s="3469"/>
      <c r="I1" s="3469"/>
      <c r="J1" s="3469"/>
      <c r="K1" s="3469"/>
      <c r="L1" s="3469"/>
      <c r="M1" s="3469"/>
      <c r="N1" s="3469"/>
      <c r="O1" s="3469"/>
      <c r="P1" s="3469"/>
      <c r="Q1" s="3469"/>
      <c r="R1" s="3469"/>
      <c r="S1" s="3470"/>
      <c r="T1" s="1114" t="s">
        <v>2824</v>
      </c>
    </row>
    <row r="2" spans="1:45" s="663" customFormat="1" ht="38.25">
      <c r="A2" s="1115"/>
      <c r="B2" s="659" t="s">
        <v>2825</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C3+300</f>
        <v>300</v>
      </c>
      <c r="E3" s="666">
        <f t="shared" ref="E3:H3" si="2">D3+300</f>
        <v>600</v>
      </c>
      <c r="F3" s="666">
        <f t="shared" si="2"/>
        <v>900</v>
      </c>
      <c r="G3" s="666">
        <f t="shared" si="2"/>
        <v>1200</v>
      </c>
      <c r="H3" s="666">
        <f t="shared" si="2"/>
        <v>1500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102</v>
      </c>
      <c r="E4" s="1121">
        <f t="shared" ref="E4:H4" si="3">D4+2</f>
        <v>104</v>
      </c>
      <c r="F4" s="1121">
        <f t="shared" si="3"/>
        <v>106</v>
      </c>
      <c r="G4" s="1121">
        <f t="shared" si="3"/>
        <v>108</v>
      </c>
      <c r="H4" s="1121">
        <f t="shared" si="3"/>
        <v>110</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25"/>
      <c r="B5" s="1508" t="str">
        <f>'比较法-住宅'!B126</f>
        <v>是否温泉入户</v>
      </c>
      <c r="C5" s="3103" t="s">
        <v>3563</v>
      </c>
      <c r="D5" s="3104" t="s">
        <v>3564</v>
      </c>
      <c r="E5" s="1127"/>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4">D6-$T5</f>
        <v>96</v>
      </c>
      <c r="F6" s="1486">
        <f t="shared" si="4"/>
        <v>94</v>
      </c>
      <c r="G6" s="1486">
        <f t="shared" si="4"/>
        <v>92</v>
      </c>
      <c r="H6" s="1486">
        <f t="shared" si="4"/>
        <v>90</v>
      </c>
      <c r="I6" s="1486">
        <f t="shared" si="4"/>
        <v>88</v>
      </c>
      <c r="J6" s="1486">
        <f t="shared" si="4"/>
        <v>86</v>
      </c>
      <c r="K6" s="1486">
        <f t="shared" si="4"/>
        <v>84</v>
      </c>
      <c r="L6" s="1486">
        <f t="shared" si="4"/>
        <v>82</v>
      </c>
      <c r="M6" s="1486">
        <f t="shared" si="4"/>
        <v>80</v>
      </c>
      <c r="N6" s="1486">
        <f t="shared" si="4"/>
        <v>78</v>
      </c>
      <c r="O6" s="1486">
        <f t="shared" si="4"/>
        <v>76</v>
      </c>
      <c r="P6" s="1486">
        <f t="shared" si="4"/>
        <v>74</v>
      </c>
      <c r="Q6" s="1486">
        <f t="shared" si="4"/>
        <v>72</v>
      </c>
      <c r="R6" s="1486">
        <f t="shared" si="4"/>
        <v>70</v>
      </c>
      <c r="S6" s="1486">
        <f t="shared" si="4"/>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105" t="s">
        <v>3573</v>
      </c>
      <c r="C7" s="3103" t="s">
        <v>3563</v>
      </c>
      <c r="D7" s="3104" t="s">
        <v>3564</v>
      </c>
      <c r="E7" s="1029"/>
      <c r="F7" s="1487"/>
      <c r="G7" s="1487"/>
      <c r="H7" s="1487"/>
      <c r="I7" s="1487"/>
      <c r="J7" s="1487"/>
      <c r="K7" s="1487"/>
      <c r="L7" s="1487"/>
      <c r="M7" s="1488"/>
      <c r="N7" s="1489"/>
      <c r="O7" s="1490"/>
      <c r="P7" s="1491"/>
      <c r="Q7" s="1492"/>
      <c r="R7" s="1493"/>
      <c r="S7" s="1494"/>
      <c r="T7" s="669">
        <v>10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90</v>
      </c>
      <c r="E8" s="1033">
        <f t="shared" ref="E8:S8" si="5">D8-$T7</f>
        <v>80</v>
      </c>
      <c r="F8" s="1486">
        <f t="shared" si="5"/>
        <v>70</v>
      </c>
      <c r="G8" s="1486">
        <f t="shared" si="5"/>
        <v>60</v>
      </c>
      <c r="H8" s="1486">
        <f t="shared" si="5"/>
        <v>50</v>
      </c>
      <c r="I8" s="1486">
        <f t="shared" si="5"/>
        <v>40</v>
      </c>
      <c r="J8" s="1486">
        <f t="shared" si="5"/>
        <v>30</v>
      </c>
      <c r="K8" s="1486">
        <f t="shared" si="5"/>
        <v>20</v>
      </c>
      <c r="L8" s="1486">
        <f t="shared" si="5"/>
        <v>10</v>
      </c>
      <c r="M8" s="1486">
        <f t="shared" si="5"/>
        <v>0</v>
      </c>
      <c r="N8" s="1486">
        <f t="shared" si="5"/>
        <v>-10</v>
      </c>
      <c r="O8" s="1486">
        <f t="shared" si="5"/>
        <v>-20</v>
      </c>
      <c r="P8" s="1486">
        <f t="shared" si="5"/>
        <v>-30</v>
      </c>
      <c r="Q8" s="1486">
        <f t="shared" si="5"/>
        <v>-40</v>
      </c>
      <c r="R8" s="1486">
        <f t="shared" si="5"/>
        <v>-50</v>
      </c>
      <c r="S8" s="1486">
        <f t="shared" si="5"/>
        <v>-60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6">D10-$T9</f>
        <v>100</v>
      </c>
      <c r="F10" s="1496">
        <f t="shared" si="6"/>
        <v>100</v>
      </c>
      <c r="G10" s="1496">
        <f t="shared" si="6"/>
        <v>100</v>
      </c>
      <c r="H10" s="1496">
        <f t="shared" si="6"/>
        <v>100</v>
      </c>
      <c r="I10" s="1496">
        <f t="shared" si="6"/>
        <v>100</v>
      </c>
      <c r="J10" s="1496">
        <f t="shared" si="6"/>
        <v>100</v>
      </c>
      <c r="K10" s="1496">
        <f t="shared" si="6"/>
        <v>100</v>
      </c>
      <c r="L10" s="1496">
        <f t="shared" si="6"/>
        <v>100</v>
      </c>
      <c r="M10" s="1496">
        <f t="shared" si="6"/>
        <v>100</v>
      </c>
      <c r="N10" s="1496">
        <f t="shared" si="6"/>
        <v>100</v>
      </c>
      <c r="O10" s="1496">
        <f t="shared" si="6"/>
        <v>100</v>
      </c>
      <c r="P10" s="1496">
        <f t="shared" si="6"/>
        <v>100</v>
      </c>
      <c r="Q10" s="1496">
        <f t="shared" si="6"/>
        <v>100</v>
      </c>
      <c r="R10" s="1496">
        <f t="shared" si="6"/>
        <v>100</v>
      </c>
      <c r="S10" s="1496">
        <f t="shared" si="6"/>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7">D12-$T11</f>
        <v>100</v>
      </c>
      <c r="F12" s="1033">
        <f t="shared" si="7"/>
        <v>100</v>
      </c>
      <c r="G12" s="1033">
        <f t="shared" si="7"/>
        <v>100</v>
      </c>
      <c r="H12" s="1033">
        <f t="shared" si="7"/>
        <v>100</v>
      </c>
      <c r="I12" s="1033">
        <f t="shared" si="7"/>
        <v>100</v>
      </c>
      <c r="J12" s="1033">
        <f t="shared" si="7"/>
        <v>100</v>
      </c>
      <c r="K12" s="1033">
        <f t="shared" si="7"/>
        <v>100</v>
      </c>
      <c r="L12" s="1033">
        <f t="shared" si="7"/>
        <v>100</v>
      </c>
      <c r="M12" s="1033">
        <f t="shared" si="7"/>
        <v>100</v>
      </c>
      <c r="N12" s="1033">
        <f t="shared" si="7"/>
        <v>100</v>
      </c>
      <c r="O12" s="1033">
        <f t="shared" si="7"/>
        <v>100</v>
      </c>
      <c r="P12" s="1033">
        <f t="shared" si="7"/>
        <v>100</v>
      </c>
      <c r="Q12" s="1033">
        <f t="shared" si="7"/>
        <v>100</v>
      </c>
      <c r="R12" s="1033">
        <f>Q12-$T11</f>
        <v>100</v>
      </c>
      <c r="S12" s="1033">
        <f t="shared" si="7"/>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1.5" customHeight="1">
      <c r="A13" s="1125"/>
      <c r="B13" s="3106" t="s">
        <v>3588</v>
      </c>
      <c r="C13" s="1126" t="s">
        <v>3587</v>
      </c>
      <c r="D13" s="1127" t="s">
        <v>3566</v>
      </c>
      <c r="E13" s="1127" t="s">
        <v>3568</v>
      </c>
      <c r="F13" s="1127" t="s">
        <v>3570</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101</v>
      </c>
      <c r="E14" s="1031">
        <v>110</v>
      </c>
      <c r="F14" s="1031">
        <v>115</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5.5" customHeight="1">
      <c r="A15" s="1125"/>
      <c r="B15" s="1508" t="str">
        <f>'比较法-住宅'!B130</f>
        <v>赠送花园</v>
      </c>
      <c r="C15" s="1126" t="str">
        <f>'比较法-住宅'!C130</f>
        <v>150-300</v>
      </c>
      <c r="D15" s="1127" t="s">
        <v>3572</v>
      </c>
      <c r="E15" s="1127">
        <v>2000</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101</v>
      </c>
      <c r="E16" s="1121">
        <v>110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6"/>
      <c r="F19" s="1526"/>
      <c r="G19" s="1526"/>
      <c r="H19" s="1190"/>
      <c r="I19" s="164"/>
      <c r="J19" s="164"/>
      <c r="K19" s="164"/>
      <c r="L19" s="164"/>
      <c r="M19" s="164"/>
      <c r="N19" s="164"/>
      <c r="O19" s="164"/>
      <c r="P19" s="164"/>
      <c r="Q19" s="164"/>
      <c r="R19" s="727"/>
      <c r="S19" s="134"/>
    </row>
    <row r="20" spans="1:45" ht="16.5" thickBot="1">
      <c r="A20" s="671" t="s">
        <v>2831</v>
      </c>
      <c r="B20" s="300" t="e">
        <f ca="1">IF(D20="——",S22,S22-F20)</f>
        <v>#REF!</v>
      </c>
      <c r="C20" s="164"/>
      <c r="D20" s="2367"/>
      <c r="E20" s="1527"/>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14226.250000000004</v>
      </c>
      <c r="C22" s="3465" t="s">
        <v>33</v>
      </c>
      <c r="D22" s="3466"/>
      <c r="E22" s="3466"/>
      <c r="F22" s="3466"/>
      <c r="G22" s="3466"/>
      <c r="H22" s="3466"/>
      <c r="I22" s="3466"/>
      <c r="J22" s="3466"/>
      <c r="K22" s="3466"/>
      <c r="L22" s="3466"/>
      <c r="M22" s="3466"/>
      <c r="N22" s="3466"/>
      <c r="O22" s="3466"/>
      <c r="P22" s="3466"/>
      <c r="Q22" s="3467"/>
      <c r="R22" s="672">
        <f>ROUND(S22*10000/B22,0)</f>
        <v>59254</v>
      </c>
      <c r="S22" s="24">
        <f>SUM(S24:S10000)</f>
        <v>84296</v>
      </c>
    </row>
    <row r="23" spans="1:45" s="12" customFormat="1" ht="25.5">
      <c r="A23" s="11" t="s">
        <v>2835</v>
      </c>
      <c r="B23" s="11" t="s">
        <v>2836</v>
      </c>
      <c r="C23" s="11" t="s">
        <v>2837</v>
      </c>
      <c r="D23" s="11" t="str">
        <f>B5</f>
        <v>是否温泉入户</v>
      </c>
      <c r="E23" s="11" t="s">
        <v>2837</v>
      </c>
      <c r="F23" s="11" t="str">
        <f>B7</f>
        <v>是否看湿地景观</v>
      </c>
      <c r="G23" s="11" t="s">
        <v>2837</v>
      </c>
      <c r="H23" s="11" t="str">
        <f>B9</f>
        <v>修正项4</v>
      </c>
      <c r="I23" s="11" t="s">
        <v>2837</v>
      </c>
      <c r="J23" s="11" t="str">
        <f>B11</f>
        <v>修正项5</v>
      </c>
      <c r="K23" s="11" t="s">
        <v>2837</v>
      </c>
      <c r="L23" s="11" t="str">
        <f>B13</f>
        <v>赠送面积</v>
      </c>
      <c r="M23" s="11" t="s">
        <v>2837</v>
      </c>
      <c r="N23" s="11" t="str">
        <f>B15</f>
        <v>赠送花园</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面积表!B7</f>
        <v>D23栋</v>
      </c>
      <c r="B24" s="674">
        <f>面积表!E7</f>
        <v>419.34</v>
      </c>
      <c r="C24" s="3038">
        <v>1</v>
      </c>
      <c r="D24" s="3039" t="s">
        <v>3156</v>
      </c>
      <c r="E24" s="3038">
        <v>1</v>
      </c>
      <c r="F24" s="3039" t="s">
        <v>3502</v>
      </c>
      <c r="G24" s="3038">
        <v>1</v>
      </c>
      <c r="H24" s="3039"/>
      <c r="I24" s="3038">
        <v>1</v>
      </c>
      <c r="J24" s="3039"/>
      <c r="K24" s="3038">
        <v>1</v>
      </c>
      <c r="L24" s="3039" t="s">
        <v>3556</v>
      </c>
      <c r="M24" s="3038">
        <v>1</v>
      </c>
      <c r="N24" s="3039" t="s">
        <v>3554</v>
      </c>
      <c r="O24" s="3038">
        <v>1</v>
      </c>
      <c r="P24" s="3039"/>
      <c r="Q24" s="3038">
        <v>1</v>
      </c>
      <c r="R24" s="677">
        <f>'比较法-住宅'!C50</f>
        <v>54675</v>
      </c>
      <c r="S24" s="675">
        <f t="shared" ref="S24:S54" si="8">ROUND(R24*B24/10000,0)</f>
        <v>2293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面积表!B8</f>
        <v>A5栋</v>
      </c>
      <c r="B25" s="674">
        <f>面积表!E8</f>
        <v>1198.3</v>
      </c>
      <c r="C25" s="24">
        <f>IF(B25="",1,(LOOKUP(B25,$3:$3,$4:$4)-LOOKUP($B$24,$3:$3,$4:$4)+100)/100)</f>
        <v>1.04</v>
      </c>
      <c r="D25" s="3039" t="s">
        <v>3156</v>
      </c>
      <c r="E25" s="24">
        <f>(SUMIF($5:$5,D25,$6:$6)-SUMIF($5:$5,$D$24,$6:$6)+100)/100</f>
        <v>1</v>
      </c>
      <c r="F25" s="676" t="s">
        <v>3156</v>
      </c>
      <c r="G25" s="24">
        <f>(SUMIF($7:$7,F25,$8:$8)-SUMIF($7:$7,$F$24,$8:$8)+100)/100</f>
        <v>1.1000000000000001</v>
      </c>
      <c r="H25" s="676"/>
      <c r="I25" s="24">
        <f>(SUMIF($9:$9,H25,$10:$10)-SUMIF($9:$9,$H$24,$10:$10)+100)/100</f>
        <v>1</v>
      </c>
      <c r="J25" s="676"/>
      <c r="K25" s="24">
        <f>(SUMIF($11:$11,J25,$12:$12)-SUMIF($11:$11,$J$24,$12:$12)+100)/100</f>
        <v>1</v>
      </c>
      <c r="L25" s="676" t="s">
        <v>3569</v>
      </c>
      <c r="M25" s="24">
        <f>(SUMIF($13:$13,L25,$14:$14)-SUMIF($13:$13,$L$24,$14:$14)+100)/100</f>
        <v>1.1499999999999999</v>
      </c>
      <c r="N25" s="676">
        <v>2000</v>
      </c>
      <c r="O25" s="24">
        <f>(SUMIF($15:$15,N25,$16:$16)-SUMIF($15:$15,$N$24,$16:$16)+100)/100</f>
        <v>1.1000000000000001</v>
      </c>
      <c r="P25" s="676"/>
      <c r="Q25" s="24">
        <f>(SUMIF($17:$17,P25,$18:$18)-SUMIF($17:$17,$P$24,$18:$18)+100)/100</f>
        <v>1</v>
      </c>
      <c r="R25" s="672">
        <f>IF(B25="",0,ROUND($R$24*C25*E25*G25*I25*K25*M25*O25*Q25,0))</f>
        <v>79123</v>
      </c>
      <c r="S25" s="322">
        <f t="shared" si="8"/>
        <v>9481</v>
      </c>
    </row>
    <row r="26" spans="1:45">
      <c r="A26" s="674" t="str">
        <f>面积表!B9</f>
        <v>B11栋</v>
      </c>
      <c r="B26" s="674">
        <f>面积表!E9</f>
        <v>646.59</v>
      </c>
      <c r="C26" s="24">
        <f t="shared" ref="C26:C89" si="9">IF(B26="",1,(LOOKUP(B26,$3:$3,$4:$4)-LOOKUP($B$24,$3:$3,$4:$4)+100)/100)</f>
        <v>1.02</v>
      </c>
      <c r="D26" s="3039" t="s">
        <v>3156</v>
      </c>
      <c r="E26" s="24">
        <f t="shared" ref="E26:E89" si="10">(SUMIF($5:$5,D26,$6:$6)-SUMIF($5:$5,$D$24,$6:$6)+100)/100</f>
        <v>1</v>
      </c>
      <c r="F26" s="3039" t="s">
        <v>3502</v>
      </c>
      <c r="G26" s="24">
        <f t="shared" ref="G26:G89" si="11">(SUMIF($7:$7,F26,$8:$8)-SUMIF($7:$7,$F$24,$8:$8)+100)/100</f>
        <v>1</v>
      </c>
      <c r="H26" s="676"/>
      <c r="I26" s="24">
        <f t="shared" ref="I26:I89" si="12">(SUMIF($9:$9,H26,$10:$10)-SUMIF($9:$9,$H$24,$10:$10)+100)/100</f>
        <v>1</v>
      </c>
      <c r="J26" s="676"/>
      <c r="K26" s="24">
        <f t="shared" ref="K26:K89" si="13">(SUMIF($11:$11,J26,$12:$12)-SUMIF($11:$11,$J$24,$12:$12)+100)/100</f>
        <v>1</v>
      </c>
      <c r="L26" s="676" t="s">
        <v>3567</v>
      </c>
      <c r="M26" s="24">
        <f t="shared" ref="M26:M89" si="14">(SUMIF($13:$13,L26,$14:$14)-SUMIF($13:$13,$L$24,$14:$14)+100)/100</f>
        <v>1.1000000000000001</v>
      </c>
      <c r="N26" s="676" t="s">
        <v>3571</v>
      </c>
      <c r="O26" s="24">
        <f t="shared" ref="O26:O89" si="15">(SUMIF($15:$15,N26,$16:$16)-SUMIF($15:$15,$N$24,$16:$16)+100)/100</f>
        <v>1.01</v>
      </c>
      <c r="P26" s="676"/>
      <c r="Q26" s="24">
        <f t="shared" ref="Q26:Q89" si="16">(SUMIF($17:$17,P26,$18:$18)-SUMIF($17:$17,$P$24,$18:$18)+100)/100</f>
        <v>1</v>
      </c>
      <c r="R26" s="672">
        <f t="shared" ref="R26:R89" si="17">IF(B26="",0,ROUND($R$24*C26*E26*G26*I26*K26*M26*O26*Q26,0))</f>
        <v>61959</v>
      </c>
      <c r="S26" s="322">
        <f t="shared" si="8"/>
        <v>4006</v>
      </c>
    </row>
    <row r="27" spans="1:45">
      <c r="A27" s="674" t="str">
        <f>面积表!B10</f>
        <v>B12栋</v>
      </c>
      <c r="B27" s="674">
        <f>面积表!E10</f>
        <v>653.04</v>
      </c>
      <c r="C27" s="24">
        <f t="shared" si="9"/>
        <v>1.02</v>
      </c>
      <c r="D27" s="3039" t="s">
        <v>3156</v>
      </c>
      <c r="E27" s="24">
        <f t="shared" si="10"/>
        <v>1</v>
      </c>
      <c r="F27" s="3039" t="s">
        <v>3502</v>
      </c>
      <c r="G27" s="24">
        <f t="shared" si="11"/>
        <v>1</v>
      </c>
      <c r="H27" s="676"/>
      <c r="I27" s="24">
        <f t="shared" si="12"/>
        <v>1</v>
      </c>
      <c r="J27" s="676"/>
      <c r="K27" s="24">
        <f t="shared" si="13"/>
        <v>1</v>
      </c>
      <c r="L27" s="676" t="s">
        <v>3567</v>
      </c>
      <c r="M27" s="24">
        <f t="shared" si="14"/>
        <v>1.1000000000000001</v>
      </c>
      <c r="N27" s="676" t="s">
        <v>3571</v>
      </c>
      <c r="O27" s="24">
        <f t="shared" si="15"/>
        <v>1.01</v>
      </c>
      <c r="P27" s="676"/>
      <c r="Q27" s="24">
        <f t="shared" si="16"/>
        <v>1</v>
      </c>
      <c r="R27" s="672">
        <f t="shared" si="17"/>
        <v>61959</v>
      </c>
      <c r="S27" s="322">
        <f t="shared" si="8"/>
        <v>4046</v>
      </c>
    </row>
    <row r="28" spans="1:45">
      <c r="A28" s="674" t="str">
        <f>面积表!B11</f>
        <v>B13栋</v>
      </c>
      <c r="B28" s="674">
        <f>面积表!E11</f>
        <v>646.59</v>
      </c>
      <c r="C28" s="24">
        <f t="shared" si="9"/>
        <v>1.02</v>
      </c>
      <c r="D28" s="3039" t="s">
        <v>3156</v>
      </c>
      <c r="E28" s="24">
        <f t="shared" si="10"/>
        <v>1</v>
      </c>
      <c r="F28" s="3039" t="s">
        <v>3502</v>
      </c>
      <c r="G28" s="24">
        <f t="shared" si="11"/>
        <v>1</v>
      </c>
      <c r="H28" s="676"/>
      <c r="I28" s="24">
        <f t="shared" si="12"/>
        <v>1</v>
      </c>
      <c r="J28" s="676"/>
      <c r="K28" s="24">
        <f t="shared" si="13"/>
        <v>1</v>
      </c>
      <c r="L28" s="676" t="s">
        <v>3567</v>
      </c>
      <c r="M28" s="24">
        <f t="shared" si="14"/>
        <v>1.1000000000000001</v>
      </c>
      <c r="N28" s="676" t="s">
        <v>3571</v>
      </c>
      <c r="O28" s="24">
        <f t="shared" si="15"/>
        <v>1.01</v>
      </c>
      <c r="P28" s="676"/>
      <c r="Q28" s="24">
        <f t="shared" si="16"/>
        <v>1</v>
      </c>
      <c r="R28" s="672">
        <f t="shared" si="17"/>
        <v>61959</v>
      </c>
      <c r="S28" s="322">
        <f t="shared" si="8"/>
        <v>4006</v>
      </c>
    </row>
    <row r="29" spans="1:45">
      <c r="A29" s="674" t="str">
        <f>面积表!B12</f>
        <v>B14栋</v>
      </c>
      <c r="B29" s="674">
        <f>面积表!E12</f>
        <v>653.04</v>
      </c>
      <c r="C29" s="24">
        <f t="shared" si="9"/>
        <v>1.02</v>
      </c>
      <c r="D29" s="3039" t="s">
        <v>3156</v>
      </c>
      <c r="E29" s="24">
        <f t="shared" si="10"/>
        <v>1</v>
      </c>
      <c r="F29" s="3039" t="s">
        <v>3502</v>
      </c>
      <c r="G29" s="24">
        <f t="shared" si="11"/>
        <v>1</v>
      </c>
      <c r="H29" s="676"/>
      <c r="I29" s="24">
        <f t="shared" si="12"/>
        <v>1</v>
      </c>
      <c r="J29" s="676"/>
      <c r="K29" s="24">
        <f t="shared" si="13"/>
        <v>1</v>
      </c>
      <c r="L29" s="676" t="s">
        <v>3567</v>
      </c>
      <c r="M29" s="24">
        <f t="shared" si="14"/>
        <v>1.1000000000000001</v>
      </c>
      <c r="N29" s="676" t="s">
        <v>3571</v>
      </c>
      <c r="O29" s="24">
        <f t="shared" si="15"/>
        <v>1.01</v>
      </c>
      <c r="P29" s="676"/>
      <c r="Q29" s="24">
        <f t="shared" si="16"/>
        <v>1</v>
      </c>
      <c r="R29" s="672">
        <f t="shared" si="17"/>
        <v>61959</v>
      </c>
      <c r="S29" s="322">
        <f t="shared" si="8"/>
        <v>4046</v>
      </c>
    </row>
    <row r="30" spans="1:45">
      <c r="A30" s="674" t="str">
        <f>面积表!B13</f>
        <v>B15栋</v>
      </c>
      <c r="B30" s="674">
        <f>面积表!E13</f>
        <v>653.04</v>
      </c>
      <c r="C30" s="24">
        <f t="shared" si="9"/>
        <v>1.02</v>
      </c>
      <c r="D30" s="3039" t="s">
        <v>3156</v>
      </c>
      <c r="E30" s="24">
        <f t="shared" si="10"/>
        <v>1</v>
      </c>
      <c r="F30" s="3039" t="s">
        <v>3502</v>
      </c>
      <c r="G30" s="24">
        <f t="shared" si="11"/>
        <v>1</v>
      </c>
      <c r="H30" s="676"/>
      <c r="I30" s="24">
        <f t="shared" si="12"/>
        <v>1</v>
      </c>
      <c r="J30" s="676"/>
      <c r="K30" s="24">
        <f t="shared" si="13"/>
        <v>1</v>
      </c>
      <c r="L30" s="676" t="s">
        <v>3567</v>
      </c>
      <c r="M30" s="24">
        <f t="shared" si="14"/>
        <v>1.1000000000000001</v>
      </c>
      <c r="N30" s="676" t="s">
        <v>3571</v>
      </c>
      <c r="O30" s="24">
        <f t="shared" si="15"/>
        <v>1.01</v>
      </c>
      <c r="P30" s="676"/>
      <c r="Q30" s="24">
        <f t="shared" si="16"/>
        <v>1</v>
      </c>
      <c r="R30" s="672">
        <f t="shared" si="17"/>
        <v>61959</v>
      </c>
      <c r="S30" s="322">
        <f t="shared" si="8"/>
        <v>4046</v>
      </c>
    </row>
    <row r="31" spans="1:45">
      <c r="A31" s="674" t="str">
        <f>面积表!B14</f>
        <v>B16栋</v>
      </c>
      <c r="B31" s="674">
        <f>面积表!E14</f>
        <v>646.59</v>
      </c>
      <c r="C31" s="24">
        <f t="shared" si="9"/>
        <v>1.02</v>
      </c>
      <c r="D31" s="3039" t="s">
        <v>3156</v>
      </c>
      <c r="E31" s="24">
        <f t="shared" si="10"/>
        <v>1</v>
      </c>
      <c r="F31" s="3039" t="s">
        <v>3502</v>
      </c>
      <c r="G31" s="24">
        <f t="shared" si="11"/>
        <v>1</v>
      </c>
      <c r="H31" s="676"/>
      <c r="I31" s="24">
        <f t="shared" si="12"/>
        <v>1</v>
      </c>
      <c r="J31" s="676"/>
      <c r="K31" s="24">
        <f t="shared" si="13"/>
        <v>1</v>
      </c>
      <c r="L31" s="676" t="s">
        <v>3567</v>
      </c>
      <c r="M31" s="24">
        <f t="shared" si="14"/>
        <v>1.1000000000000001</v>
      </c>
      <c r="N31" s="676" t="s">
        <v>3571</v>
      </c>
      <c r="O31" s="24">
        <f t="shared" si="15"/>
        <v>1.01</v>
      </c>
      <c r="P31" s="676"/>
      <c r="Q31" s="24">
        <f t="shared" si="16"/>
        <v>1</v>
      </c>
      <c r="R31" s="672">
        <f t="shared" si="17"/>
        <v>61959</v>
      </c>
      <c r="S31" s="322">
        <f t="shared" si="8"/>
        <v>4006</v>
      </c>
    </row>
    <row r="32" spans="1:45">
      <c r="A32" s="674" t="str">
        <f>面积表!B15</f>
        <v>B17栋</v>
      </c>
      <c r="B32" s="674">
        <f>面积表!E15</f>
        <v>858.02</v>
      </c>
      <c r="C32" s="24">
        <f t="shared" si="9"/>
        <v>1.02</v>
      </c>
      <c r="D32" s="3039" t="s">
        <v>3156</v>
      </c>
      <c r="E32" s="24">
        <f t="shared" si="10"/>
        <v>1</v>
      </c>
      <c r="F32" s="3039" t="s">
        <v>3502</v>
      </c>
      <c r="G32" s="24">
        <f t="shared" si="11"/>
        <v>1</v>
      </c>
      <c r="H32" s="676"/>
      <c r="I32" s="24">
        <f t="shared" si="12"/>
        <v>1</v>
      </c>
      <c r="J32" s="676"/>
      <c r="K32" s="24">
        <f t="shared" si="13"/>
        <v>1</v>
      </c>
      <c r="L32" s="676" t="s">
        <v>3567</v>
      </c>
      <c r="M32" s="24">
        <f t="shared" si="14"/>
        <v>1.1000000000000001</v>
      </c>
      <c r="N32" s="676" t="s">
        <v>3571</v>
      </c>
      <c r="O32" s="24">
        <f t="shared" si="15"/>
        <v>1.01</v>
      </c>
      <c r="P32" s="676"/>
      <c r="Q32" s="24">
        <f t="shared" si="16"/>
        <v>1</v>
      </c>
      <c r="R32" s="672">
        <f t="shared" si="17"/>
        <v>61959</v>
      </c>
      <c r="S32" s="322">
        <f t="shared" si="8"/>
        <v>5316</v>
      </c>
    </row>
    <row r="33" spans="1:19">
      <c r="A33" s="674" t="str">
        <f>面积表!B16</f>
        <v>C6栋</v>
      </c>
      <c r="B33" s="674">
        <f>面积表!E16</f>
        <v>548.94000000000005</v>
      </c>
      <c r="C33" s="24">
        <f t="shared" si="9"/>
        <v>1</v>
      </c>
      <c r="D33" s="3039" t="s">
        <v>3156</v>
      </c>
      <c r="E33" s="24">
        <f t="shared" si="10"/>
        <v>1</v>
      </c>
      <c r="F33" s="3039" t="s">
        <v>3502</v>
      </c>
      <c r="G33" s="24">
        <f t="shared" si="11"/>
        <v>1</v>
      </c>
      <c r="H33" s="676"/>
      <c r="I33" s="24">
        <f t="shared" si="12"/>
        <v>1</v>
      </c>
      <c r="J33" s="676"/>
      <c r="K33" s="24">
        <f t="shared" si="13"/>
        <v>1</v>
      </c>
      <c r="L33" s="676" t="s">
        <v>3565</v>
      </c>
      <c r="M33" s="24">
        <f t="shared" si="14"/>
        <v>1.01</v>
      </c>
      <c r="N33" s="676" t="s">
        <v>3571</v>
      </c>
      <c r="O33" s="24">
        <f t="shared" si="15"/>
        <v>1.01</v>
      </c>
      <c r="P33" s="676"/>
      <c r="Q33" s="24">
        <f t="shared" si="16"/>
        <v>1</v>
      </c>
      <c r="R33" s="672">
        <f t="shared" si="17"/>
        <v>55774</v>
      </c>
      <c r="S33" s="322">
        <f t="shared" si="8"/>
        <v>3062</v>
      </c>
    </row>
    <row r="34" spans="1:19">
      <c r="A34" s="674" t="str">
        <f>面积表!B17</f>
        <v>C7栋</v>
      </c>
      <c r="B34" s="674">
        <f>面积表!E17</f>
        <v>548.94000000000005</v>
      </c>
      <c r="C34" s="24">
        <f t="shared" si="9"/>
        <v>1</v>
      </c>
      <c r="D34" s="3039" t="s">
        <v>3156</v>
      </c>
      <c r="E34" s="24">
        <f t="shared" si="10"/>
        <v>1</v>
      </c>
      <c r="F34" s="3039" t="s">
        <v>3502</v>
      </c>
      <c r="G34" s="24">
        <f t="shared" si="11"/>
        <v>1</v>
      </c>
      <c r="H34" s="676"/>
      <c r="I34" s="24">
        <f t="shared" si="12"/>
        <v>1</v>
      </c>
      <c r="J34" s="676"/>
      <c r="K34" s="24">
        <f t="shared" si="13"/>
        <v>1</v>
      </c>
      <c r="L34" s="676" t="s">
        <v>3565</v>
      </c>
      <c r="M34" s="24">
        <f t="shared" si="14"/>
        <v>1.01</v>
      </c>
      <c r="N34" s="676" t="s">
        <v>3571</v>
      </c>
      <c r="O34" s="24">
        <f t="shared" si="15"/>
        <v>1.01</v>
      </c>
      <c r="P34" s="676"/>
      <c r="Q34" s="24">
        <f t="shared" si="16"/>
        <v>1</v>
      </c>
      <c r="R34" s="672">
        <f t="shared" si="17"/>
        <v>55774</v>
      </c>
      <c r="S34" s="322">
        <f t="shared" si="8"/>
        <v>3062</v>
      </c>
    </row>
    <row r="35" spans="1:19">
      <c r="A35" s="674" t="str">
        <f>面积表!B18</f>
        <v>C8栋</v>
      </c>
      <c r="B35" s="674">
        <f>面积表!E18</f>
        <v>425.68</v>
      </c>
      <c r="C35" s="24">
        <f t="shared" si="9"/>
        <v>1</v>
      </c>
      <c r="D35" s="3039" t="s">
        <v>3156</v>
      </c>
      <c r="E35" s="24">
        <f t="shared" si="10"/>
        <v>1</v>
      </c>
      <c r="F35" s="3039" t="s">
        <v>3502</v>
      </c>
      <c r="G35" s="24">
        <f t="shared" si="11"/>
        <v>1</v>
      </c>
      <c r="H35" s="676"/>
      <c r="I35" s="24">
        <f t="shared" si="12"/>
        <v>1</v>
      </c>
      <c r="J35" s="676"/>
      <c r="K35" s="24">
        <f t="shared" si="13"/>
        <v>1</v>
      </c>
      <c r="L35" s="3039" t="s">
        <v>3556</v>
      </c>
      <c r="M35" s="24">
        <f t="shared" si="14"/>
        <v>1</v>
      </c>
      <c r="N35" s="3039" t="s">
        <v>3554</v>
      </c>
      <c r="O35" s="24">
        <f t="shared" si="15"/>
        <v>1</v>
      </c>
      <c r="P35" s="676"/>
      <c r="Q35" s="24">
        <f t="shared" si="16"/>
        <v>1</v>
      </c>
      <c r="R35" s="672">
        <f t="shared" si="17"/>
        <v>54675</v>
      </c>
      <c r="S35" s="322">
        <f t="shared" si="8"/>
        <v>2327</v>
      </c>
    </row>
    <row r="36" spans="1:19">
      <c r="A36" s="674" t="str">
        <f>面积表!B19</f>
        <v>C10栋</v>
      </c>
      <c r="B36" s="674">
        <f>面积表!E19</f>
        <v>419.34</v>
      </c>
      <c r="C36" s="24">
        <f t="shared" si="9"/>
        <v>1</v>
      </c>
      <c r="D36" s="3039" t="s">
        <v>3156</v>
      </c>
      <c r="E36" s="24">
        <f t="shared" si="10"/>
        <v>1</v>
      </c>
      <c r="F36" s="3039" t="s">
        <v>3502</v>
      </c>
      <c r="G36" s="24">
        <f t="shared" si="11"/>
        <v>1</v>
      </c>
      <c r="H36" s="676"/>
      <c r="I36" s="24">
        <f t="shared" si="12"/>
        <v>1</v>
      </c>
      <c r="J36" s="676"/>
      <c r="K36" s="24">
        <f t="shared" si="13"/>
        <v>1</v>
      </c>
      <c r="L36" s="3039" t="s">
        <v>3556</v>
      </c>
      <c r="M36" s="24">
        <f t="shared" si="14"/>
        <v>1</v>
      </c>
      <c r="N36" s="3039" t="s">
        <v>3554</v>
      </c>
      <c r="O36" s="24">
        <f t="shared" si="15"/>
        <v>1</v>
      </c>
      <c r="P36" s="676"/>
      <c r="Q36" s="24">
        <f t="shared" si="16"/>
        <v>1</v>
      </c>
      <c r="R36" s="672">
        <f t="shared" si="17"/>
        <v>54675</v>
      </c>
      <c r="S36" s="322">
        <f t="shared" si="8"/>
        <v>2293</v>
      </c>
    </row>
    <row r="37" spans="1:19">
      <c r="A37" s="674"/>
      <c r="B37" s="674"/>
      <c r="C37" s="24">
        <f t="shared" si="9"/>
        <v>1</v>
      </c>
      <c r="D37" s="3039"/>
      <c r="E37" s="24">
        <f t="shared" si="10"/>
        <v>0</v>
      </c>
      <c r="F37" s="3039"/>
      <c r="G37" s="24">
        <f t="shared" si="11"/>
        <v>0.1</v>
      </c>
      <c r="H37" s="676"/>
      <c r="I37" s="24">
        <f t="shared" si="12"/>
        <v>1</v>
      </c>
      <c r="J37" s="676"/>
      <c r="K37" s="24">
        <f t="shared" si="13"/>
        <v>1</v>
      </c>
      <c r="L37" s="3039"/>
      <c r="M37" s="24">
        <f t="shared" si="14"/>
        <v>0</v>
      </c>
      <c r="N37" s="3039"/>
      <c r="O37" s="24">
        <f t="shared" si="15"/>
        <v>0</v>
      </c>
      <c r="P37" s="676"/>
      <c r="Q37" s="24">
        <f t="shared" si="16"/>
        <v>1</v>
      </c>
      <c r="R37" s="672">
        <f t="shared" si="17"/>
        <v>0</v>
      </c>
      <c r="S37" s="322">
        <f t="shared" si="8"/>
        <v>0</v>
      </c>
    </row>
    <row r="38" spans="1:19">
      <c r="A38" s="674" t="str">
        <f>面积表!B21</f>
        <v>C12栋</v>
      </c>
      <c r="B38" s="674">
        <f>面积表!E21</f>
        <v>425.68</v>
      </c>
      <c r="C38" s="24">
        <f t="shared" si="9"/>
        <v>1</v>
      </c>
      <c r="D38" s="3039" t="s">
        <v>3156</v>
      </c>
      <c r="E38" s="24">
        <f t="shared" si="10"/>
        <v>1</v>
      </c>
      <c r="F38" s="3039" t="s">
        <v>3502</v>
      </c>
      <c r="G38" s="24">
        <f t="shared" si="11"/>
        <v>1</v>
      </c>
      <c r="H38" s="676"/>
      <c r="I38" s="24">
        <f t="shared" si="12"/>
        <v>1</v>
      </c>
      <c r="J38" s="676"/>
      <c r="K38" s="24">
        <f t="shared" si="13"/>
        <v>1</v>
      </c>
      <c r="L38" s="3039" t="s">
        <v>3556</v>
      </c>
      <c r="M38" s="24">
        <f t="shared" si="14"/>
        <v>1</v>
      </c>
      <c r="N38" s="3039" t="s">
        <v>3554</v>
      </c>
      <c r="O38" s="24">
        <f t="shared" si="15"/>
        <v>1</v>
      </c>
      <c r="P38" s="676"/>
      <c r="Q38" s="24">
        <f t="shared" si="16"/>
        <v>1</v>
      </c>
      <c r="R38" s="672">
        <f t="shared" si="17"/>
        <v>54675</v>
      </c>
      <c r="S38" s="322">
        <f t="shared" si="8"/>
        <v>2327</v>
      </c>
    </row>
    <row r="39" spans="1:19">
      <c r="A39" s="674" t="str">
        <f>面积表!B22</f>
        <v>C13栋</v>
      </c>
      <c r="B39" s="674">
        <f>面积表!E22</f>
        <v>419.34</v>
      </c>
      <c r="C39" s="24">
        <f t="shared" si="9"/>
        <v>1</v>
      </c>
      <c r="D39" s="3039" t="s">
        <v>3156</v>
      </c>
      <c r="E39" s="24">
        <f t="shared" si="10"/>
        <v>1</v>
      </c>
      <c r="F39" s="3039" t="s">
        <v>3502</v>
      </c>
      <c r="G39" s="24">
        <f t="shared" si="11"/>
        <v>1</v>
      </c>
      <c r="H39" s="676"/>
      <c r="I39" s="24">
        <f t="shared" si="12"/>
        <v>1</v>
      </c>
      <c r="J39" s="676"/>
      <c r="K39" s="24">
        <f t="shared" si="13"/>
        <v>1</v>
      </c>
      <c r="L39" s="3039" t="s">
        <v>3556</v>
      </c>
      <c r="M39" s="24">
        <f t="shared" si="14"/>
        <v>1</v>
      </c>
      <c r="N39" s="3039" t="s">
        <v>3554</v>
      </c>
      <c r="O39" s="24">
        <f t="shared" si="15"/>
        <v>1</v>
      </c>
      <c r="P39" s="676"/>
      <c r="Q39" s="24">
        <f t="shared" si="16"/>
        <v>1</v>
      </c>
      <c r="R39" s="672">
        <f t="shared" si="17"/>
        <v>54675</v>
      </c>
      <c r="S39" s="322">
        <f t="shared" si="8"/>
        <v>2293</v>
      </c>
    </row>
    <row r="40" spans="1:19">
      <c r="A40" s="674" t="str">
        <f>面积表!B23</f>
        <v>D24栋</v>
      </c>
      <c r="B40" s="674">
        <f>面积表!E23</f>
        <v>419.34</v>
      </c>
      <c r="C40" s="24">
        <f t="shared" si="9"/>
        <v>1</v>
      </c>
      <c r="D40" s="3039" t="s">
        <v>3156</v>
      </c>
      <c r="E40" s="24">
        <f t="shared" si="10"/>
        <v>1</v>
      </c>
      <c r="F40" s="3039" t="s">
        <v>3502</v>
      </c>
      <c r="G40" s="24">
        <f t="shared" si="11"/>
        <v>1</v>
      </c>
      <c r="H40" s="676"/>
      <c r="I40" s="24">
        <f t="shared" si="12"/>
        <v>1</v>
      </c>
      <c r="J40" s="676"/>
      <c r="K40" s="24">
        <f t="shared" si="13"/>
        <v>1</v>
      </c>
      <c r="L40" s="3039" t="s">
        <v>3556</v>
      </c>
      <c r="M40" s="24">
        <f t="shared" si="14"/>
        <v>1</v>
      </c>
      <c r="N40" s="3039" t="s">
        <v>3554</v>
      </c>
      <c r="O40" s="24">
        <f t="shared" si="15"/>
        <v>1</v>
      </c>
      <c r="P40" s="676"/>
      <c r="Q40" s="24">
        <f t="shared" si="16"/>
        <v>1</v>
      </c>
      <c r="R40" s="672">
        <f t="shared" si="17"/>
        <v>54675</v>
      </c>
      <c r="S40" s="322">
        <f t="shared" si="8"/>
        <v>2293</v>
      </c>
    </row>
    <row r="41" spans="1:19">
      <c r="A41" s="674" t="str">
        <f>面积表!B24</f>
        <v>D25栋</v>
      </c>
      <c r="B41" s="674">
        <f>面积表!E24</f>
        <v>419.34</v>
      </c>
      <c r="C41" s="24">
        <f t="shared" si="9"/>
        <v>1</v>
      </c>
      <c r="D41" s="3039" t="s">
        <v>3156</v>
      </c>
      <c r="E41" s="24">
        <f t="shared" si="10"/>
        <v>1</v>
      </c>
      <c r="F41" s="3039" t="s">
        <v>3502</v>
      </c>
      <c r="G41" s="24">
        <f t="shared" si="11"/>
        <v>1</v>
      </c>
      <c r="H41" s="676"/>
      <c r="I41" s="24">
        <f t="shared" si="12"/>
        <v>1</v>
      </c>
      <c r="J41" s="676"/>
      <c r="K41" s="24">
        <f t="shared" si="13"/>
        <v>1</v>
      </c>
      <c r="L41" s="3039" t="s">
        <v>3556</v>
      </c>
      <c r="M41" s="24">
        <f t="shared" si="14"/>
        <v>1</v>
      </c>
      <c r="N41" s="3039" t="s">
        <v>3554</v>
      </c>
      <c r="O41" s="24">
        <f t="shared" si="15"/>
        <v>1</v>
      </c>
      <c r="P41" s="676"/>
      <c r="Q41" s="24">
        <f t="shared" si="16"/>
        <v>1</v>
      </c>
      <c r="R41" s="672">
        <f t="shared" si="17"/>
        <v>54675</v>
      </c>
      <c r="S41" s="322">
        <f t="shared" si="8"/>
        <v>2293</v>
      </c>
    </row>
    <row r="42" spans="1:19">
      <c r="A42" s="674" t="str">
        <f>面积表!B25</f>
        <v>D26栋</v>
      </c>
      <c r="B42" s="674">
        <f>面积表!E25</f>
        <v>425.68</v>
      </c>
      <c r="C42" s="24">
        <f t="shared" si="9"/>
        <v>1</v>
      </c>
      <c r="D42" s="3039" t="s">
        <v>3156</v>
      </c>
      <c r="E42" s="24">
        <f t="shared" si="10"/>
        <v>1</v>
      </c>
      <c r="F42" s="3039" t="s">
        <v>3502</v>
      </c>
      <c r="G42" s="24">
        <f t="shared" si="11"/>
        <v>1</v>
      </c>
      <c r="H42" s="676"/>
      <c r="I42" s="24">
        <f t="shared" si="12"/>
        <v>1</v>
      </c>
      <c r="J42" s="676"/>
      <c r="K42" s="24">
        <f t="shared" si="13"/>
        <v>1</v>
      </c>
      <c r="L42" s="3039" t="s">
        <v>3556</v>
      </c>
      <c r="M42" s="24">
        <f t="shared" si="14"/>
        <v>1</v>
      </c>
      <c r="N42" s="3039" t="s">
        <v>3554</v>
      </c>
      <c r="O42" s="24">
        <f t="shared" si="15"/>
        <v>1</v>
      </c>
      <c r="P42" s="676"/>
      <c r="Q42" s="24">
        <f t="shared" si="16"/>
        <v>1</v>
      </c>
      <c r="R42" s="672">
        <f t="shared" si="17"/>
        <v>54675</v>
      </c>
      <c r="S42" s="322">
        <f t="shared" si="8"/>
        <v>2327</v>
      </c>
    </row>
    <row r="43" spans="1:19">
      <c r="A43" s="674" t="str">
        <f>面积表!B26</f>
        <v>D27栋</v>
      </c>
      <c r="B43" s="674">
        <f>面积表!E26</f>
        <v>419.34</v>
      </c>
      <c r="C43" s="24">
        <f t="shared" si="9"/>
        <v>1</v>
      </c>
      <c r="D43" s="3039" t="s">
        <v>3156</v>
      </c>
      <c r="E43" s="24">
        <f t="shared" si="10"/>
        <v>1</v>
      </c>
      <c r="F43" s="3039" t="s">
        <v>3502</v>
      </c>
      <c r="G43" s="24">
        <f t="shared" si="11"/>
        <v>1</v>
      </c>
      <c r="H43" s="676"/>
      <c r="I43" s="24">
        <f t="shared" si="12"/>
        <v>1</v>
      </c>
      <c r="J43" s="676"/>
      <c r="K43" s="24">
        <f t="shared" si="13"/>
        <v>1</v>
      </c>
      <c r="L43" s="3039" t="s">
        <v>3556</v>
      </c>
      <c r="M43" s="24">
        <f t="shared" si="14"/>
        <v>1</v>
      </c>
      <c r="N43" s="3039" t="s">
        <v>3554</v>
      </c>
      <c r="O43" s="24">
        <f t="shared" si="15"/>
        <v>1</v>
      </c>
      <c r="P43" s="676"/>
      <c r="Q43" s="24">
        <f t="shared" si="16"/>
        <v>1</v>
      </c>
      <c r="R43" s="672">
        <f t="shared" si="17"/>
        <v>54675</v>
      </c>
      <c r="S43" s="322">
        <f t="shared" si="8"/>
        <v>2293</v>
      </c>
    </row>
    <row r="44" spans="1:19">
      <c r="A44" s="674" t="str">
        <f>面积表!B27</f>
        <v>D28栋</v>
      </c>
      <c r="B44" s="674">
        <f>面积表!E27</f>
        <v>425.68</v>
      </c>
      <c r="C44" s="24">
        <f t="shared" si="9"/>
        <v>1</v>
      </c>
      <c r="D44" s="3039" t="s">
        <v>3156</v>
      </c>
      <c r="E44" s="24">
        <f t="shared" si="10"/>
        <v>1</v>
      </c>
      <c r="F44" s="3039" t="s">
        <v>3502</v>
      </c>
      <c r="G44" s="24">
        <f t="shared" si="11"/>
        <v>1</v>
      </c>
      <c r="H44" s="676"/>
      <c r="I44" s="24">
        <f t="shared" si="12"/>
        <v>1</v>
      </c>
      <c r="J44" s="676"/>
      <c r="K44" s="24">
        <f t="shared" si="13"/>
        <v>1</v>
      </c>
      <c r="L44" s="3039" t="s">
        <v>3556</v>
      </c>
      <c r="M44" s="24">
        <f t="shared" si="14"/>
        <v>1</v>
      </c>
      <c r="N44" s="3039" t="s">
        <v>3554</v>
      </c>
      <c r="O44" s="24">
        <f t="shared" si="15"/>
        <v>1</v>
      </c>
      <c r="P44" s="676"/>
      <c r="Q44" s="24">
        <f t="shared" si="16"/>
        <v>1</v>
      </c>
      <c r="R44" s="672">
        <f t="shared" si="17"/>
        <v>54675</v>
      </c>
      <c r="S44" s="322">
        <f t="shared" si="8"/>
        <v>2327</v>
      </c>
    </row>
    <row r="45" spans="1:19">
      <c r="A45" s="674" t="str">
        <f>面积表!B28</f>
        <v>D30栋</v>
      </c>
      <c r="B45" s="674">
        <f>面积表!E28</f>
        <v>419.34</v>
      </c>
      <c r="C45" s="24">
        <f t="shared" si="9"/>
        <v>1</v>
      </c>
      <c r="D45" s="3039" t="s">
        <v>3156</v>
      </c>
      <c r="E45" s="24">
        <f t="shared" si="10"/>
        <v>1</v>
      </c>
      <c r="F45" s="3039" t="s">
        <v>3502</v>
      </c>
      <c r="G45" s="24">
        <f t="shared" si="11"/>
        <v>1</v>
      </c>
      <c r="H45" s="676"/>
      <c r="I45" s="24">
        <f t="shared" si="12"/>
        <v>1</v>
      </c>
      <c r="J45" s="676"/>
      <c r="K45" s="24">
        <f t="shared" si="13"/>
        <v>1</v>
      </c>
      <c r="L45" s="3039" t="s">
        <v>3556</v>
      </c>
      <c r="M45" s="24">
        <f t="shared" si="14"/>
        <v>1</v>
      </c>
      <c r="N45" s="3039" t="s">
        <v>3554</v>
      </c>
      <c r="O45" s="24">
        <f t="shared" si="15"/>
        <v>1</v>
      </c>
      <c r="P45" s="676"/>
      <c r="Q45" s="24">
        <f t="shared" si="16"/>
        <v>1</v>
      </c>
      <c r="R45" s="672">
        <f t="shared" si="17"/>
        <v>54675</v>
      </c>
      <c r="S45" s="322">
        <f t="shared" si="8"/>
        <v>2293</v>
      </c>
    </row>
    <row r="46" spans="1:19">
      <c r="A46" s="674" t="str">
        <f>面积表!B29</f>
        <v>D31栋</v>
      </c>
      <c r="B46" s="674">
        <f>面积表!E29</f>
        <v>419.34</v>
      </c>
      <c r="C46" s="24">
        <f t="shared" si="9"/>
        <v>1</v>
      </c>
      <c r="D46" s="3039" t="s">
        <v>3156</v>
      </c>
      <c r="E46" s="24">
        <f t="shared" si="10"/>
        <v>1</v>
      </c>
      <c r="F46" s="3039" t="s">
        <v>3502</v>
      </c>
      <c r="G46" s="24">
        <f t="shared" si="11"/>
        <v>1</v>
      </c>
      <c r="H46" s="676"/>
      <c r="I46" s="24">
        <f t="shared" si="12"/>
        <v>1</v>
      </c>
      <c r="J46" s="676"/>
      <c r="K46" s="24">
        <f t="shared" si="13"/>
        <v>1</v>
      </c>
      <c r="L46" s="3039" t="s">
        <v>3556</v>
      </c>
      <c r="M46" s="24">
        <f t="shared" si="14"/>
        <v>1</v>
      </c>
      <c r="N46" s="3039" t="s">
        <v>3554</v>
      </c>
      <c r="O46" s="24">
        <f t="shared" si="15"/>
        <v>1</v>
      </c>
      <c r="P46" s="676"/>
      <c r="Q46" s="24">
        <f t="shared" si="16"/>
        <v>1</v>
      </c>
      <c r="R46" s="672">
        <f t="shared" si="17"/>
        <v>54675</v>
      </c>
      <c r="S46" s="322">
        <f t="shared" si="8"/>
        <v>2293</v>
      </c>
    </row>
    <row r="47" spans="1:19">
      <c r="A47" s="674"/>
      <c r="B47" s="674"/>
      <c r="C47" s="24">
        <f t="shared" si="9"/>
        <v>1</v>
      </c>
      <c r="D47" s="3039" t="s">
        <v>3156</v>
      </c>
      <c r="E47" s="24">
        <f t="shared" si="10"/>
        <v>1</v>
      </c>
      <c r="F47" s="3039" t="s">
        <v>3502</v>
      </c>
      <c r="G47" s="24">
        <f t="shared" si="11"/>
        <v>1</v>
      </c>
      <c r="H47" s="676"/>
      <c r="I47" s="24">
        <f t="shared" si="12"/>
        <v>1</v>
      </c>
      <c r="J47" s="676"/>
      <c r="K47" s="24">
        <f t="shared" si="13"/>
        <v>1</v>
      </c>
      <c r="L47" s="3039" t="s">
        <v>3556</v>
      </c>
      <c r="M47" s="24">
        <f t="shared" si="14"/>
        <v>1</v>
      </c>
      <c r="N47" s="3039" t="s">
        <v>3554</v>
      </c>
      <c r="O47" s="24">
        <f t="shared" si="15"/>
        <v>1</v>
      </c>
      <c r="P47" s="676"/>
      <c r="Q47" s="24">
        <f t="shared" si="16"/>
        <v>1</v>
      </c>
      <c r="R47" s="672">
        <f t="shared" si="17"/>
        <v>0</v>
      </c>
      <c r="S47" s="322">
        <f t="shared" si="8"/>
        <v>0</v>
      </c>
    </row>
    <row r="48" spans="1:19">
      <c r="A48" s="674" t="str">
        <f>面积表!B31</f>
        <v>D33栋</v>
      </c>
      <c r="B48" s="674">
        <f>面积表!E31</f>
        <v>425.68</v>
      </c>
      <c r="C48" s="24">
        <f t="shared" si="9"/>
        <v>1</v>
      </c>
      <c r="D48" s="3039" t="s">
        <v>3156</v>
      </c>
      <c r="E48" s="24">
        <f t="shared" si="10"/>
        <v>1</v>
      </c>
      <c r="F48" s="3039" t="s">
        <v>3502</v>
      </c>
      <c r="G48" s="24">
        <f t="shared" si="11"/>
        <v>1</v>
      </c>
      <c r="H48" s="676"/>
      <c r="I48" s="24">
        <f t="shared" si="12"/>
        <v>1</v>
      </c>
      <c r="J48" s="676"/>
      <c r="K48" s="24">
        <f t="shared" si="13"/>
        <v>1</v>
      </c>
      <c r="L48" s="3039" t="s">
        <v>3556</v>
      </c>
      <c r="M48" s="24">
        <f t="shared" si="14"/>
        <v>1</v>
      </c>
      <c r="N48" s="3039" t="s">
        <v>3554</v>
      </c>
      <c r="O48" s="24">
        <f t="shared" si="15"/>
        <v>1</v>
      </c>
      <c r="P48" s="676"/>
      <c r="Q48" s="24">
        <f t="shared" si="16"/>
        <v>1</v>
      </c>
      <c r="R48" s="672">
        <f t="shared" si="17"/>
        <v>54675</v>
      </c>
      <c r="S48" s="322">
        <f t="shared" si="8"/>
        <v>2327</v>
      </c>
    </row>
    <row r="49" spans="1:19">
      <c r="A49" s="674" t="str">
        <f>面积表!B32</f>
        <v>D35栋</v>
      </c>
      <c r="B49" s="674">
        <f>面积表!E32</f>
        <v>419.34</v>
      </c>
      <c r="C49" s="24">
        <f t="shared" si="9"/>
        <v>1</v>
      </c>
      <c r="D49" s="3039" t="s">
        <v>3156</v>
      </c>
      <c r="E49" s="24">
        <f t="shared" si="10"/>
        <v>1</v>
      </c>
      <c r="F49" s="3039" t="s">
        <v>3502</v>
      </c>
      <c r="G49" s="24">
        <f t="shared" si="11"/>
        <v>1</v>
      </c>
      <c r="H49" s="676"/>
      <c r="I49" s="24">
        <f t="shared" si="12"/>
        <v>1</v>
      </c>
      <c r="J49" s="676"/>
      <c r="K49" s="24">
        <f t="shared" si="13"/>
        <v>1</v>
      </c>
      <c r="L49" s="3039" t="s">
        <v>3556</v>
      </c>
      <c r="M49" s="24">
        <f t="shared" si="14"/>
        <v>1</v>
      </c>
      <c r="N49" s="3039" t="s">
        <v>3554</v>
      </c>
      <c r="O49" s="24">
        <f t="shared" si="15"/>
        <v>1</v>
      </c>
      <c r="P49" s="676"/>
      <c r="Q49" s="24">
        <f t="shared" si="16"/>
        <v>1</v>
      </c>
      <c r="R49" s="672">
        <f t="shared" si="17"/>
        <v>54675</v>
      </c>
      <c r="S49" s="322">
        <f t="shared" si="8"/>
        <v>2293</v>
      </c>
    </row>
    <row r="50" spans="1:19">
      <c r="A50" s="674" t="str">
        <f>面积表!B33</f>
        <v>D36栋</v>
      </c>
      <c r="B50" s="674">
        <f>面积表!E33</f>
        <v>419.34</v>
      </c>
      <c r="C50" s="24">
        <f t="shared" si="9"/>
        <v>1</v>
      </c>
      <c r="D50" s="3039" t="s">
        <v>3156</v>
      </c>
      <c r="E50" s="24">
        <f t="shared" si="10"/>
        <v>1</v>
      </c>
      <c r="F50" s="3039" t="s">
        <v>3502</v>
      </c>
      <c r="G50" s="24">
        <f t="shared" si="11"/>
        <v>1</v>
      </c>
      <c r="H50" s="676"/>
      <c r="I50" s="24">
        <f t="shared" si="12"/>
        <v>1</v>
      </c>
      <c r="J50" s="676"/>
      <c r="K50" s="24">
        <f t="shared" si="13"/>
        <v>1</v>
      </c>
      <c r="L50" s="3039" t="s">
        <v>3556</v>
      </c>
      <c r="M50" s="24">
        <f t="shared" si="14"/>
        <v>1</v>
      </c>
      <c r="N50" s="3039" t="s">
        <v>3554</v>
      </c>
      <c r="O50" s="24">
        <f t="shared" si="15"/>
        <v>1</v>
      </c>
      <c r="P50" s="676"/>
      <c r="Q50" s="24">
        <f t="shared" si="16"/>
        <v>1</v>
      </c>
      <c r="R50" s="672">
        <f t="shared" si="17"/>
        <v>54675</v>
      </c>
      <c r="S50" s="322">
        <f t="shared" si="8"/>
        <v>2293</v>
      </c>
    </row>
    <row r="51" spans="1:19">
      <c r="A51" s="674" t="str">
        <f>面积表!B34</f>
        <v>D37栋</v>
      </c>
      <c r="B51" s="674">
        <f>面积表!E34</f>
        <v>425.68</v>
      </c>
      <c r="C51" s="24">
        <f t="shared" si="9"/>
        <v>1</v>
      </c>
      <c r="D51" s="3039" t="s">
        <v>3156</v>
      </c>
      <c r="E51" s="24">
        <f t="shared" si="10"/>
        <v>1</v>
      </c>
      <c r="F51" s="3039" t="s">
        <v>3502</v>
      </c>
      <c r="G51" s="24">
        <f t="shared" si="11"/>
        <v>1</v>
      </c>
      <c r="H51" s="676"/>
      <c r="I51" s="24">
        <f t="shared" si="12"/>
        <v>1</v>
      </c>
      <c r="J51" s="676"/>
      <c r="K51" s="24">
        <f t="shared" si="13"/>
        <v>1</v>
      </c>
      <c r="L51" s="3039" t="s">
        <v>3556</v>
      </c>
      <c r="M51" s="24">
        <f t="shared" si="14"/>
        <v>1</v>
      </c>
      <c r="N51" s="3039" t="s">
        <v>3554</v>
      </c>
      <c r="O51" s="24">
        <f t="shared" si="15"/>
        <v>1</v>
      </c>
      <c r="P51" s="676"/>
      <c r="Q51" s="24">
        <f t="shared" si="16"/>
        <v>1</v>
      </c>
      <c r="R51" s="672">
        <f t="shared" si="17"/>
        <v>54675</v>
      </c>
      <c r="S51" s="322">
        <f t="shared" si="8"/>
        <v>2327</v>
      </c>
    </row>
    <row r="52" spans="1:19">
      <c r="A52" s="674" t="str">
        <f>面积表!B35</f>
        <v>D38栋</v>
      </c>
      <c r="B52" s="674">
        <f>面积表!E35</f>
        <v>425.68</v>
      </c>
      <c r="C52" s="24">
        <f t="shared" si="9"/>
        <v>1</v>
      </c>
      <c r="D52" s="3039" t="s">
        <v>3156</v>
      </c>
      <c r="E52" s="24">
        <f t="shared" si="10"/>
        <v>1</v>
      </c>
      <c r="F52" s="3039" t="s">
        <v>3502</v>
      </c>
      <c r="G52" s="24">
        <f t="shared" si="11"/>
        <v>1</v>
      </c>
      <c r="H52" s="676"/>
      <c r="I52" s="24">
        <f t="shared" si="12"/>
        <v>1</v>
      </c>
      <c r="J52" s="676"/>
      <c r="K52" s="24">
        <f t="shared" si="13"/>
        <v>1</v>
      </c>
      <c r="L52" s="3039" t="s">
        <v>3556</v>
      </c>
      <c r="M52" s="24">
        <f t="shared" si="14"/>
        <v>1</v>
      </c>
      <c r="N52" s="3039" t="s">
        <v>3554</v>
      </c>
      <c r="O52" s="24">
        <f t="shared" si="15"/>
        <v>1</v>
      </c>
      <c r="P52" s="676"/>
      <c r="Q52" s="24">
        <f t="shared" si="16"/>
        <v>1</v>
      </c>
      <c r="R52" s="672">
        <f t="shared" si="17"/>
        <v>54675</v>
      </c>
      <c r="S52" s="322">
        <f t="shared" si="8"/>
        <v>2327</v>
      </c>
    </row>
    <row r="53" spans="1:19">
      <c r="A53" s="674"/>
      <c r="B53" s="57"/>
      <c r="C53" s="24">
        <f t="shared" si="9"/>
        <v>1</v>
      </c>
      <c r="D53" s="676"/>
      <c r="E53" s="24">
        <f t="shared" si="10"/>
        <v>0</v>
      </c>
      <c r="F53" s="676"/>
      <c r="G53" s="24">
        <f t="shared" si="11"/>
        <v>0.1</v>
      </c>
      <c r="H53" s="676"/>
      <c r="I53" s="24">
        <f t="shared" si="12"/>
        <v>1</v>
      </c>
      <c r="J53" s="676"/>
      <c r="K53" s="24">
        <f t="shared" si="13"/>
        <v>1</v>
      </c>
      <c r="L53" s="676"/>
      <c r="M53" s="24">
        <f t="shared" si="14"/>
        <v>0</v>
      </c>
      <c r="N53" s="676"/>
      <c r="O53" s="24">
        <f t="shared" si="15"/>
        <v>0</v>
      </c>
      <c r="P53" s="676"/>
      <c r="Q53" s="24">
        <f t="shared" si="16"/>
        <v>1</v>
      </c>
      <c r="R53" s="672">
        <f t="shared" si="17"/>
        <v>0</v>
      </c>
      <c r="S53" s="322">
        <f t="shared" si="8"/>
        <v>0</v>
      </c>
    </row>
    <row r="54" spans="1:19">
      <c r="A54" s="674"/>
      <c r="B54" s="57"/>
      <c r="C54" s="24">
        <f t="shared" si="9"/>
        <v>1</v>
      </c>
      <c r="D54" s="676"/>
      <c r="E54" s="24">
        <f t="shared" si="10"/>
        <v>0</v>
      </c>
      <c r="F54" s="676"/>
      <c r="G54" s="24">
        <f t="shared" si="11"/>
        <v>0.1</v>
      </c>
      <c r="H54" s="676"/>
      <c r="I54" s="24">
        <f t="shared" si="12"/>
        <v>1</v>
      </c>
      <c r="J54" s="676"/>
      <c r="K54" s="24">
        <f t="shared" si="13"/>
        <v>1</v>
      </c>
      <c r="L54" s="676"/>
      <c r="M54" s="24">
        <f t="shared" si="14"/>
        <v>0</v>
      </c>
      <c r="N54" s="676"/>
      <c r="O54" s="24">
        <f t="shared" si="15"/>
        <v>0</v>
      </c>
      <c r="P54" s="676"/>
      <c r="Q54" s="24">
        <f t="shared" si="16"/>
        <v>1</v>
      </c>
      <c r="R54" s="672">
        <f t="shared" si="17"/>
        <v>0</v>
      </c>
      <c r="S54" s="322">
        <f t="shared" si="8"/>
        <v>0</v>
      </c>
    </row>
    <row r="55" spans="1:19">
      <c r="A55" s="674"/>
      <c r="B55" s="57"/>
      <c r="C55" s="24">
        <f t="shared" si="9"/>
        <v>1</v>
      </c>
      <c r="D55" s="676"/>
      <c r="E55" s="24">
        <f t="shared" si="10"/>
        <v>0</v>
      </c>
      <c r="F55" s="676"/>
      <c r="G55" s="24">
        <f t="shared" si="11"/>
        <v>0.1</v>
      </c>
      <c r="H55" s="676"/>
      <c r="I55" s="24">
        <f t="shared" si="12"/>
        <v>1</v>
      </c>
      <c r="J55" s="676"/>
      <c r="K55" s="24">
        <f t="shared" si="13"/>
        <v>1</v>
      </c>
      <c r="L55" s="676"/>
      <c r="M55" s="24">
        <f t="shared" si="14"/>
        <v>0</v>
      </c>
      <c r="N55" s="676"/>
      <c r="O55" s="24">
        <f t="shared" si="15"/>
        <v>0</v>
      </c>
      <c r="P55" s="676"/>
      <c r="Q55" s="24">
        <f t="shared" si="16"/>
        <v>1</v>
      </c>
      <c r="R55" s="672">
        <f t="shared" si="17"/>
        <v>0</v>
      </c>
      <c r="S55" s="322">
        <f t="shared" ref="S55:S77" si="18">ROUND(R55*B55/10000,0)</f>
        <v>0</v>
      </c>
    </row>
    <row r="56" spans="1:19">
      <c r="A56" s="674"/>
      <c r="B56" s="57"/>
      <c r="C56" s="24">
        <f t="shared" si="9"/>
        <v>1</v>
      </c>
      <c r="D56" s="676"/>
      <c r="E56" s="24">
        <f t="shared" si="10"/>
        <v>0</v>
      </c>
      <c r="F56" s="676"/>
      <c r="G56" s="24">
        <f t="shared" si="11"/>
        <v>0.1</v>
      </c>
      <c r="H56" s="676"/>
      <c r="I56" s="24">
        <f t="shared" si="12"/>
        <v>1</v>
      </c>
      <c r="J56" s="676"/>
      <c r="K56" s="24">
        <f t="shared" si="13"/>
        <v>1</v>
      </c>
      <c r="L56" s="676"/>
      <c r="M56" s="24">
        <f t="shared" si="14"/>
        <v>0</v>
      </c>
      <c r="N56" s="676"/>
      <c r="O56" s="24">
        <f t="shared" si="15"/>
        <v>0</v>
      </c>
      <c r="P56" s="676"/>
      <c r="Q56" s="24">
        <f t="shared" si="16"/>
        <v>1</v>
      </c>
      <c r="R56" s="672">
        <f t="shared" si="17"/>
        <v>0</v>
      </c>
      <c r="S56" s="322">
        <f t="shared" si="18"/>
        <v>0</v>
      </c>
    </row>
    <row r="57" spans="1:19">
      <c r="A57" s="155"/>
      <c r="B57" s="57"/>
      <c r="C57" s="24">
        <f t="shared" si="9"/>
        <v>1</v>
      </c>
      <c r="D57" s="676"/>
      <c r="E57" s="24">
        <f t="shared" si="10"/>
        <v>0</v>
      </c>
      <c r="F57" s="676"/>
      <c r="G57" s="24">
        <f t="shared" si="11"/>
        <v>0.1</v>
      </c>
      <c r="H57" s="676"/>
      <c r="I57" s="24">
        <f t="shared" si="12"/>
        <v>1</v>
      </c>
      <c r="J57" s="676"/>
      <c r="K57" s="24">
        <f t="shared" si="13"/>
        <v>1</v>
      </c>
      <c r="L57" s="676"/>
      <c r="M57" s="24">
        <f t="shared" si="14"/>
        <v>0</v>
      </c>
      <c r="N57" s="676"/>
      <c r="O57" s="24">
        <f t="shared" si="15"/>
        <v>0</v>
      </c>
      <c r="P57" s="676"/>
      <c r="Q57" s="24">
        <f t="shared" si="16"/>
        <v>1</v>
      </c>
      <c r="R57" s="672">
        <f t="shared" si="17"/>
        <v>0</v>
      </c>
      <c r="S57" s="322">
        <f t="shared" si="18"/>
        <v>0</v>
      </c>
    </row>
    <row r="58" spans="1:19">
      <c r="A58" s="155"/>
      <c r="B58" s="57"/>
      <c r="C58" s="24">
        <f t="shared" si="9"/>
        <v>1</v>
      </c>
      <c r="D58" s="676"/>
      <c r="E58" s="24">
        <f t="shared" si="10"/>
        <v>0</v>
      </c>
      <c r="F58" s="676"/>
      <c r="G58" s="24">
        <f t="shared" si="11"/>
        <v>0.1</v>
      </c>
      <c r="H58" s="676"/>
      <c r="I58" s="24">
        <f t="shared" si="12"/>
        <v>1</v>
      </c>
      <c r="J58" s="676"/>
      <c r="K58" s="24">
        <f t="shared" si="13"/>
        <v>1</v>
      </c>
      <c r="L58" s="676"/>
      <c r="M58" s="24">
        <f t="shared" si="14"/>
        <v>0</v>
      </c>
      <c r="N58" s="676"/>
      <c r="O58" s="24">
        <f t="shared" si="15"/>
        <v>0</v>
      </c>
      <c r="P58" s="676"/>
      <c r="Q58" s="24">
        <f t="shared" si="16"/>
        <v>1</v>
      </c>
      <c r="R58" s="672">
        <f t="shared" si="17"/>
        <v>0</v>
      </c>
      <c r="S58" s="322">
        <f t="shared" si="18"/>
        <v>0</v>
      </c>
    </row>
    <row r="59" spans="1:19">
      <c r="A59" s="155"/>
      <c r="B59" s="57"/>
      <c r="C59" s="24">
        <f t="shared" si="9"/>
        <v>1</v>
      </c>
      <c r="D59" s="676"/>
      <c r="E59" s="24">
        <f t="shared" si="10"/>
        <v>0</v>
      </c>
      <c r="F59" s="676"/>
      <c r="G59" s="24">
        <f t="shared" si="11"/>
        <v>0.1</v>
      </c>
      <c r="H59" s="676"/>
      <c r="I59" s="24">
        <f t="shared" si="12"/>
        <v>1</v>
      </c>
      <c r="J59" s="676"/>
      <c r="K59" s="24">
        <f t="shared" si="13"/>
        <v>1</v>
      </c>
      <c r="L59" s="676"/>
      <c r="M59" s="24">
        <f t="shared" si="14"/>
        <v>0</v>
      </c>
      <c r="N59" s="676"/>
      <c r="O59" s="24">
        <f t="shared" si="15"/>
        <v>0</v>
      </c>
      <c r="P59" s="676"/>
      <c r="Q59" s="24">
        <f t="shared" si="16"/>
        <v>1</v>
      </c>
      <c r="R59" s="672">
        <f t="shared" si="17"/>
        <v>0</v>
      </c>
      <c r="S59" s="322">
        <f t="shared" si="18"/>
        <v>0</v>
      </c>
    </row>
    <row r="60" spans="1:19">
      <c r="A60" s="155"/>
      <c r="B60" s="57"/>
      <c r="C60" s="24">
        <f t="shared" si="9"/>
        <v>1</v>
      </c>
      <c r="D60" s="676"/>
      <c r="E60" s="24">
        <f t="shared" si="10"/>
        <v>0</v>
      </c>
      <c r="F60" s="676"/>
      <c r="G60" s="24">
        <f t="shared" si="11"/>
        <v>0.1</v>
      </c>
      <c r="H60" s="676"/>
      <c r="I60" s="24">
        <f t="shared" si="12"/>
        <v>1</v>
      </c>
      <c r="J60" s="676"/>
      <c r="K60" s="24">
        <f t="shared" si="13"/>
        <v>1</v>
      </c>
      <c r="L60" s="676"/>
      <c r="M60" s="24">
        <f t="shared" si="14"/>
        <v>0</v>
      </c>
      <c r="N60" s="676"/>
      <c r="O60" s="24">
        <f t="shared" si="15"/>
        <v>0</v>
      </c>
      <c r="P60" s="676"/>
      <c r="Q60" s="24">
        <f t="shared" si="16"/>
        <v>1</v>
      </c>
      <c r="R60" s="672">
        <f t="shared" si="17"/>
        <v>0</v>
      </c>
      <c r="S60" s="322">
        <f t="shared" si="18"/>
        <v>0</v>
      </c>
    </row>
    <row r="61" spans="1:19">
      <c r="A61" s="155"/>
      <c r="B61" s="57"/>
      <c r="C61" s="24">
        <f t="shared" si="9"/>
        <v>1</v>
      </c>
      <c r="D61" s="676"/>
      <c r="E61" s="24">
        <f t="shared" si="10"/>
        <v>0</v>
      </c>
      <c r="F61" s="676"/>
      <c r="G61" s="24">
        <f t="shared" si="11"/>
        <v>0.1</v>
      </c>
      <c r="H61" s="676"/>
      <c r="I61" s="24">
        <f t="shared" si="12"/>
        <v>1</v>
      </c>
      <c r="J61" s="676"/>
      <c r="K61" s="24">
        <f t="shared" si="13"/>
        <v>1</v>
      </c>
      <c r="L61" s="676"/>
      <c r="M61" s="24">
        <f t="shared" si="14"/>
        <v>0</v>
      </c>
      <c r="N61" s="676"/>
      <c r="O61" s="24">
        <f t="shared" si="15"/>
        <v>0</v>
      </c>
      <c r="P61" s="676"/>
      <c r="Q61" s="24">
        <f t="shared" si="16"/>
        <v>1</v>
      </c>
      <c r="R61" s="672">
        <f t="shared" si="17"/>
        <v>0</v>
      </c>
      <c r="S61" s="322">
        <f t="shared" si="18"/>
        <v>0</v>
      </c>
    </row>
    <row r="62" spans="1:19">
      <c r="A62" s="155"/>
      <c r="B62" s="57"/>
      <c r="C62" s="24">
        <f t="shared" si="9"/>
        <v>1</v>
      </c>
      <c r="D62" s="676"/>
      <c r="E62" s="24">
        <f t="shared" si="10"/>
        <v>0</v>
      </c>
      <c r="F62" s="676"/>
      <c r="G62" s="24">
        <f t="shared" si="11"/>
        <v>0.1</v>
      </c>
      <c r="H62" s="676"/>
      <c r="I62" s="24">
        <f t="shared" si="12"/>
        <v>1</v>
      </c>
      <c r="J62" s="676"/>
      <c r="K62" s="24">
        <f t="shared" si="13"/>
        <v>1</v>
      </c>
      <c r="L62" s="676"/>
      <c r="M62" s="24">
        <f t="shared" si="14"/>
        <v>0</v>
      </c>
      <c r="N62" s="676"/>
      <c r="O62" s="24">
        <f t="shared" si="15"/>
        <v>0</v>
      </c>
      <c r="P62" s="676"/>
      <c r="Q62" s="24">
        <f t="shared" si="16"/>
        <v>1</v>
      </c>
      <c r="R62" s="672">
        <f t="shared" si="17"/>
        <v>0</v>
      </c>
      <c r="S62" s="322">
        <f t="shared" si="18"/>
        <v>0</v>
      </c>
    </row>
    <row r="63" spans="1:19">
      <c r="A63" s="155"/>
      <c r="B63" s="57"/>
      <c r="C63" s="24">
        <f t="shared" si="9"/>
        <v>1</v>
      </c>
      <c r="D63" s="676"/>
      <c r="E63" s="24">
        <f t="shared" si="10"/>
        <v>0</v>
      </c>
      <c r="F63" s="676"/>
      <c r="G63" s="24">
        <f t="shared" si="11"/>
        <v>0.1</v>
      </c>
      <c r="H63" s="676"/>
      <c r="I63" s="24">
        <f t="shared" si="12"/>
        <v>1</v>
      </c>
      <c r="J63" s="676"/>
      <c r="K63" s="24">
        <f t="shared" si="13"/>
        <v>1</v>
      </c>
      <c r="L63" s="676"/>
      <c r="M63" s="24">
        <f t="shared" si="14"/>
        <v>0</v>
      </c>
      <c r="N63" s="676"/>
      <c r="O63" s="24">
        <f t="shared" si="15"/>
        <v>0</v>
      </c>
      <c r="P63" s="676"/>
      <c r="Q63" s="24">
        <f t="shared" si="16"/>
        <v>1</v>
      </c>
      <c r="R63" s="672">
        <f t="shared" si="17"/>
        <v>0</v>
      </c>
      <c r="S63" s="322">
        <f t="shared" si="18"/>
        <v>0</v>
      </c>
    </row>
    <row r="64" spans="1:19">
      <c r="A64" s="155"/>
      <c r="B64" s="57"/>
      <c r="C64" s="24">
        <f t="shared" si="9"/>
        <v>1</v>
      </c>
      <c r="D64" s="676"/>
      <c r="E64" s="24">
        <f t="shared" si="10"/>
        <v>0</v>
      </c>
      <c r="F64" s="676"/>
      <c r="G64" s="24">
        <f t="shared" si="11"/>
        <v>0.1</v>
      </c>
      <c r="H64" s="676"/>
      <c r="I64" s="24">
        <f t="shared" si="12"/>
        <v>1</v>
      </c>
      <c r="J64" s="676"/>
      <c r="K64" s="24">
        <f t="shared" si="13"/>
        <v>1</v>
      </c>
      <c r="L64" s="676"/>
      <c r="M64" s="24">
        <f t="shared" si="14"/>
        <v>0</v>
      </c>
      <c r="N64" s="676"/>
      <c r="O64" s="24">
        <f t="shared" si="15"/>
        <v>0</v>
      </c>
      <c r="P64" s="676"/>
      <c r="Q64" s="24">
        <f t="shared" si="16"/>
        <v>1</v>
      </c>
      <c r="R64" s="672">
        <f t="shared" si="17"/>
        <v>0</v>
      </c>
      <c r="S64" s="322">
        <f t="shared" si="18"/>
        <v>0</v>
      </c>
    </row>
    <row r="65" spans="1:19">
      <c r="A65" s="155"/>
      <c r="B65" s="57"/>
      <c r="C65" s="24">
        <f t="shared" si="9"/>
        <v>1</v>
      </c>
      <c r="D65" s="676"/>
      <c r="E65" s="24">
        <f t="shared" si="10"/>
        <v>0</v>
      </c>
      <c r="F65" s="676"/>
      <c r="G65" s="24">
        <f t="shared" si="11"/>
        <v>0.1</v>
      </c>
      <c r="H65" s="676"/>
      <c r="I65" s="24">
        <f t="shared" si="12"/>
        <v>1</v>
      </c>
      <c r="J65" s="676"/>
      <c r="K65" s="24">
        <f t="shared" si="13"/>
        <v>1</v>
      </c>
      <c r="L65" s="676"/>
      <c r="M65" s="24">
        <f t="shared" si="14"/>
        <v>0</v>
      </c>
      <c r="N65" s="676"/>
      <c r="O65" s="24">
        <f t="shared" si="15"/>
        <v>0</v>
      </c>
      <c r="P65" s="676"/>
      <c r="Q65" s="24">
        <f t="shared" si="16"/>
        <v>1</v>
      </c>
      <c r="R65" s="672">
        <f t="shared" si="17"/>
        <v>0</v>
      </c>
      <c r="S65" s="322">
        <f t="shared" si="18"/>
        <v>0</v>
      </c>
    </row>
    <row r="66" spans="1:19">
      <c r="A66" s="155"/>
      <c r="B66" s="57"/>
      <c r="C66" s="24">
        <f t="shared" si="9"/>
        <v>1</v>
      </c>
      <c r="D66" s="676"/>
      <c r="E66" s="24">
        <f t="shared" si="10"/>
        <v>0</v>
      </c>
      <c r="F66" s="676"/>
      <c r="G66" s="24">
        <f t="shared" si="11"/>
        <v>0.1</v>
      </c>
      <c r="H66" s="676"/>
      <c r="I66" s="24">
        <f t="shared" si="12"/>
        <v>1</v>
      </c>
      <c r="J66" s="676"/>
      <c r="K66" s="24">
        <f t="shared" si="13"/>
        <v>1</v>
      </c>
      <c r="L66" s="676"/>
      <c r="M66" s="24">
        <f t="shared" si="14"/>
        <v>0</v>
      </c>
      <c r="N66" s="676"/>
      <c r="O66" s="24">
        <f t="shared" si="15"/>
        <v>0</v>
      </c>
      <c r="P66" s="676"/>
      <c r="Q66" s="24">
        <f t="shared" si="16"/>
        <v>1</v>
      </c>
      <c r="R66" s="672">
        <f t="shared" si="17"/>
        <v>0</v>
      </c>
      <c r="S66" s="322">
        <f t="shared" si="18"/>
        <v>0</v>
      </c>
    </row>
    <row r="67" spans="1:19">
      <c r="A67" s="155"/>
      <c r="B67" s="57"/>
      <c r="C67" s="24">
        <f t="shared" si="9"/>
        <v>1</v>
      </c>
      <c r="D67" s="676"/>
      <c r="E67" s="24">
        <f t="shared" si="10"/>
        <v>0</v>
      </c>
      <c r="F67" s="676"/>
      <c r="G67" s="24">
        <f t="shared" si="11"/>
        <v>0.1</v>
      </c>
      <c r="H67" s="676"/>
      <c r="I67" s="24">
        <f t="shared" si="12"/>
        <v>1</v>
      </c>
      <c r="J67" s="676"/>
      <c r="K67" s="24">
        <f t="shared" si="13"/>
        <v>1</v>
      </c>
      <c r="L67" s="676"/>
      <c r="M67" s="24">
        <f t="shared" si="14"/>
        <v>0</v>
      </c>
      <c r="N67" s="676"/>
      <c r="O67" s="24">
        <f t="shared" si="15"/>
        <v>0</v>
      </c>
      <c r="P67" s="676"/>
      <c r="Q67" s="24">
        <f t="shared" si="16"/>
        <v>1</v>
      </c>
      <c r="R67" s="672">
        <f t="shared" si="17"/>
        <v>0</v>
      </c>
      <c r="S67" s="322">
        <f t="shared" si="18"/>
        <v>0</v>
      </c>
    </row>
    <row r="68" spans="1:19">
      <c r="A68" s="155"/>
      <c r="B68" s="57"/>
      <c r="C68" s="24">
        <f t="shared" si="9"/>
        <v>1</v>
      </c>
      <c r="D68" s="676"/>
      <c r="E68" s="24">
        <f t="shared" si="10"/>
        <v>0</v>
      </c>
      <c r="F68" s="676"/>
      <c r="G68" s="24">
        <f t="shared" si="11"/>
        <v>0.1</v>
      </c>
      <c r="H68" s="676"/>
      <c r="I68" s="24">
        <f t="shared" si="12"/>
        <v>1</v>
      </c>
      <c r="J68" s="676"/>
      <c r="K68" s="24">
        <f t="shared" si="13"/>
        <v>1</v>
      </c>
      <c r="L68" s="676"/>
      <c r="M68" s="24">
        <f t="shared" si="14"/>
        <v>0</v>
      </c>
      <c r="N68" s="676"/>
      <c r="O68" s="24">
        <f t="shared" si="15"/>
        <v>0</v>
      </c>
      <c r="P68" s="676"/>
      <c r="Q68" s="24">
        <f t="shared" si="16"/>
        <v>1</v>
      </c>
      <c r="R68" s="672">
        <f t="shared" si="17"/>
        <v>0</v>
      </c>
      <c r="S68" s="322">
        <f t="shared" si="18"/>
        <v>0</v>
      </c>
    </row>
    <row r="69" spans="1:19">
      <c r="A69" s="155"/>
      <c r="B69" s="57"/>
      <c r="C69" s="24">
        <f t="shared" si="9"/>
        <v>1</v>
      </c>
      <c r="D69" s="676"/>
      <c r="E69" s="24">
        <f t="shared" si="10"/>
        <v>0</v>
      </c>
      <c r="F69" s="676"/>
      <c r="G69" s="24">
        <f t="shared" si="11"/>
        <v>0.1</v>
      </c>
      <c r="H69" s="676"/>
      <c r="I69" s="24">
        <f t="shared" si="12"/>
        <v>1</v>
      </c>
      <c r="J69" s="676"/>
      <c r="K69" s="24">
        <f t="shared" si="13"/>
        <v>1</v>
      </c>
      <c r="L69" s="676"/>
      <c r="M69" s="24">
        <f t="shared" si="14"/>
        <v>0</v>
      </c>
      <c r="N69" s="676"/>
      <c r="O69" s="24">
        <f t="shared" si="15"/>
        <v>0</v>
      </c>
      <c r="P69" s="676"/>
      <c r="Q69" s="24">
        <f t="shared" si="16"/>
        <v>1</v>
      </c>
      <c r="R69" s="672">
        <f t="shared" si="17"/>
        <v>0</v>
      </c>
      <c r="S69" s="322">
        <f t="shared" si="18"/>
        <v>0</v>
      </c>
    </row>
    <row r="70" spans="1:19">
      <c r="A70" s="155"/>
      <c r="B70" s="57"/>
      <c r="C70" s="24">
        <f t="shared" si="9"/>
        <v>1</v>
      </c>
      <c r="D70" s="676"/>
      <c r="E70" s="24">
        <f t="shared" si="10"/>
        <v>0</v>
      </c>
      <c r="F70" s="676"/>
      <c r="G70" s="24">
        <f t="shared" si="11"/>
        <v>0.1</v>
      </c>
      <c r="H70" s="676"/>
      <c r="I70" s="24">
        <f t="shared" si="12"/>
        <v>1</v>
      </c>
      <c r="J70" s="676"/>
      <c r="K70" s="24">
        <f t="shared" si="13"/>
        <v>1</v>
      </c>
      <c r="L70" s="676"/>
      <c r="M70" s="24">
        <f t="shared" si="14"/>
        <v>0</v>
      </c>
      <c r="N70" s="676"/>
      <c r="O70" s="24">
        <f t="shared" si="15"/>
        <v>0</v>
      </c>
      <c r="P70" s="676"/>
      <c r="Q70" s="24">
        <f t="shared" si="16"/>
        <v>1</v>
      </c>
      <c r="R70" s="672">
        <f t="shared" si="17"/>
        <v>0</v>
      </c>
      <c r="S70" s="322">
        <f t="shared" si="18"/>
        <v>0</v>
      </c>
    </row>
    <row r="71" spans="1:19">
      <c r="A71" s="155"/>
      <c r="B71" s="57"/>
      <c r="C71" s="24">
        <f t="shared" si="9"/>
        <v>1</v>
      </c>
      <c r="D71" s="676"/>
      <c r="E71" s="24">
        <f t="shared" si="10"/>
        <v>0</v>
      </c>
      <c r="F71" s="676"/>
      <c r="G71" s="24">
        <f t="shared" si="11"/>
        <v>0.1</v>
      </c>
      <c r="H71" s="676"/>
      <c r="I71" s="24">
        <f t="shared" si="12"/>
        <v>1</v>
      </c>
      <c r="J71" s="676"/>
      <c r="K71" s="24">
        <f t="shared" si="13"/>
        <v>1</v>
      </c>
      <c r="L71" s="676"/>
      <c r="M71" s="24">
        <f t="shared" si="14"/>
        <v>0</v>
      </c>
      <c r="N71" s="676"/>
      <c r="O71" s="24">
        <f t="shared" si="15"/>
        <v>0</v>
      </c>
      <c r="P71" s="676"/>
      <c r="Q71" s="24">
        <f t="shared" si="16"/>
        <v>1</v>
      </c>
      <c r="R71" s="672">
        <f t="shared" si="17"/>
        <v>0</v>
      </c>
      <c r="S71" s="322">
        <f t="shared" si="18"/>
        <v>0</v>
      </c>
    </row>
    <row r="72" spans="1:19">
      <c r="A72" s="155"/>
      <c r="B72" s="57"/>
      <c r="C72" s="24">
        <f t="shared" si="9"/>
        <v>1</v>
      </c>
      <c r="D72" s="676"/>
      <c r="E72" s="24">
        <f t="shared" si="10"/>
        <v>0</v>
      </c>
      <c r="F72" s="676"/>
      <c r="G72" s="24">
        <f t="shared" si="11"/>
        <v>0.1</v>
      </c>
      <c r="H72" s="676"/>
      <c r="I72" s="24">
        <f t="shared" si="12"/>
        <v>1</v>
      </c>
      <c r="J72" s="676"/>
      <c r="K72" s="24">
        <f t="shared" si="13"/>
        <v>1</v>
      </c>
      <c r="L72" s="676"/>
      <c r="M72" s="24">
        <f t="shared" si="14"/>
        <v>0</v>
      </c>
      <c r="N72" s="676"/>
      <c r="O72" s="24">
        <f t="shared" si="15"/>
        <v>0</v>
      </c>
      <c r="P72" s="676"/>
      <c r="Q72" s="24">
        <f t="shared" si="16"/>
        <v>1</v>
      </c>
      <c r="R72" s="672">
        <f t="shared" si="17"/>
        <v>0</v>
      </c>
      <c r="S72" s="322">
        <f t="shared" si="18"/>
        <v>0</v>
      </c>
    </row>
    <row r="73" spans="1:19">
      <c r="A73" s="155"/>
      <c r="B73" s="57"/>
      <c r="C73" s="24">
        <f t="shared" si="9"/>
        <v>1</v>
      </c>
      <c r="D73" s="676"/>
      <c r="E73" s="24">
        <f t="shared" si="10"/>
        <v>0</v>
      </c>
      <c r="F73" s="676"/>
      <c r="G73" s="24">
        <f t="shared" si="11"/>
        <v>0.1</v>
      </c>
      <c r="H73" s="676"/>
      <c r="I73" s="24">
        <f t="shared" si="12"/>
        <v>1</v>
      </c>
      <c r="J73" s="676"/>
      <c r="K73" s="24">
        <f t="shared" si="13"/>
        <v>1</v>
      </c>
      <c r="L73" s="676"/>
      <c r="M73" s="24">
        <f t="shared" si="14"/>
        <v>0</v>
      </c>
      <c r="N73" s="676"/>
      <c r="O73" s="24">
        <f t="shared" si="15"/>
        <v>0</v>
      </c>
      <c r="P73" s="676"/>
      <c r="Q73" s="24">
        <f t="shared" si="16"/>
        <v>1</v>
      </c>
      <c r="R73" s="672">
        <f t="shared" si="17"/>
        <v>0</v>
      </c>
      <c r="S73" s="322">
        <f t="shared" si="18"/>
        <v>0</v>
      </c>
    </row>
    <row r="74" spans="1:19">
      <c r="A74" s="155"/>
      <c r="B74" s="57"/>
      <c r="C74" s="24">
        <f t="shared" si="9"/>
        <v>1</v>
      </c>
      <c r="D74" s="676"/>
      <c r="E74" s="24">
        <f t="shared" si="10"/>
        <v>0</v>
      </c>
      <c r="F74" s="676"/>
      <c r="G74" s="24">
        <f t="shared" si="11"/>
        <v>0.1</v>
      </c>
      <c r="H74" s="676"/>
      <c r="I74" s="24">
        <f t="shared" si="12"/>
        <v>1</v>
      </c>
      <c r="J74" s="676"/>
      <c r="K74" s="24">
        <f t="shared" si="13"/>
        <v>1</v>
      </c>
      <c r="L74" s="676"/>
      <c r="M74" s="24">
        <f t="shared" si="14"/>
        <v>0</v>
      </c>
      <c r="N74" s="676"/>
      <c r="O74" s="24">
        <f t="shared" si="15"/>
        <v>0</v>
      </c>
      <c r="P74" s="676"/>
      <c r="Q74" s="24">
        <f t="shared" si="16"/>
        <v>1</v>
      </c>
      <c r="R74" s="672">
        <f t="shared" si="17"/>
        <v>0</v>
      </c>
      <c r="S74" s="322">
        <f t="shared" si="18"/>
        <v>0</v>
      </c>
    </row>
    <row r="75" spans="1:19">
      <c r="A75" s="155"/>
      <c r="B75" s="57"/>
      <c r="C75" s="24">
        <f t="shared" si="9"/>
        <v>1</v>
      </c>
      <c r="D75" s="676"/>
      <c r="E75" s="24">
        <f t="shared" si="10"/>
        <v>0</v>
      </c>
      <c r="F75" s="676"/>
      <c r="G75" s="24">
        <f t="shared" si="11"/>
        <v>0.1</v>
      </c>
      <c r="H75" s="676"/>
      <c r="I75" s="24">
        <f t="shared" si="12"/>
        <v>1</v>
      </c>
      <c r="J75" s="676"/>
      <c r="K75" s="24">
        <f t="shared" si="13"/>
        <v>1</v>
      </c>
      <c r="L75" s="676"/>
      <c r="M75" s="24">
        <f t="shared" si="14"/>
        <v>0</v>
      </c>
      <c r="N75" s="676"/>
      <c r="O75" s="24">
        <f t="shared" si="15"/>
        <v>0</v>
      </c>
      <c r="P75" s="676"/>
      <c r="Q75" s="24">
        <f t="shared" si="16"/>
        <v>1</v>
      </c>
      <c r="R75" s="672">
        <f t="shared" si="17"/>
        <v>0</v>
      </c>
      <c r="S75" s="322">
        <f t="shared" si="18"/>
        <v>0</v>
      </c>
    </row>
    <row r="76" spans="1:19">
      <c r="A76" s="155"/>
      <c r="B76" s="57"/>
      <c r="C76" s="24">
        <f t="shared" si="9"/>
        <v>1</v>
      </c>
      <c r="D76" s="676"/>
      <c r="E76" s="24">
        <f t="shared" si="10"/>
        <v>0</v>
      </c>
      <c r="F76" s="676"/>
      <c r="G76" s="24">
        <f t="shared" si="11"/>
        <v>0.1</v>
      </c>
      <c r="H76" s="676"/>
      <c r="I76" s="24">
        <f t="shared" si="12"/>
        <v>1</v>
      </c>
      <c r="J76" s="676"/>
      <c r="K76" s="24">
        <f t="shared" si="13"/>
        <v>1</v>
      </c>
      <c r="L76" s="676"/>
      <c r="M76" s="24">
        <f t="shared" si="14"/>
        <v>0</v>
      </c>
      <c r="N76" s="676"/>
      <c r="O76" s="24">
        <f t="shared" si="15"/>
        <v>0</v>
      </c>
      <c r="P76" s="676"/>
      <c r="Q76" s="24">
        <f t="shared" si="16"/>
        <v>1</v>
      </c>
      <c r="R76" s="672">
        <f t="shared" si="17"/>
        <v>0</v>
      </c>
      <c r="S76" s="322">
        <f t="shared" si="18"/>
        <v>0</v>
      </c>
    </row>
    <row r="77" spans="1:19">
      <c r="A77" s="155"/>
      <c r="B77" s="57"/>
      <c r="C77" s="24">
        <f t="shared" si="9"/>
        <v>1</v>
      </c>
      <c r="D77" s="676"/>
      <c r="E77" s="24">
        <f t="shared" si="10"/>
        <v>0</v>
      </c>
      <c r="F77" s="676"/>
      <c r="G77" s="24">
        <f t="shared" si="11"/>
        <v>0.1</v>
      </c>
      <c r="H77" s="676"/>
      <c r="I77" s="24">
        <f t="shared" si="12"/>
        <v>1</v>
      </c>
      <c r="J77" s="676"/>
      <c r="K77" s="24">
        <f t="shared" si="13"/>
        <v>1</v>
      </c>
      <c r="L77" s="676"/>
      <c r="M77" s="24">
        <f t="shared" si="14"/>
        <v>0</v>
      </c>
      <c r="N77" s="676"/>
      <c r="O77" s="24">
        <f t="shared" si="15"/>
        <v>0</v>
      </c>
      <c r="P77" s="676"/>
      <c r="Q77" s="24">
        <f t="shared" si="16"/>
        <v>1</v>
      </c>
      <c r="R77" s="672">
        <f t="shared" si="17"/>
        <v>0</v>
      </c>
      <c r="S77" s="322">
        <f t="shared" si="18"/>
        <v>0</v>
      </c>
    </row>
    <row r="78" spans="1:19">
      <c r="A78" s="155"/>
      <c r="B78" s="57"/>
      <c r="C78" s="24">
        <f t="shared" si="9"/>
        <v>1</v>
      </c>
      <c r="D78" s="676"/>
      <c r="E78" s="24">
        <f t="shared" si="10"/>
        <v>0</v>
      </c>
      <c r="F78" s="676"/>
      <c r="G78" s="24">
        <f t="shared" si="11"/>
        <v>0.1</v>
      </c>
      <c r="H78" s="676"/>
      <c r="I78" s="24">
        <f t="shared" si="12"/>
        <v>1</v>
      </c>
      <c r="J78" s="676"/>
      <c r="K78" s="24">
        <f t="shared" si="13"/>
        <v>1</v>
      </c>
      <c r="L78" s="676"/>
      <c r="M78" s="24">
        <f t="shared" si="14"/>
        <v>0</v>
      </c>
      <c r="N78" s="676"/>
      <c r="O78" s="24">
        <f t="shared" si="15"/>
        <v>0</v>
      </c>
      <c r="P78" s="676"/>
      <c r="Q78" s="24">
        <f t="shared" si="16"/>
        <v>1</v>
      </c>
      <c r="R78" s="672">
        <f t="shared" si="17"/>
        <v>0</v>
      </c>
      <c r="S78" s="322">
        <f t="shared" ref="S78:S122" si="19">ROUND(R78*B78/10000,0)</f>
        <v>0</v>
      </c>
    </row>
    <row r="79" spans="1:19">
      <c r="A79" s="155"/>
      <c r="B79" s="57"/>
      <c r="C79" s="24">
        <f t="shared" si="9"/>
        <v>1</v>
      </c>
      <c r="D79" s="676"/>
      <c r="E79" s="24">
        <f t="shared" si="10"/>
        <v>0</v>
      </c>
      <c r="F79" s="676"/>
      <c r="G79" s="24">
        <f t="shared" si="11"/>
        <v>0.1</v>
      </c>
      <c r="H79" s="676"/>
      <c r="I79" s="24">
        <f t="shared" si="12"/>
        <v>1</v>
      </c>
      <c r="J79" s="676"/>
      <c r="K79" s="24">
        <f t="shared" si="13"/>
        <v>1</v>
      </c>
      <c r="L79" s="676"/>
      <c r="M79" s="24">
        <f t="shared" si="14"/>
        <v>0</v>
      </c>
      <c r="N79" s="676"/>
      <c r="O79" s="24">
        <f t="shared" si="15"/>
        <v>0</v>
      </c>
      <c r="P79" s="676"/>
      <c r="Q79" s="24">
        <f t="shared" si="16"/>
        <v>1</v>
      </c>
      <c r="R79" s="672">
        <f t="shared" si="17"/>
        <v>0</v>
      </c>
      <c r="S79" s="322">
        <f t="shared" si="19"/>
        <v>0</v>
      </c>
    </row>
    <row r="80" spans="1:19">
      <c r="A80" s="155"/>
      <c r="B80" s="57"/>
      <c r="C80" s="24">
        <f t="shared" si="9"/>
        <v>1</v>
      </c>
      <c r="D80" s="676"/>
      <c r="E80" s="24">
        <f t="shared" si="10"/>
        <v>0</v>
      </c>
      <c r="F80" s="676"/>
      <c r="G80" s="24">
        <f t="shared" si="11"/>
        <v>0.1</v>
      </c>
      <c r="H80" s="676"/>
      <c r="I80" s="24">
        <f t="shared" si="12"/>
        <v>1</v>
      </c>
      <c r="J80" s="676"/>
      <c r="K80" s="24">
        <f t="shared" si="13"/>
        <v>1</v>
      </c>
      <c r="L80" s="676"/>
      <c r="M80" s="24">
        <f t="shared" si="14"/>
        <v>0</v>
      </c>
      <c r="N80" s="676"/>
      <c r="O80" s="24">
        <f t="shared" si="15"/>
        <v>0</v>
      </c>
      <c r="P80" s="676"/>
      <c r="Q80" s="24">
        <f t="shared" si="16"/>
        <v>1</v>
      </c>
      <c r="R80" s="672">
        <f t="shared" si="17"/>
        <v>0</v>
      </c>
      <c r="S80" s="322">
        <f t="shared" si="19"/>
        <v>0</v>
      </c>
    </row>
    <row r="81" spans="1:19">
      <c r="A81" s="155"/>
      <c r="B81" s="57"/>
      <c r="C81" s="24">
        <f t="shared" si="9"/>
        <v>1</v>
      </c>
      <c r="D81" s="676"/>
      <c r="E81" s="24">
        <f t="shared" si="10"/>
        <v>0</v>
      </c>
      <c r="F81" s="676"/>
      <c r="G81" s="24">
        <f t="shared" si="11"/>
        <v>0.1</v>
      </c>
      <c r="H81" s="676"/>
      <c r="I81" s="24">
        <f t="shared" si="12"/>
        <v>1</v>
      </c>
      <c r="J81" s="676"/>
      <c r="K81" s="24">
        <f t="shared" si="13"/>
        <v>1</v>
      </c>
      <c r="L81" s="676"/>
      <c r="M81" s="24">
        <f t="shared" si="14"/>
        <v>0</v>
      </c>
      <c r="N81" s="676"/>
      <c r="O81" s="24">
        <f t="shared" si="15"/>
        <v>0</v>
      </c>
      <c r="P81" s="676"/>
      <c r="Q81" s="24">
        <f t="shared" si="16"/>
        <v>1</v>
      </c>
      <c r="R81" s="672">
        <f t="shared" si="17"/>
        <v>0</v>
      </c>
      <c r="S81" s="322">
        <f t="shared" si="19"/>
        <v>0</v>
      </c>
    </row>
    <row r="82" spans="1:19">
      <c r="A82" s="155"/>
      <c r="B82" s="57"/>
      <c r="C82" s="24">
        <f t="shared" si="9"/>
        <v>1</v>
      </c>
      <c r="D82" s="676"/>
      <c r="E82" s="24">
        <f t="shared" si="10"/>
        <v>0</v>
      </c>
      <c r="F82" s="676"/>
      <c r="G82" s="24">
        <f t="shared" si="11"/>
        <v>0.1</v>
      </c>
      <c r="H82" s="676"/>
      <c r="I82" s="24">
        <f t="shared" si="12"/>
        <v>1</v>
      </c>
      <c r="J82" s="676"/>
      <c r="K82" s="24">
        <f t="shared" si="13"/>
        <v>1</v>
      </c>
      <c r="L82" s="676"/>
      <c r="M82" s="24">
        <f t="shared" si="14"/>
        <v>0</v>
      </c>
      <c r="N82" s="676"/>
      <c r="O82" s="24">
        <f t="shared" si="15"/>
        <v>0</v>
      </c>
      <c r="P82" s="676"/>
      <c r="Q82" s="24">
        <f t="shared" si="16"/>
        <v>1</v>
      </c>
      <c r="R82" s="672">
        <f t="shared" si="17"/>
        <v>0</v>
      </c>
      <c r="S82" s="322">
        <f t="shared" si="19"/>
        <v>0</v>
      </c>
    </row>
    <row r="83" spans="1:19">
      <c r="A83" s="155"/>
      <c r="B83" s="57"/>
      <c r="C83" s="24">
        <f t="shared" si="9"/>
        <v>1</v>
      </c>
      <c r="D83" s="676"/>
      <c r="E83" s="24">
        <f t="shared" si="10"/>
        <v>0</v>
      </c>
      <c r="F83" s="676"/>
      <c r="G83" s="24">
        <f t="shared" si="11"/>
        <v>0.1</v>
      </c>
      <c r="H83" s="676"/>
      <c r="I83" s="24">
        <f t="shared" si="12"/>
        <v>1</v>
      </c>
      <c r="J83" s="676"/>
      <c r="K83" s="24">
        <f t="shared" si="13"/>
        <v>1</v>
      </c>
      <c r="L83" s="676"/>
      <c r="M83" s="24">
        <f t="shared" si="14"/>
        <v>0</v>
      </c>
      <c r="N83" s="676"/>
      <c r="O83" s="24">
        <f t="shared" si="15"/>
        <v>0</v>
      </c>
      <c r="P83" s="676"/>
      <c r="Q83" s="24">
        <f t="shared" si="16"/>
        <v>1</v>
      </c>
      <c r="R83" s="672">
        <f t="shared" si="17"/>
        <v>0</v>
      </c>
      <c r="S83" s="322">
        <f t="shared" si="19"/>
        <v>0</v>
      </c>
    </row>
    <row r="84" spans="1:19">
      <c r="A84" s="155"/>
      <c r="B84" s="57"/>
      <c r="C84" s="24">
        <f t="shared" si="9"/>
        <v>1</v>
      </c>
      <c r="D84" s="676"/>
      <c r="E84" s="24">
        <f t="shared" si="10"/>
        <v>0</v>
      </c>
      <c r="F84" s="676"/>
      <c r="G84" s="24">
        <f t="shared" si="11"/>
        <v>0.1</v>
      </c>
      <c r="H84" s="676"/>
      <c r="I84" s="24">
        <f t="shared" si="12"/>
        <v>1</v>
      </c>
      <c r="J84" s="676"/>
      <c r="K84" s="24">
        <f t="shared" si="13"/>
        <v>1</v>
      </c>
      <c r="L84" s="676"/>
      <c r="M84" s="24">
        <f t="shared" si="14"/>
        <v>0</v>
      </c>
      <c r="N84" s="676"/>
      <c r="O84" s="24">
        <f t="shared" si="15"/>
        <v>0</v>
      </c>
      <c r="P84" s="676"/>
      <c r="Q84" s="24">
        <f t="shared" si="16"/>
        <v>1</v>
      </c>
      <c r="R84" s="672">
        <f t="shared" si="17"/>
        <v>0</v>
      </c>
      <c r="S84" s="322">
        <f t="shared" si="19"/>
        <v>0</v>
      </c>
    </row>
    <row r="85" spans="1:19">
      <c r="A85" s="155"/>
      <c r="B85" s="57"/>
      <c r="C85" s="24">
        <f t="shared" si="9"/>
        <v>1</v>
      </c>
      <c r="D85" s="676"/>
      <c r="E85" s="24">
        <f t="shared" si="10"/>
        <v>0</v>
      </c>
      <c r="F85" s="676"/>
      <c r="G85" s="24">
        <f t="shared" si="11"/>
        <v>0.1</v>
      </c>
      <c r="H85" s="676"/>
      <c r="I85" s="24">
        <f t="shared" si="12"/>
        <v>1</v>
      </c>
      <c r="J85" s="676"/>
      <c r="K85" s="24">
        <f t="shared" si="13"/>
        <v>1</v>
      </c>
      <c r="L85" s="676"/>
      <c r="M85" s="24">
        <f t="shared" si="14"/>
        <v>0</v>
      </c>
      <c r="N85" s="676"/>
      <c r="O85" s="24">
        <f t="shared" si="15"/>
        <v>0</v>
      </c>
      <c r="P85" s="676"/>
      <c r="Q85" s="24">
        <f t="shared" si="16"/>
        <v>1</v>
      </c>
      <c r="R85" s="672">
        <f t="shared" si="17"/>
        <v>0</v>
      </c>
      <c r="S85" s="322">
        <f t="shared" si="19"/>
        <v>0</v>
      </c>
    </row>
    <row r="86" spans="1:19">
      <c r="A86" s="155"/>
      <c r="B86" s="57"/>
      <c r="C86" s="24">
        <f t="shared" si="9"/>
        <v>1</v>
      </c>
      <c r="D86" s="676"/>
      <c r="E86" s="24">
        <f t="shared" si="10"/>
        <v>0</v>
      </c>
      <c r="F86" s="676"/>
      <c r="G86" s="24">
        <f t="shared" si="11"/>
        <v>0.1</v>
      </c>
      <c r="H86" s="676"/>
      <c r="I86" s="24">
        <f t="shared" si="12"/>
        <v>1</v>
      </c>
      <c r="J86" s="676"/>
      <c r="K86" s="24">
        <f t="shared" si="13"/>
        <v>1</v>
      </c>
      <c r="L86" s="676"/>
      <c r="M86" s="24">
        <f t="shared" si="14"/>
        <v>0</v>
      </c>
      <c r="N86" s="676"/>
      <c r="O86" s="24">
        <f t="shared" si="15"/>
        <v>0</v>
      </c>
      <c r="P86" s="676"/>
      <c r="Q86" s="24">
        <f t="shared" si="16"/>
        <v>1</v>
      </c>
      <c r="R86" s="672">
        <f t="shared" si="17"/>
        <v>0</v>
      </c>
      <c r="S86" s="322">
        <f t="shared" si="19"/>
        <v>0</v>
      </c>
    </row>
    <row r="87" spans="1:19">
      <c r="A87" s="155"/>
      <c r="B87" s="57"/>
      <c r="C87" s="24">
        <f t="shared" si="9"/>
        <v>1</v>
      </c>
      <c r="D87" s="676"/>
      <c r="E87" s="24">
        <f t="shared" si="10"/>
        <v>0</v>
      </c>
      <c r="F87" s="676"/>
      <c r="G87" s="24">
        <f t="shared" si="11"/>
        <v>0.1</v>
      </c>
      <c r="H87" s="676"/>
      <c r="I87" s="24">
        <f t="shared" si="12"/>
        <v>1</v>
      </c>
      <c r="J87" s="676"/>
      <c r="K87" s="24">
        <f t="shared" si="13"/>
        <v>1</v>
      </c>
      <c r="L87" s="676"/>
      <c r="M87" s="24">
        <f t="shared" si="14"/>
        <v>0</v>
      </c>
      <c r="N87" s="676"/>
      <c r="O87" s="24">
        <f t="shared" si="15"/>
        <v>0</v>
      </c>
      <c r="P87" s="676"/>
      <c r="Q87" s="24">
        <f t="shared" si="16"/>
        <v>1</v>
      </c>
      <c r="R87" s="672">
        <f t="shared" si="17"/>
        <v>0</v>
      </c>
      <c r="S87" s="322">
        <f t="shared" si="19"/>
        <v>0</v>
      </c>
    </row>
    <row r="88" spans="1:19">
      <c r="A88" s="155"/>
      <c r="B88" s="57"/>
      <c r="C88" s="24">
        <f t="shared" si="9"/>
        <v>1</v>
      </c>
      <c r="D88" s="676"/>
      <c r="E88" s="24">
        <f t="shared" si="10"/>
        <v>0</v>
      </c>
      <c r="F88" s="676"/>
      <c r="G88" s="24">
        <f t="shared" si="11"/>
        <v>0.1</v>
      </c>
      <c r="H88" s="676"/>
      <c r="I88" s="24">
        <f t="shared" si="12"/>
        <v>1</v>
      </c>
      <c r="J88" s="676"/>
      <c r="K88" s="24">
        <f t="shared" si="13"/>
        <v>1</v>
      </c>
      <c r="L88" s="676"/>
      <c r="M88" s="24">
        <f t="shared" si="14"/>
        <v>0</v>
      </c>
      <c r="N88" s="676"/>
      <c r="O88" s="24">
        <f t="shared" si="15"/>
        <v>0</v>
      </c>
      <c r="P88" s="676"/>
      <c r="Q88" s="24">
        <f t="shared" si="16"/>
        <v>1</v>
      </c>
      <c r="R88" s="672">
        <f t="shared" si="17"/>
        <v>0</v>
      </c>
      <c r="S88" s="322">
        <f t="shared" si="19"/>
        <v>0</v>
      </c>
    </row>
    <row r="89" spans="1:19">
      <c r="A89" s="155"/>
      <c r="B89" s="57"/>
      <c r="C89" s="24">
        <f t="shared" si="9"/>
        <v>1</v>
      </c>
      <c r="D89" s="676"/>
      <c r="E89" s="24">
        <f t="shared" si="10"/>
        <v>0</v>
      </c>
      <c r="F89" s="676"/>
      <c r="G89" s="24">
        <f t="shared" si="11"/>
        <v>0.1</v>
      </c>
      <c r="H89" s="676"/>
      <c r="I89" s="24">
        <f t="shared" si="12"/>
        <v>1</v>
      </c>
      <c r="J89" s="676"/>
      <c r="K89" s="24">
        <f t="shared" si="13"/>
        <v>1</v>
      </c>
      <c r="L89" s="676"/>
      <c r="M89" s="24">
        <f t="shared" si="14"/>
        <v>0</v>
      </c>
      <c r="N89" s="676"/>
      <c r="O89" s="24">
        <f t="shared" si="15"/>
        <v>0</v>
      </c>
      <c r="P89" s="676"/>
      <c r="Q89" s="24">
        <f t="shared" si="16"/>
        <v>1</v>
      </c>
      <c r="R89" s="672">
        <f t="shared" si="17"/>
        <v>0</v>
      </c>
      <c r="S89" s="322">
        <f t="shared" si="19"/>
        <v>0</v>
      </c>
    </row>
    <row r="90" spans="1:19">
      <c r="A90" s="155"/>
      <c r="B90" s="57"/>
      <c r="C90" s="24">
        <f t="shared" ref="C90:C153" si="20">IF(B90="",1,(LOOKUP(B90,$3:$3,$4:$4)-LOOKUP($B$24,$3:$3,$4:$4)+100)/100)</f>
        <v>1</v>
      </c>
      <c r="D90" s="676"/>
      <c r="E90" s="24">
        <f t="shared" ref="E90:E153" si="21">(SUMIF($5:$5,D90,$6:$6)-SUMIF($5:$5,$D$24,$6:$6)+100)/100</f>
        <v>0</v>
      </c>
      <c r="F90" s="676"/>
      <c r="G90" s="24">
        <f t="shared" ref="G90:G153" si="22">(SUMIF($7:$7,F90,$8:$8)-SUMIF($7:$7,$F$24,$8:$8)+100)/100</f>
        <v>0.1</v>
      </c>
      <c r="H90" s="676"/>
      <c r="I90" s="24">
        <f t="shared" ref="I90:I153" si="23">(SUMIF($9:$9,H90,$10:$10)-SUMIF($9:$9,$H$24,$10:$10)+100)/100</f>
        <v>1</v>
      </c>
      <c r="J90" s="676"/>
      <c r="K90" s="24">
        <f t="shared" ref="K90:K153" si="24">(SUMIF($11:$11,J90,$12:$12)-SUMIF($11:$11,$J$24,$12:$12)+100)/100</f>
        <v>1</v>
      </c>
      <c r="L90" s="676"/>
      <c r="M90" s="24">
        <f t="shared" ref="M90:M153" si="25">(SUMIF($13:$13,L90,$14:$14)-SUMIF($13:$13,$L$24,$14:$14)+100)/100</f>
        <v>0</v>
      </c>
      <c r="N90" s="676"/>
      <c r="O90" s="24">
        <f t="shared" ref="O90:O153" si="26">(SUMIF($15:$15,N90,$16:$16)-SUMIF($15:$15,$N$24,$16:$16)+100)/100</f>
        <v>0</v>
      </c>
      <c r="P90" s="676"/>
      <c r="Q90" s="24">
        <f t="shared" ref="Q90:Q153" si="27">(SUMIF($17:$17,P90,$18:$18)-SUMIF($17:$17,$P$24,$18:$18)+100)/100</f>
        <v>1</v>
      </c>
      <c r="R90" s="672">
        <f t="shared" ref="R90:R153" si="28">IF(B90="",0,ROUND($R$24*C90*E90*G90*I90*K90*M90*O90*Q90,0))</f>
        <v>0</v>
      </c>
      <c r="S90" s="322">
        <f t="shared" si="19"/>
        <v>0</v>
      </c>
    </row>
    <row r="91" spans="1:19">
      <c r="A91" s="155"/>
      <c r="B91" s="57"/>
      <c r="C91" s="24">
        <f t="shared" si="20"/>
        <v>1</v>
      </c>
      <c r="D91" s="676"/>
      <c r="E91" s="24">
        <f t="shared" si="21"/>
        <v>0</v>
      </c>
      <c r="F91" s="676"/>
      <c r="G91" s="24">
        <f t="shared" si="22"/>
        <v>0.1</v>
      </c>
      <c r="H91" s="676"/>
      <c r="I91" s="24">
        <f t="shared" si="23"/>
        <v>1</v>
      </c>
      <c r="J91" s="676"/>
      <c r="K91" s="24">
        <f t="shared" si="24"/>
        <v>1</v>
      </c>
      <c r="L91" s="676"/>
      <c r="M91" s="24">
        <f t="shared" si="25"/>
        <v>0</v>
      </c>
      <c r="N91" s="676"/>
      <c r="O91" s="24">
        <f t="shared" si="26"/>
        <v>0</v>
      </c>
      <c r="P91" s="676"/>
      <c r="Q91" s="24">
        <f t="shared" si="27"/>
        <v>1</v>
      </c>
      <c r="R91" s="672">
        <f t="shared" si="28"/>
        <v>0</v>
      </c>
      <c r="S91" s="322">
        <f t="shared" si="19"/>
        <v>0</v>
      </c>
    </row>
    <row r="92" spans="1:19">
      <c r="A92" s="155"/>
      <c r="B92" s="57"/>
      <c r="C92" s="24">
        <f t="shared" si="20"/>
        <v>1</v>
      </c>
      <c r="D92" s="676"/>
      <c r="E92" s="24">
        <f t="shared" si="21"/>
        <v>0</v>
      </c>
      <c r="F92" s="676"/>
      <c r="G92" s="24">
        <f t="shared" si="22"/>
        <v>0.1</v>
      </c>
      <c r="H92" s="676"/>
      <c r="I92" s="24">
        <f t="shared" si="23"/>
        <v>1</v>
      </c>
      <c r="J92" s="676"/>
      <c r="K92" s="24">
        <f t="shared" si="24"/>
        <v>1</v>
      </c>
      <c r="L92" s="676"/>
      <c r="M92" s="24">
        <f t="shared" si="25"/>
        <v>0</v>
      </c>
      <c r="N92" s="676"/>
      <c r="O92" s="24">
        <f t="shared" si="26"/>
        <v>0</v>
      </c>
      <c r="P92" s="676"/>
      <c r="Q92" s="24">
        <f t="shared" si="27"/>
        <v>1</v>
      </c>
      <c r="R92" s="672">
        <f t="shared" si="28"/>
        <v>0</v>
      </c>
      <c r="S92" s="322">
        <f t="shared" si="19"/>
        <v>0</v>
      </c>
    </row>
    <row r="93" spans="1:19">
      <c r="A93" s="155"/>
      <c r="B93" s="57"/>
      <c r="C93" s="24">
        <f t="shared" si="20"/>
        <v>1</v>
      </c>
      <c r="D93" s="676"/>
      <c r="E93" s="24">
        <f t="shared" si="21"/>
        <v>0</v>
      </c>
      <c r="F93" s="676"/>
      <c r="G93" s="24">
        <f t="shared" si="22"/>
        <v>0.1</v>
      </c>
      <c r="H93" s="676"/>
      <c r="I93" s="24">
        <f t="shared" si="23"/>
        <v>1</v>
      </c>
      <c r="J93" s="676"/>
      <c r="K93" s="24">
        <f t="shared" si="24"/>
        <v>1</v>
      </c>
      <c r="L93" s="676"/>
      <c r="M93" s="24">
        <f t="shared" si="25"/>
        <v>0</v>
      </c>
      <c r="N93" s="676"/>
      <c r="O93" s="24">
        <f t="shared" si="26"/>
        <v>0</v>
      </c>
      <c r="P93" s="676"/>
      <c r="Q93" s="24">
        <f t="shared" si="27"/>
        <v>1</v>
      </c>
      <c r="R93" s="672">
        <f t="shared" si="28"/>
        <v>0</v>
      </c>
      <c r="S93" s="322">
        <f t="shared" si="19"/>
        <v>0</v>
      </c>
    </row>
    <row r="94" spans="1:19">
      <c r="A94" s="155"/>
      <c r="B94" s="57"/>
      <c r="C94" s="24">
        <f t="shared" si="20"/>
        <v>1</v>
      </c>
      <c r="D94" s="676"/>
      <c r="E94" s="24">
        <f t="shared" si="21"/>
        <v>0</v>
      </c>
      <c r="F94" s="676"/>
      <c r="G94" s="24">
        <f t="shared" si="22"/>
        <v>0.1</v>
      </c>
      <c r="H94" s="676"/>
      <c r="I94" s="24">
        <f t="shared" si="23"/>
        <v>1</v>
      </c>
      <c r="J94" s="676"/>
      <c r="K94" s="24">
        <f t="shared" si="24"/>
        <v>1</v>
      </c>
      <c r="L94" s="676"/>
      <c r="M94" s="24">
        <f t="shared" si="25"/>
        <v>0</v>
      </c>
      <c r="N94" s="676"/>
      <c r="O94" s="24">
        <f t="shared" si="26"/>
        <v>0</v>
      </c>
      <c r="P94" s="676"/>
      <c r="Q94" s="24">
        <f t="shared" si="27"/>
        <v>1</v>
      </c>
      <c r="R94" s="672">
        <f t="shared" si="28"/>
        <v>0</v>
      </c>
      <c r="S94" s="322">
        <f t="shared" si="19"/>
        <v>0</v>
      </c>
    </row>
    <row r="95" spans="1:19">
      <c r="A95" s="155"/>
      <c r="B95" s="57"/>
      <c r="C95" s="24">
        <f t="shared" si="20"/>
        <v>1</v>
      </c>
      <c r="D95" s="676"/>
      <c r="E95" s="24">
        <f t="shared" si="21"/>
        <v>0</v>
      </c>
      <c r="F95" s="676"/>
      <c r="G95" s="24">
        <f t="shared" si="22"/>
        <v>0.1</v>
      </c>
      <c r="H95" s="676"/>
      <c r="I95" s="24">
        <f t="shared" si="23"/>
        <v>1</v>
      </c>
      <c r="J95" s="676"/>
      <c r="K95" s="24">
        <f t="shared" si="24"/>
        <v>1</v>
      </c>
      <c r="L95" s="676"/>
      <c r="M95" s="24">
        <f t="shared" si="25"/>
        <v>0</v>
      </c>
      <c r="N95" s="676"/>
      <c r="O95" s="24">
        <f t="shared" si="26"/>
        <v>0</v>
      </c>
      <c r="P95" s="676"/>
      <c r="Q95" s="24">
        <f t="shared" si="27"/>
        <v>1</v>
      </c>
      <c r="R95" s="672">
        <f t="shared" si="28"/>
        <v>0</v>
      </c>
      <c r="S95" s="322">
        <f t="shared" si="19"/>
        <v>0</v>
      </c>
    </row>
    <row r="96" spans="1:19">
      <c r="A96" s="155"/>
      <c r="B96" s="57"/>
      <c r="C96" s="24">
        <f t="shared" si="20"/>
        <v>1</v>
      </c>
      <c r="D96" s="676"/>
      <c r="E96" s="24">
        <f t="shared" si="21"/>
        <v>0</v>
      </c>
      <c r="F96" s="676"/>
      <c r="G96" s="24">
        <f t="shared" si="22"/>
        <v>0.1</v>
      </c>
      <c r="H96" s="676"/>
      <c r="I96" s="24">
        <f t="shared" si="23"/>
        <v>1</v>
      </c>
      <c r="J96" s="676"/>
      <c r="K96" s="24">
        <f t="shared" si="24"/>
        <v>1</v>
      </c>
      <c r="L96" s="676"/>
      <c r="M96" s="24">
        <f t="shared" si="25"/>
        <v>0</v>
      </c>
      <c r="N96" s="676"/>
      <c r="O96" s="24">
        <f t="shared" si="26"/>
        <v>0</v>
      </c>
      <c r="P96" s="676"/>
      <c r="Q96" s="24">
        <f t="shared" si="27"/>
        <v>1</v>
      </c>
      <c r="R96" s="672">
        <f t="shared" si="28"/>
        <v>0</v>
      </c>
      <c r="S96" s="322">
        <f t="shared" si="19"/>
        <v>0</v>
      </c>
    </row>
    <row r="97" spans="1:19">
      <c r="A97" s="155"/>
      <c r="B97" s="57"/>
      <c r="C97" s="24">
        <f t="shared" si="20"/>
        <v>1</v>
      </c>
      <c r="D97" s="676"/>
      <c r="E97" s="24">
        <f t="shared" si="21"/>
        <v>0</v>
      </c>
      <c r="F97" s="676"/>
      <c r="G97" s="24">
        <f t="shared" si="22"/>
        <v>0.1</v>
      </c>
      <c r="H97" s="676"/>
      <c r="I97" s="24">
        <f t="shared" si="23"/>
        <v>1</v>
      </c>
      <c r="J97" s="676"/>
      <c r="K97" s="24">
        <f t="shared" si="24"/>
        <v>1</v>
      </c>
      <c r="L97" s="676"/>
      <c r="M97" s="24">
        <f t="shared" si="25"/>
        <v>0</v>
      </c>
      <c r="N97" s="676"/>
      <c r="O97" s="24">
        <f t="shared" si="26"/>
        <v>0</v>
      </c>
      <c r="P97" s="676"/>
      <c r="Q97" s="24">
        <f t="shared" si="27"/>
        <v>1</v>
      </c>
      <c r="R97" s="672">
        <f t="shared" si="28"/>
        <v>0</v>
      </c>
      <c r="S97" s="322">
        <f t="shared" si="19"/>
        <v>0</v>
      </c>
    </row>
    <row r="98" spans="1:19">
      <c r="A98" s="155"/>
      <c r="B98" s="57"/>
      <c r="C98" s="24">
        <f t="shared" si="20"/>
        <v>1</v>
      </c>
      <c r="D98" s="676"/>
      <c r="E98" s="24">
        <f t="shared" si="21"/>
        <v>0</v>
      </c>
      <c r="F98" s="676"/>
      <c r="G98" s="24">
        <f t="shared" si="22"/>
        <v>0.1</v>
      </c>
      <c r="H98" s="676"/>
      <c r="I98" s="24">
        <f t="shared" si="23"/>
        <v>1</v>
      </c>
      <c r="J98" s="676"/>
      <c r="K98" s="24">
        <f t="shared" si="24"/>
        <v>1</v>
      </c>
      <c r="L98" s="676"/>
      <c r="M98" s="24">
        <f t="shared" si="25"/>
        <v>0</v>
      </c>
      <c r="N98" s="676"/>
      <c r="O98" s="24">
        <f t="shared" si="26"/>
        <v>0</v>
      </c>
      <c r="P98" s="676"/>
      <c r="Q98" s="24">
        <f t="shared" si="27"/>
        <v>1</v>
      </c>
      <c r="R98" s="672">
        <f t="shared" si="28"/>
        <v>0</v>
      </c>
      <c r="S98" s="322">
        <f t="shared" si="19"/>
        <v>0</v>
      </c>
    </row>
    <row r="99" spans="1:19">
      <c r="A99" s="155"/>
      <c r="B99" s="57"/>
      <c r="C99" s="24">
        <f t="shared" si="20"/>
        <v>1</v>
      </c>
      <c r="D99" s="676"/>
      <c r="E99" s="24">
        <f t="shared" si="21"/>
        <v>0</v>
      </c>
      <c r="F99" s="676"/>
      <c r="G99" s="24">
        <f t="shared" si="22"/>
        <v>0.1</v>
      </c>
      <c r="H99" s="676"/>
      <c r="I99" s="24">
        <f t="shared" si="23"/>
        <v>1</v>
      </c>
      <c r="J99" s="676"/>
      <c r="K99" s="24">
        <f t="shared" si="24"/>
        <v>1</v>
      </c>
      <c r="L99" s="676"/>
      <c r="M99" s="24">
        <f t="shared" si="25"/>
        <v>0</v>
      </c>
      <c r="N99" s="676"/>
      <c r="O99" s="24">
        <f t="shared" si="26"/>
        <v>0</v>
      </c>
      <c r="P99" s="676"/>
      <c r="Q99" s="24">
        <f t="shared" si="27"/>
        <v>1</v>
      </c>
      <c r="R99" s="672">
        <f t="shared" si="28"/>
        <v>0</v>
      </c>
      <c r="S99" s="322">
        <f t="shared" si="19"/>
        <v>0</v>
      </c>
    </row>
    <row r="100" spans="1:19">
      <c r="A100" s="155"/>
      <c r="B100" s="57"/>
      <c r="C100" s="24">
        <f t="shared" si="20"/>
        <v>1</v>
      </c>
      <c r="D100" s="676"/>
      <c r="E100" s="24">
        <f t="shared" si="21"/>
        <v>0</v>
      </c>
      <c r="F100" s="676"/>
      <c r="G100" s="24">
        <f t="shared" si="22"/>
        <v>0.1</v>
      </c>
      <c r="H100" s="676"/>
      <c r="I100" s="24">
        <f t="shared" si="23"/>
        <v>1</v>
      </c>
      <c r="J100" s="676"/>
      <c r="K100" s="24">
        <f t="shared" si="24"/>
        <v>1</v>
      </c>
      <c r="L100" s="676"/>
      <c r="M100" s="24">
        <f t="shared" si="25"/>
        <v>0</v>
      </c>
      <c r="N100" s="676"/>
      <c r="O100" s="24">
        <f t="shared" si="26"/>
        <v>0</v>
      </c>
      <c r="P100" s="676"/>
      <c r="Q100" s="24">
        <f t="shared" si="27"/>
        <v>1</v>
      </c>
      <c r="R100" s="672">
        <f t="shared" si="28"/>
        <v>0</v>
      </c>
      <c r="S100" s="322">
        <f t="shared" si="19"/>
        <v>0</v>
      </c>
    </row>
    <row r="101" spans="1:19">
      <c r="A101" s="155"/>
      <c r="B101" s="57"/>
      <c r="C101" s="24">
        <f t="shared" si="20"/>
        <v>1</v>
      </c>
      <c r="D101" s="676"/>
      <c r="E101" s="24">
        <f t="shared" si="21"/>
        <v>0</v>
      </c>
      <c r="F101" s="676"/>
      <c r="G101" s="24">
        <f t="shared" si="22"/>
        <v>0.1</v>
      </c>
      <c r="H101" s="676"/>
      <c r="I101" s="24">
        <f t="shared" si="23"/>
        <v>1</v>
      </c>
      <c r="J101" s="676"/>
      <c r="K101" s="24">
        <f t="shared" si="24"/>
        <v>1</v>
      </c>
      <c r="L101" s="676"/>
      <c r="M101" s="24">
        <f t="shared" si="25"/>
        <v>0</v>
      </c>
      <c r="N101" s="676"/>
      <c r="O101" s="24">
        <f t="shared" si="26"/>
        <v>0</v>
      </c>
      <c r="P101" s="676"/>
      <c r="Q101" s="24">
        <f t="shared" si="27"/>
        <v>1</v>
      </c>
      <c r="R101" s="672">
        <f t="shared" si="28"/>
        <v>0</v>
      </c>
      <c r="S101" s="322">
        <f t="shared" si="19"/>
        <v>0</v>
      </c>
    </row>
    <row r="102" spans="1:19">
      <c r="A102" s="155"/>
      <c r="B102" s="57"/>
      <c r="C102" s="24">
        <f t="shared" si="20"/>
        <v>1</v>
      </c>
      <c r="D102" s="676"/>
      <c r="E102" s="24">
        <f t="shared" si="21"/>
        <v>0</v>
      </c>
      <c r="F102" s="676"/>
      <c r="G102" s="24">
        <f t="shared" si="22"/>
        <v>0.1</v>
      </c>
      <c r="H102" s="676"/>
      <c r="I102" s="24">
        <f t="shared" si="23"/>
        <v>1</v>
      </c>
      <c r="J102" s="676"/>
      <c r="K102" s="24">
        <f t="shared" si="24"/>
        <v>1</v>
      </c>
      <c r="L102" s="676"/>
      <c r="M102" s="24">
        <f t="shared" si="25"/>
        <v>0</v>
      </c>
      <c r="N102" s="676"/>
      <c r="O102" s="24">
        <f t="shared" si="26"/>
        <v>0</v>
      </c>
      <c r="P102" s="676"/>
      <c r="Q102" s="24">
        <f t="shared" si="27"/>
        <v>1</v>
      </c>
      <c r="R102" s="672">
        <f t="shared" si="28"/>
        <v>0</v>
      </c>
      <c r="S102" s="322">
        <f t="shared" si="19"/>
        <v>0</v>
      </c>
    </row>
    <row r="103" spans="1:19">
      <c r="A103" s="155"/>
      <c r="B103" s="57"/>
      <c r="C103" s="24">
        <f t="shared" si="20"/>
        <v>1</v>
      </c>
      <c r="D103" s="676"/>
      <c r="E103" s="24">
        <f t="shared" si="21"/>
        <v>0</v>
      </c>
      <c r="F103" s="676"/>
      <c r="G103" s="24">
        <f t="shared" si="22"/>
        <v>0.1</v>
      </c>
      <c r="H103" s="676"/>
      <c r="I103" s="24">
        <f t="shared" si="23"/>
        <v>1</v>
      </c>
      <c r="J103" s="676"/>
      <c r="K103" s="24">
        <f t="shared" si="24"/>
        <v>1</v>
      </c>
      <c r="L103" s="676"/>
      <c r="M103" s="24">
        <f t="shared" si="25"/>
        <v>0</v>
      </c>
      <c r="N103" s="676"/>
      <c r="O103" s="24">
        <f t="shared" si="26"/>
        <v>0</v>
      </c>
      <c r="P103" s="676"/>
      <c r="Q103" s="24">
        <f t="shared" si="27"/>
        <v>1</v>
      </c>
      <c r="R103" s="672">
        <f t="shared" si="28"/>
        <v>0</v>
      </c>
      <c r="S103" s="322">
        <f t="shared" si="19"/>
        <v>0</v>
      </c>
    </row>
    <row r="104" spans="1:19">
      <c r="A104" s="155"/>
      <c r="B104" s="57"/>
      <c r="C104" s="24">
        <f t="shared" si="20"/>
        <v>1</v>
      </c>
      <c r="D104" s="676"/>
      <c r="E104" s="24">
        <f t="shared" si="21"/>
        <v>0</v>
      </c>
      <c r="F104" s="676"/>
      <c r="G104" s="24">
        <f t="shared" si="22"/>
        <v>0.1</v>
      </c>
      <c r="H104" s="676"/>
      <c r="I104" s="24">
        <f t="shared" si="23"/>
        <v>1</v>
      </c>
      <c r="J104" s="676"/>
      <c r="K104" s="24">
        <f t="shared" si="24"/>
        <v>1</v>
      </c>
      <c r="L104" s="676"/>
      <c r="M104" s="24">
        <f t="shared" si="25"/>
        <v>0</v>
      </c>
      <c r="N104" s="676"/>
      <c r="O104" s="24">
        <f t="shared" si="26"/>
        <v>0</v>
      </c>
      <c r="P104" s="676"/>
      <c r="Q104" s="24">
        <f t="shared" si="27"/>
        <v>1</v>
      </c>
      <c r="R104" s="672">
        <f t="shared" si="28"/>
        <v>0</v>
      </c>
      <c r="S104" s="322">
        <f t="shared" si="19"/>
        <v>0</v>
      </c>
    </row>
    <row r="105" spans="1:19">
      <c r="A105" s="155"/>
      <c r="B105" s="57"/>
      <c r="C105" s="24">
        <f t="shared" si="20"/>
        <v>1</v>
      </c>
      <c r="D105" s="676"/>
      <c r="E105" s="24">
        <f t="shared" si="21"/>
        <v>0</v>
      </c>
      <c r="F105" s="676"/>
      <c r="G105" s="24">
        <f t="shared" si="22"/>
        <v>0.1</v>
      </c>
      <c r="H105" s="676"/>
      <c r="I105" s="24">
        <f t="shared" si="23"/>
        <v>1</v>
      </c>
      <c r="J105" s="676"/>
      <c r="K105" s="24">
        <f t="shared" si="24"/>
        <v>1</v>
      </c>
      <c r="L105" s="676"/>
      <c r="M105" s="24">
        <f t="shared" si="25"/>
        <v>0</v>
      </c>
      <c r="N105" s="676"/>
      <c r="O105" s="24">
        <f t="shared" si="26"/>
        <v>0</v>
      </c>
      <c r="P105" s="676"/>
      <c r="Q105" s="24">
        <f t="shared" si="27"/>
        <v>1</v>
      </c>
      <c r="R105" s="672">
        <f t="shared" si="28"/>
        <v>0</v>
      </c>
      <c r="S105" s="322">
        <f t="shared" si="19"/>
        <v>0</v>
      </c>
    </row>
    <row r="106" spans="1:19">
      <c r="A106" s="155"/>
      <c r="B106" s="57"/>
      <c r="C106" s="24">
        <f t="shared" si="20"/>
        <v>1</v>
      </c>
      <c r="D106" s="676"/>
      <c r="E106" s="24">
        <f t="shared" si="21"/>
        <v>0</v>
      </c>
      <c r="F106" s="676"/>
      <c r="G106" s="24">
        <f t="shared" si="22"/>
        <v>0.1</v>
      </c>
      <c r="H106" s="676"/>
      <c r="I106" s="24">
        <f t="shared" si="23"/>
        <v>1</v>
      </c>
      <c r="J106" s="676"/>
      <c r="K106" s="24">
        <f t="shared" si="24"/>
        <v>1</v>
      </c>
      <c r="L106" s="676"/>
      <c r="M106" s="24">
        <f t="shared" si="25"/>
        <v>0</v>
      </c>
      <c r="N106" s="676"/>
      <c r="O106" s="24">
        <f t="shared" si="26"/>
        <v>0</v>
      </c>
      <c r="P106" s="676"/>
      <c r="Q106" s="24">
        <f t="shared" si="27"/>
        <v>1</v>
      </c>
      <c r="R106" s="672">
        <f t="shared" si="28"/>
        <v>0</v>
      </c>
      <c r="S106" s="322">
        <f t="shared" si="19"/>
        <v>0</v>
      </c>
    </row>
    <row r="107" spans="1:19">
      <c r="A107" s="155"/>
      <c r="B107" s="57"/>
      <c r="C107" s="24">
        <f t="shared" si="20"/>
        <v>1</v>
      </c>
      <c r="D107" s="676"/>
      <c r="E107" s="24">
        <f t="shared" si="21"/>
        <v>0</v>
      </c>
      <c r="F107" s="676"/>
      <c r="G107" s="24">
        <f t="shared" si="22"/>
        <v>0.1</v>
      </c>
      <c r="H107" s="676"/>
      <c r="I107" s="24">
        <f t="shared" si="23"/>
        <v>1</v>
      </c>
      <c r="J107" s="676"/>
      <c r="K107" s="24">
        <f t="shared" si="24"/>
        <v>1</v>
      </c>
      <c r="L107" s="676"/>
      <c r="M107" s="24">
        <f t="shared" si="25"/>
        <v>0</v>
      </c>
      <c r="N107" s="676"/>
      <c r="O107" s="24">
        <f t="shared" si="26"/>
        <v>0</v>
      </c>
      <c r="P107" s="676"/>
      <c r="Q107" s="24">
        <f t="shared" si="27"/>
        <v>1</v>
      </c>
      <c r="R107" s="672">
        <f t="shared" si="28"/>
        <v>0</v>
      </c>
      <c r="S107" s="322">
        <f t="shared" si="19"/>
        <v>0</v>
      </c>
    </row>
    <row r="108" spans="1:19">
      <c r="A108" s="155"/>
      <c r="B108" s="57"/>
      <c r="C108" s="24">
        <f t="shared" si="20"/>
        <v>1</v>
      </c>
      <c r="D108" s="676"/>
      <c r="E108" s="24">
        <f t="shared" si="21"/>
        <v>0</v>
      </c>
      <c r="F108" s="676"/>
      <c r="G108" s="24">
        <f t="shared" si="22"/>
        <v>0.1</v>
      </c>
      <c r="H108" s="676"/>
      <c r="I108" s="24">
        <f t="shared" si="23"/>
        <v>1</v>
      </c>
      <c r="J108" s="676"/>
      <c r="K108" s="24">
        <f t="shared" si="24"/>
        <v>1</v>
      </c>
      <c r="L108" s="676"/>
      <c r="M108" s="24">
        <f t="shared" si="25"/>
        <v>0</v>
      </c>
      <c r="N108" s="676"/>
      <c r="O108" s="24">
        <f t="shared" si="26"/>
        <v>0</v>
      </c>
      <c r="P108" s="676"/>
      <c r="Q108" s="24">
        <f t="shared" si="27"/>
        <v>1</v>
      </c>
      <c r="R108" s="672">
        <f t="shared" si="28"/>
        <v>0</v>
      </c>
      <c r="S108" s="322">
        <f t="shared" si="19"/>
        <v>0</v>
      </c>
    </row>
    <row r="109" spans="1:19">
      <c r="A109" s="155"/>
      <c r="B109" s="57"/>
      <c r="C109" s="24">
        <f t="shared" si="20"/>
        <v>1</v>
      </c>
      <c r="D109" s="676"/>
      <c r="E109" s="24">
        <f t="shared" si="21"/>
        <v>0</v>
      </c>
      <c r="F109" s="676"/>
      <c r="G109" s="24">
        <f t="shared" si="22"/>
        <v>0.1</v>
      </c>
      <c r="H109" s="676"/>
      <c r="I109" s="24">
        <f t="shared" si="23"/>
        <v>1</v>
      </c>
      <c r="J109" s="676"/>
      <c r="K109" s="24">
        <f t="shared" si="24"/>
        <v>1</v>
      </c>
      <c r="L109" s="676"/>
      <c r="M109" s="24">
        <f t="shared" si="25"/>
        <v>0</v>
      </c>
      <c r="N109" s="676"/>
      <c r="O109" s="24">
        <f t="shared" si="26"/>
        <v>0</v>
      </c>
      <c r="P109" s="676"/>
      <c r="Q109" s="24">
        <f t="shared" si="27"/>
        <v>1</v>
      </c>
      <c r="R109" s="672">
        <f t="shared" si="28"/>
        <v>0</v>
      </c>
      <c r="S109" s="322">
        <f t="shared" si="19"/>
        <v>0</v>
      </c>
    </row>
    <row r="110" spans="1:19">
      <c r="A110" s="155"/>
      <c r="B110" s="57"/>
      <c r="C110" s="24">
        <f t="shared" si="20"/>
        <v>1</v>
      </c>
      <c r="D110" s="676"/>
      <c r="E110" s="24">
        <f t="shared" si="21"/>
        <v>0</v>
      </c>
      <c r="F110" s="676"/>
      <c r="G110" s="24">
        <f t="shared" si="22"/>
        <v>0.1</v>
      </c>
      <c r="H110" s="676"/>
      <c r="I110" s="24">
        <f t="shared" si="23"/>
        <v>1</v>
      </c>
      <c r="J110" s="676"/>
      <c r="K110" s="24">
        <f t="shared" si="24"/>
        <v>1</v>
      </c>
      <c r="L110" s="676"/>
      <c r="M110" s="24">
        <f t="shared" si="25"/>
        <v>0</v>
      </c>
      <c r="N110" s="676"/>
      <c r="O110" s="24">
        <f t="shared" si="26"/>
        <v>0</v>
      </c>
      <c r="P110" s="676"/>
      <c r="Q110" s="24">
        <f t="shared" si="27"/>
        <v>1</v>
      </c>
      <c r="R110" s="672">
        <f t="shared" si="28"/>
        <v>0</v>
      </c>
      <c r="S110" s="322">
        <f t="shared" si="19"/>
        <v>0</v>
      </c>
    </row>
    <row r="111" spans="1:19">
      <c r="A111" s="155"/>
      <c r="B111" s="57"/>
      <c r="C111" s="24">
        <f t="shared" si="20"/>
        <v>1</v>
      </c>
      <c r="D111" s="676"/>
      <c r="E111" s="24">
        <f t="shared" si="21"/>
        <v>0</v>
      </c>
      <c r="F111" s="676"/>
      <c r="G111" s="24">
        <f t="shared" si="22"/>
        <v>0.1</v>
      </c>
      <c r="H111" s="676"/>
      <c r="I111" s="24">
        <f t="shared" si="23"/>
        <v>1</v>
      </c>
      <c r="J111" s="676"/>
      <c r="K111" s="24">
        <f t="shared" si="24"/>
        <v>1</v>
      </c>
      <c r="L111" s="676"/>
      <c r="M111" s="24">
        <f t="shared" si="25"/>
        <v>0</v>
      </c>
      <c r="N111" s="676"/>
      <c r="O111" s="24">
        <f t="shared" si="26"/>
        <v>0</v>
      </c>
      <c r="P111" s="676"/>
      <c r="Q111" s="24">
        <f t="shared" si="27"/>
        <v>1</v>
      </c>
      <c r="R111" s="672">
        <f t="shared" si="28"/>
        <v>0</v>
      </c>
      <c r="S111" s="322">
        <f t="shared" si="19"/>
        <v>0</v>
      </c>
    </row>
    <row r="112" spans="1:19">
      <c r="A112" s="155"/>
      <c r="B112" s="57"/>
      <c r="C112" s="24">
        <f t="shared" si="20"/>
        <v>1</v>
      </c>
      <c r="D112" s="676"/>
      <c r="E112" s="24">
        <f t="shared" si="21"/>
        <v>0</v>
      </c>
      <c r="F112" s="676"/>
      <c r="G112" s="24">
        <f t="shared" si="22"/>
        <v>0.1</v>
      </c>
      <c r="H112" s="676"/>
      <c r="I112" s="24">
        <f t="shared" si="23"/>
        <v>1</v>
      </c>
      <c r="J112" s="676"/>
      <c r="K112" s="24">
        <f t="shared" si="24"/>
        <v>1</v>
      </c>
      <c r="L112" s="676"/>
      <c r="M112" s="24">
        <f t="shared" si="25"/>
        <v>0</v>
      </c>
      <c r="N112" s="676"/>
      <c r="O112" s="24">
        <f t="shared" si="26"/>
        <v>0</v>
      </c>
      <c r="P112" s="676"/>
      <c r="Q112" s="24">
        <f t="shared" si="27"/>
        <v>1</v>
      </c>
      <c r="R112" s="672">
        <f t="shared" si="28"/>
        <v>0</v>
      </c>
      <c r="S112" s="322">
        <f t="shared" si="19"/>
        <v>0</v>
      </c>
    </row>
    <row r="113" spans="1:19">
      <c r="A113" s="155"/>
      <c r="B113" s="57"/>
      <c r="C113" s="24">
        <f t="shared" si="20"/>
        <v>1</v>
      </c>
      <c r="D113" s="676"/>
      <c r="E113" s="24">
        <f t="shared" si="21"/>
        <v>0</v>
      </c>
      <c r="F113" s="676"/>
      <c r="G113" s="24">
        <f t="shared" si="22"/>
        <v>0.1</v>
      </c>
      <c r="H113" s="676"/>
      <c r="I113" s="24">
        <f t="shared" si="23"/>
        <v>1</v>
      </c>
      <c r="J113" s="676"/>
      <c r="K113" s="24">
        <f t="shared" si="24"/>
        <v>1</v>
      </c>
      <c r="L113" s="676"/>
      <c r="M113" s="24">
        <f t="shared" si="25"/>
        <v>0</v>
      </c>
      <c r="N113" s="676"/>
      <c r="O113" s="24">
        <f t="shared" si="26"/>
        <v>0</v>
      </c>
      <c r="P113" s="676"/>
      <c r="Q113" s="24">
        <f t="shared" si="27"/>
        <v>1</v>
      </c>
      <c r="R113" s="672">
        <f t="shared" si="28"/>
        <v>0</v>
      </c>
      <c r="S113" s="322">
        <f t="shared" si="19"/>
        <v>0</v>
      </c>
    </row>
    <row r="114" spans="1:19">
      <c r="A114" s="155"/>
      <c r="B114" s="57"/>
      <c r="C114" s="24">
        <f t="shared" si="20"/>
        <v>1</v>
      </c>
      <c r="D114" s="676"/>
      <c r="E114" s="24">
        <f t="shared" si="21"/>
        <v>0</v>
      </c>
      <c r="F114" s="676"/>
      <c r="G114" s="24">
        <f t="shared" si="22"/>
        <v>0.1</v>
      </c>
      <c r="H114" s="676"/>
      <c r="I114" s="24">
        <f t="shared" si="23"/>
        <v>1</v>
      </c>
      <c r="J114" s="676"/>
      <c r="K114" s="24">
        <f t="shared" si="24"/>
        <v>1</v>
      </c>
      <c r="L114" s="676"/>
      <c r="M114" s="24">
        <f t="shared" si="25"/>
        <v>0</v>
      </c>
      <c r="N114" s="676"/>
      <c r="O114" s="24">
        <f t="shared" si="26"/>
        <v>0</v>
      </c>
      <c r="P114" s="676"/>
      <c r="Q114" s="24">
        <f t="shared" si="27"/>
        <v>1</v>
      </c>
      <c r="R114" s="672">
        <f t="shared" si="28"/>
        <v>0</v>
      </c>
      <c r="S114" s="322">
        <f t="shared" si="19"/>
        <v>0</v>
      </c>
    </row>
    <row r="115" spans="1:19">
      <c r="A115" s="155"/>
      <c r="B115" s="57"/>
      <c r="C115" s="24">
        <f t="shared" si="20"/>
        <v>1</v>
      </c>
      <c r="D115" s="676"/>
      <c r="E115" s="24">
        <f t="shared" si="21"/>
        <v>0</v>
      </c>
      <c r="F115" s="676"/>
      <c r="G115" s="24">
        <f t="shared" si="22"/>
        <v>0.1</v>
      </c>
      <c r="H115" s="676"/>
      <c r="I115" s="24">
        <f t="shared" si="23"/>
        <v>1</v>
      </c>
      <c r="J115" s="676"/>
      <c r="K115" s="24">
        <f t="shared" si="24"/>
        <v>1</v>
      </c>
      <c r="L115" s="676"/>
      <c r="M115" s="24">
        <f t="shared" si="25"/>
        <v>0</v>
      </c>
      <c r="N115" s="676"/>
      <c r="O115" s="24">
        <f t="shared" si="26"/>
        <v>0</v>
      </c>
      <c r="P115" s="676"/>
      <c r="Q115" s="24">
        <f t="shared" si="27"/>
        <v>1</v>
      </c>
      <c r="R115" s="672">
        <f t="shared" si="28"/>
        <v>0</v>
      </c>
      <c r="S115" s="322">
        <f t="shared" si="19"/>
        <v>0</v>
      </c>
    </row>
    <row r="116" spans="1:19">
      <c r="A116" s="155"/>
      <c r="B116" s="57"/>
      <c r="C116" s="24">
        <f t="shared" si="20"/>
        <v>1</v>
      </c>
      <c r="D116" s="676"/>
      <c r="E116" s="24">
        <f t="shared" si="21"/>
        <v>0</v>
      </c>
      <c r="F116" s="676"/>
      <c r="G116" s="24">
        <f t="shared" si="22"/>
        <v>0.1</v>
      </c>
      <c r="H116" s="676"/>
      <c r="I116" s="24">
        <f t="shared" si="23"/>
        <v>1</v>
      </c>
      <c r="J116" s="676"/>
      <c r="K116" s="24">
        <f t="shared" si="24"/>
        <v>1</v>
      </c>
      <c r="L116" s="676"/>
      <c r="M116" s="24">
        <f t="shared" si="25"/>
        <v>0</v>
      </c>
      <c r="N116" s="676"/>
      <c r="O116" s="24">
        <f t="shared" si="26"/>
        <v>0</v>
      </c>
      <c r="P116" s="676"/>
      <c r="Q116" s="24">
        <f t="shared" si="27"/>
        <v>1</v>
      </c>
      <c r="R116" s="672">
        <f t="shared" si="28"/>
        <v>0</v>
      </c>
      <c r="S116" s="322">
        <f t="shared" si="19"/>
        <v>0</v>
      </c>
    </row>
    <row r="117" spans="1:19">
      <c r="A117" s="155"/>
      <c r="B117" s="57"/>
      <c r="C117" s="24">
        <f t="shared" si="20"/>
        <v>1</v>
      </c>
      <c r="D117" s="676"/>
      <c r="E117" s="24">
        <f t="shared" si="21"/>
        <v>0</v>
      </c>
      <c r="F117" s="676"/>
      <c r="G117" s="24">
        <f t="shared" si="22"/>
        <v>0.1</v>
      </c>
      <c r="H117" s="676"/>
      <c r="I117" s="24">
        <f t="shared" si="23"/>
        <v>1</v>
      </c>
      <c r="J117" s="676"/>
      <c r="K117" s="24">
        <f t="shared" si="24"/>
        <v>1</v>
      </c>
      <c r="L117" s="676"/>
      <c r="M117" s="24">
        <f t="shared" si="25"/>
        <v>0</v>
      </c>
      <c r="N117" s="676"/>
      <c r="O117" s="24">
        <f t="shared" si="26"/>
        <v>0</v>
      </c>
      <c r="P117" s="676"/>
      <c r="Q117" s="24">
        <f t="shared" si="27"/>
        <v>1</v>
      </c>
      <c r="R117" s="672">
        <f t="shared" si="28"/>
        <v>0</v>
      </c>
      <c r="S117" s="322">
        <f t="shared" si="19"/>
        <v>0</v>
      </c>
    </row>
    <row r="118" spans="1:19">
      <c r="A118" s="155"/>
      <c r="B118" s="57"/>
      <c r="C118" s="24">
        <f t="shared" si="20"/>
        <v>1</v>
      </c>
      <c r="D118" s="676"/>
      <c r="E118" s="24">
        <f t="shared" si="21"/>
        <v>0</v>
      </c>
      <c r="F118" s="676"/>
      <c r="G118" s="24">
        <f t="shared" si="22"/>
        <v>0.1</v>
      </c>
      <c r="H118" s="676"/>
      <c r="I118" s="24">
        <f t="shared" si="23"/>
        <v>1</v>
      </c>
      <c r="J118" s="676"/>
      <c r="K118" s="24">
        <f t="shared" si="24"/>
        <v>1</v>
      </c>
      <c r="L118" s="676"/>
      <c r="M118" s="24">
        <f t="shared" si="25"/>
        <v>0</v>
      </c>
      <c r="N118" s="676"/>
      <c r="O118" s="24">
        <f t="shared" si="26"/>
        <v>0</v>
      </c>
      <c r="P118" s="676"/>
      <c r="Q118" s="24">
        <f t="shared" si="27"/>
        <v>1</v>
      </c>
      <c r="R118" s="672">
        <f t="shared" si="28"/>
        <v>0</v>
      </c>
      <c r="S118" s="322">
        <f t="shared" si="19"/>
        <v>0</v>
      </c>
    </row>
    <row r="119" spans="1:19">
      <c r="A119" s="155"/>
      <c r="B119" s="57"/>
      <c r="C119" s="24">
        <f t="shared" si="20"/>
        <v>1</v>
      </c>
      <c r="D119" s="676"/>
      <c r="E119" s="24">
        <f t="shared" si="21"/>
        <v>0</v>
      </c>
      <c r="F119" s="676"/>
      <c r="G119" s="24">
        <f t="shared" si="22"/>
        <v>0.1</v>
      </c>
      <c r="H119" s="676"/>
      <c r="I119" s="24">
        <f t="shared" si="23"/>
        <v>1</v>
      </c>
      <c r="J119" s="676"/>
      <c r="K119" s="24">
        <f t="shared" si="24"/>
        <v>1</v>
      </c>
      <c r="L119" s="676"/>
      <c r="M119" s="24">
        <f t="shared" si="25"/>
        <v>0</v>
      </c>
      <c r="N119" s="676"/>
      <c r="O119" s="24">
        <f t="shared" si="26"/>
        <v>0</v>
      </c>
      <c r="P119" s="676"/>
      <c r="Q119" s="24">
        <f t="shared" si="27"/>
        <v>1</v>
      </c>
      <c r="R119" s="672">
        <f t="shared" si="28"/>
        <v>0</v>
      </c>
      <c r="S119" s="322">
        <f t="shared" si="19"/>
        <v>0</v>
      </c>
    </row>
    <row r="120" spans="1:19">
      <c r="A120" s="155"/>
      <c r="B120" s="57"/>
      <c r="C120" s="24">
        <f t="shared" si="20"/>
        <v>1</v>
      </c>
      <c r="D120" s="676"/>
      <c r="E120" s="24">
        <f t="shared" si="21"/>
        <v>0</v>
      </c>
      <c r="F120" s="676"/>
      <c r="G120" s="24">
        <f t="shared" si="22"/>
        <v>0.1</v>
      </c>
      <c r="H120" s="676"/>
      <c r="I120" s="24">
        <f t="shared" si="23"/>
        <v>1</v>
      </c>
      <c r="J120" s="676"/>
      <c r="K120" s="24">
        <f t="shared" si="24"/>
        <v>1</v>
      </c>
      <c r="L120" s="676"/>
      <c r="M120" s="24">
        <f t="shared" si="25"/>
        <v>0</v>
      </c>
      <c r="N120" s="676"/>
      <c r="O120" s="24">
        <f t="shared" si="26"/>
        <v>0</v>
      </c>
      <c r="P120" s="676"/>
      <c r="Q120" s="24">
        <f t="shared" si="27"/>
        <v>1</v>
      </c>
      <c r="R120" s="672">
        <f t="shared" si="28"/>
        <v>0</v>
      </c>
      <c r="S120" s="322">
        <f t="shared" si="19"/>
        <v>0</v>
      </c>
    </row>
    <row r="121" spans="1:19">
      <c r="A121" s="155"/>
      <c r="B121" s="57"/>
      <c r="C121" s="24">
        <f t="shared" si="20"/>
        <v>1</v>
      </c>
      <c r="D121" s="676"/>
      <c r="E121" s="24">
        <f t="shared" si="21"/>
        <v>0</v>
      </c>
      <c r="F121" s="676"/>
      <c r="G121" s="24">
        <f t="shared" si="22"/>
        <v>0.1</v>
      </c>
      <c r="H121" s="676"/>
      <c r="I121" s="24">
        <f t="shared" si="23"/>
        <v>1</v>
      </c>
      <c r="J121" s="676"/>
      <c r="K121" s="24">
        <f t="shared" si="24"/>
        <v>1</v>
      </c>
      <c r="L121" s="676"/>
      <c r="M121" s="24">
        <f t="shared" si="25"/>
        <v>0</v>
      </c>
      <c r="N121" s="676"/>
      <c r="O121" s="24">
        <f t="shared" si="26"/>
        <v>0</v>
      </c>
      <c r="P121" s="676"/>
      <c r="Q121" s="24">
        <f t="shared" si="27"/>
        <v>1</v>
      </c>
      <c r="R121" s="672">
        <f t="shared" si="28"/>
        <v>0</v>
      </c>
      <c r="S121" s="322">
        <f t="shared" si="19"/>
        <v>0</v>
      </c>
    </row>
    <row r="122" spans="1:19">
      <c r="A122" s="155"/>
      <c r="B122" s="57"/>
      <c r="C122" s="24">
        <f t="shared" si="20"/>
        <v>1</v>
      </c>
      <c r="D122" s="676"/>
      <c r="E122" s="24">
        <f t="shared" si="21"/>
        <v>0</v>
      </c>
      <c r="F122" s="676"/>
      <c r="G122" s="24">
        <f t="shared" si="22"/>
        <v>0.1</v>
      </c>
      <c r="H122" s="676"/>
      <c r="I122" s="24">
        <f t="shared" si="23"/>
        <v>1</v>
      </c>
      <c r="J122" s="676"/>
      <c r="K122" s="24">
        <f t="shared" si="24"/>
        <v>1</v>
      </c>
      <c r="L122" s="676"/>
      <c r="M122" s="24">
        <f t="shared" si="25"/>
        <v>0</v>
      </c>
      <c r="N122" s="676"/>
      <c r="O122" s="24">
        <f t="shared" si="26"/>
        <v>0</v>
      </c>
      <c r="P122" s="676"/>
      <c r="Q122" s="24">
        <f t="shared" si="27"/>
        <v>1</v>
      </c>
      <c r="R122" s="672">
        <f t="shared" si="28"/>
        <v>0</v>
      </c>
      <c r="S122" s="322">
        <f t="shared" si="19"/>
        <v>0</v>
      </c>
    </row>
    <row r="123" spans="1:19">
      <c r="A123" s="155"/>
      <c r="B123" s="57"/>
      <c r="C123" s="24">
        <f t="shared" si="20"/>
        <v>1</v>
      </c>
      <c r="D123" s="676"/>
      <c r="E123" s="24">
        <f t="shared" si="21"/>
        <v>0</v>
      </c>
      <c r="F123" s="676"/>
      <c r="G123" s="24">
        <f t="shared" si="22"/>
        <v>0.1</v>
      </c>
      <c r="H123" s="676"/>
      <c r="I123" s="24">
        <f t="shared" si="23"/>
        <v>1</v>
      </c>
      <c r="J123" s="676"/>
      <c r="K123" s="24">
        <f t="shared" si="24"/>
        <v>1</v>
      </c>
      <c r="L123" s="676"/>
      <c r="M123" s="24">
        <f t="shared" si="25"/>
        <v>0</v>
      </c>
      <c r="N123" s="676"/>
      <c r="O123" s="24">
        <f t="shared" si="26"/>
        <v>0</v>
      </c>
      <c r="P123" s="676"/>
      <c r="Q123" s="24">
        <f t="shared" si="27"/>
        <v>1</v>
      </c>
      <c r="R123" s="672">
        <f t="shared" si="28"/>
        <v>0</v>
      </c>
      <c r="S123" s="322">
        <f t="shared" ref="S123:S186" si="29">ROUND(R123*B123/10000,0)</f>
        <v>0</v>
      </c>
    </row>
    <row r="124" spans="1:19">
      <c r="A124" s="155"/>
      <c r="B124" s="57"/>
      <c r="C124" s="24">
        <f t="shared" si="20"/>
        <v>1</v>
      </c>
      <c r="D124" s="676"/>
      <c r="E124" s="24">
        <f t="shared" si="21"/>
        <v>0</v>
      </c>
      <c r="F124" s="676"/>
      <c r="G124" s="24">
        <f t="shared" si="22"/>
        <v>0.1</v>
      </c>
      <c r="H124" s="676"/>
      <c r="I124" s="24">
        <f t="shared" si="23"/>
        <v>1</v>
      </c>
      <c r="J124" s="676"/>
      <c r="K124" s="24">
        <f t="shared" si="24"/>
        <v>1</v>
      </c>
      <c r="L124" s="676"/>
      <c r="M124" s="24">
        <f t="shared" si="25"/>
        <v>0</v>
      </c>
      <c r="N124" s="676"/>
      <c r="O124" s="24">
        <f t="shared" si="26"/>
        <v>0</v>
      </c>
      <c r="P124" s="676"/>
      <c r="Q124" s="24">
        <f t="shared" si="27"/>
        <v>1</v>
      </c>
      <c r="R124" s="672">
        <f t="shared" si="28"/>
        <v>0</v>
      </c>
      <c r="S124" s="322">
        <f t="shared" si="29"/>
        <v>0</v>
      </c>
    </row>
    <row r="125" spans="1:19">
      <c r="A125" s="155"/>
      <c r="B125" s="57"/>
      <c r="C125" s="24">
        <f t="shared" si="20"/>
        <v>1</v>
      </c>
      <c r="D125" s="676"/>
      <c r="E125" s="24">
        <f t="shared" si="21"/>
        <v>0</v>
      </c>
      <c r="F125" s="676"/>
      <c r="G125" s="24">
        <f t="shared" si="22"/>
        <v>0.1</v>
      </c>
      <c r="H125" s="676"/>
      <c r="I125" s="24">
        <f t="shared" si="23"/>
        <v>1</v>
      </c>
      <c r="J125" s="676"/>
      <c r="K125" s="24">
        <f t="shared" si="24"/>
        <v>1</v>
      </c>
      <c r="L125" s="676"/>
      <c r="M125" s="24">
        <f t="shared" si="25"/>
        <v>0</v>
      </c>
      <c r="N125" s="676"/>
      <c r="O125" s="24">
        <f t="shared" si="26"/>
        <v>0</v>
      </c>
      <c r="P125" s="676"/>
      <c r="Q125" s="24">
        <f t="shared" si="27"/>
        <v>1</v>
      </c>
      <c r="R125" s="672">
        <f t="shared" si="28"/>
        <v>0</v>
      </c>
      <c r="S125" s="322">
        <f t="shared" si="29"/>
        <v>0</v>
      </c>
    </row>
    <row r="126" spans="1:19">
      <c r="A126" s="155"/>
      <c r="B126" s="57"/>
      <c r="C126" s="24">
        <f t="shared" si="20"/>
        <v>1</v>
      </c>
      <c r="D126" s="676"/>
      <c r="E126" s="24">
        <f t="shared" si="21"/>
        <v>0</v>
      </c>
      <c r="F126" s="676"/>
      <c r="G126" s="24">
        <f t="shared" si="22"/>
        <v>0.1</v>
      </c>
      <c r="H126" s="676"/>
      <c r="I126" s="24">
        <f t="shared" si="23"/>
        <v>1</v>
      </c>
      <c r="J126" s="676"/>
      <c r="K126" s="24">
        <f t="shared" si="24"/>
        <v>1</v>
      </c>
      <c r="L126" s="676"/>
      <c r="M126" s="24">
        <f t="shared" si="25"/>
        <v>0</v>
      </c>
      <c r="N126" s="676"/>
      <c r="O126" s="24">
        <f t="shared" si="26"/>
        <v>0</v>
      </c>
      <c r="P126" s="676"/>
      <c r="Q126" s="24">
        <f t="shared" si="27"/>
        <v>1</v>
      </c>
      <c r="R126" s="672">
        <f t="shared" si="28"/>
        <v>0</v>
      </c>
      <c r="S126" s="322">
        <f t="shared" si="29"/>
        <v>0</v>
      </c>
    </row>
    <row r="127" spans="1:19">
      <c r="A127" s="155"/>
      <c r="B127" s="57"/>
      <c r="C127" s="24">
        <f t="shared" si="20"/>
        <v>1</v>
      </c>
      <c r="D127" s="676"/>
      <c r="E127" s="24">
        <f t="shared" si="21"/>
        <v>0</v>
      </c>
      <c r="F127" s="676"/>
      <c r="G127" s="24">
        <f t="shared" si="22"/>
        <v>0.1</v>
      </c>
      <c r="H127" s="676"/>
      <c r="I127" s="24">
        <f t="shared" si="23"/>
        <v>1</v>
      </c>
      <c r="J127" s="676"/>
      <c r="K127" s="24">
        <f t="shared" si="24"/>
        <v>1</v>
      </c>
      <c r="L127" s="676"/>
      <c r="M127" s="24">
        <f t="shared" si="25"/>
        <v>0</v>
      </c>
      <c r="N127" s="676"/>
      <c r="O127" s="24">
        <f t="shared" si="26"/>
        <v>0</v>
      </c>
      <c r="P127" s="676"/>
      <c r="Q127" s="24">
        <f t="shared" si="27"/>
        <v>1</v>
      </c>
      <c r="R127" s="672">
        <f t="shared" si="28"/>
        <v>0</v>
      </c>
      <c r="S127" s="322">
        <f t="shared" si="29"/>
        <v>0</v>
      </c>
    </row>
    <row r="128" spans="1:19">
      <c r="A128" s="155"/>
      <c r="B128" s="57"/>
      <c r="C128" s="24">
        <f t="shared" si="20"/>
        <v>1</v>
      </c>
      <c r="D128" s="676"/>
      <c r="E128" s="24">
        <f t="shared" si="21"/>
        <v>0</v>
      </c>
      <c r="F128" s="676"/>
      <c r="G128" s="24">
        <f t="shared" si="22"/>
        <v>0.1</v>
      </c>
      <c r="H128" s="676"/>
      <c r="I128" s="24">
        <f t="shared" si="23"/>
        <v>1</v>
      </c>
      <c r="J128" s="676"/>
      <c r="K128" s="24">
        <f t="shared" si="24"/>
        <v>1</v>
      </c>
      <c r="L128" s="676"/>
      <c r="M128" s="24">
        <f t="shared" si="25"/>
        <v>0</v>
      </c>
      <c r="N128" s="676"/>
      <c r="O128" s="24">
        <f t="shared" si="26"/>
        <v>0</v>
      </c>
      <c r="P128" s="676"/>
      <c r="Q128" s="24">
        <f t="shared" si="27"/>
        <v>1</v>
      </c>
      <c r="R128" s="672">
        <f t="shared" si="28"/>
        <v>0</v>
      </c>
      <c r="S128" s="322">
        <f t="shared" si="29"/>
        <v>0</v>
      </c>
    </row>
    <row r="129" spans="1:19">
      <c r="A129" s="155"/>
      <c r="B129" s="57"/>
      <c r="C129" s="24">
        <f t="shared" si="20"/>
        <v>1</v>
      </c>
      <c r="D129" s="676"/>
      <c r="E129" s="24">
        <f t="shared" si="21"/>
        <v>0</v>
      </c>
      <c r="F129" s="676"/>
      <c r="G129" s="24">
        <f t="shared" si="22"/>
        <v>0.1</v>
      </c>
      <c r="H129" s="676"/>
      <c r="I129" s="24">
        <f t="shared" si="23"/>
        <v>1</v>
      </c>
      <c r="J129" s="676"/>
      <c r="K129" s="24">
        <f t="shared" si="24"/>
        <v>1</v>
      </c>
      <c r="L129" s="676"/>
      <c r="M129" s="24">
        <f t="shared" si="25"/>
        <v>0</v>
      </c>
      <c r="N129" s="676"/>
      <c r="O129" s="24">
        <f t="shared" si="26"/>
        <v>0</v>
      </c>
      <c r="P129" s="676"/>
      <c r="Q129" s="24">
        <f t="shared" si="27"/>
        <v>1</v>
      </c>
      <c r="R129" s="672">
        <f t="shared" si="28"/>
        <v>0</v>
      </c>
      <c r="S129" s="322">
        <f t="shared" si="29"/>
        <v>0</v>
      </c>
    </row>
    <row r="130" spans="1:19">
      <c r="A130" s="155"/>
      <c r="B130" s="57"/>
      <c r="C130" s="24">
        <f t="shared" si="20"/>
        <v>1</v>
      </c>
      <c r="D130" s="676"/>
      <c r="E130" s="24">
        <f t="shared" si="21"/>
        <v>0</v>
      </c>
      <c r="F130" s="676"/>
      <c r="G130" s="24">
        <f t="shared" si="22"/>
        <v>0.1</v>
      </c>
      <c r="H130" s="676"/>
      <c r="I130" s="24">
        <f t="shared" si="23"/>
        <v>1</v>
      </c>
      <c r="J130" s="676"/>
      <c r="K130" s="24">
        <f t="shared" si="24"/>
        <v>1</v>
      </c>
      <c r="L130" s="676"/>
      <c r="M130" s="24">
        <f t="shared" si="25"/>
        <v>0</v>
      </c>
      <c r="N130" s="676"/>
      <c r="O130" s="24">
        <f t="shared" si="26"/>
        <v>0</v>
      </c>
      <c r="P130" s="676"/>
      <c r="Q130" s="24">
        <f t="shared" si="27"/>
        <v>1</v>
      </c>
      <c r="R130" s="672">
        <f t="shared" si="28"/>
        <v>0</v>
      </c>
      <c r="S130" s="322">
        <f t="shared" si="29"/>
        <v>0</v>
      </c>
    </row>
    <row r="131" spans="1:19">
      <c r="A131" s="155"/>
      <c r="B131" s="57"/>
      <c r="C131" s="24">
        <f t="shared" si="20"/>
        <v>1</v>
      </c>
      <c r="D131" s="676"/>
      <c r="E131" s="24">
        <f t="shared" si="21"/>
        <v>0</v>
      </c>
      <c r="F131" s="676"/>
      <c r="G131" s="24">
        <f t="shared" si="22"/>
        <v>0.1</v>
      </c>
      <c r="H131" s="676"/>
      <c r="I131" s="24">
        <f t="shared" si="23"/>
        <v>1</v>
      </c>
      <c r="J131" s="676"/>
      <c r="K131" s="24">
        <f t="shared" si="24"/>
        <v>1</v>
      </c>
      <c r="L131" s="676"/>
      <c r="M131" s="24">
        <f t="shared" si="25"/>
        <v>0</v>
      </c>
      <c r="N131" s="676"/>
      <c r="O131" s="24">
        <f t="shared" si="26"/>
        <v>0</v>
      </c>
      <c r="P131" s="676"/>
      <c r="Q131" s="24">
        <f t="shared" si="27"/>
        <v>1</v>
      </c>
      <c r="R131" s="672">
        <f t="shared" si="28"/>
        <v>0</v>
      </c>
      <c r="S131" s="322">
        <f t="shared" si="29"/>
        <v>0</v>
      </c>
    </row>
    <row r="132" spans="1:19">
      <c r="A132" s="155"/>
      <c r="B132" s="57"/>
      <c r="C132" s="24">
        <f t="shared" si="20"/>
        <v>1</v>
      </c>
      <c r="D132" s="676"/>
      <c r="E132" s="24">
        <f t="shared" si="21"/>
        <v>0</v>
      </c>
      <c r="F132" s="676"/>
      <c r="G132" s="24">
        <f t="shared" si="22"/>
        <v>0.1</v>
      </c>
      <c r="H132" s="676"/>
      <c r="I132" s="24">
        <f t="shared" si="23"/>
        <v>1</v>
      </c>
      <c r="J132" s="676"/>
      <c r="K132" s="24">
        <f t="shared" si="24"/>
        <v>1</v>
      </c>
      <c r="L132" s="676"/>
      <c r="M132" s="24">
        <f t="shared" si="25"/>
        <v>0</v>
      </c>
      <c r="N132" s="676"/>
      <c r="O132" s="24">
        <f t="shared" si="26"/>
        <v>0</v>
      </c>
      <c r="P132" s="676"/>
      <c r="Q132" s="24">
        <f t="shared" si="27"/>
        <v>1</v>
      </c>
      <c r="R132" s="672">
        <f t="shared" si="28"/>
        <v>0</v>
      </c>
      <c r="S132" s="322">
        <f t="shared" si="29"/>
        <v>0</v>
      </c>
    </row>
    <row r="133" spans="1:19">
      <c r="A133" s="155"/>
      <c r="B133" s="57"/>
      <c r="C133" s="24">
        <f t="shared" si="20"/>
        <v>1</v>
      </c>
      <c r="D133" s="676"/>
      <c r="E133" s="24">
        <f t="shared" si="21"/>
        <v>0</v>
      </c>
      <c r="F133" s="676"/>
      <c r="G133" s="24">
        <f t="shared" si="22"/>
        <v>0.1</v>
      </c>
      <c r="H133" s="676"/>
      <c r="I133" s="24">
        <f t="shared" si="23"/>
        <v>1</v>
      </c>
      <c r="J133" s="676"/>
      <c r="K133" s="24">
        <f t="shared" si="24"/>
        <v>1</v>
      </c>
      <c r="L133" s="676"/>
      <c r="M133" s="24">
        <f t="shared" si="25"/>
        <v>0</v>
      </c>
      <c r="N133" s="676"/>
      <c r="O133" s="24">
        <f t="shared" si="26"/>
        <v>0</v>
      </c>
      <c r="P133" s="676"/>
      <c r="Q133" s="24">
        <f t="shared" si="27"/>
        <v>1</v>
      </c>
      <c r="R133" s="672">
        <f t="shared" si="28"/>
        <v>0</v>
      </c>
      <c r="S133" s="322">
        <f t="shared" si="29"/>
        <v>0</v>
      </c>
    </row>
    <row r="134" spans="1:19">
      <c r="A134" s="155"/>
      <c r="B134" s="57"/>
      <c r="C134" s="24">
        <f t="shared" si="20"/>
        <v>1</v>
      </c>
      <c r="D134" s="676"/>
      <c r="E134" s="24">
        <f t="shared" si="21"/>
        <v>0</v>
      </c>
      <c r="F134" s="676"/>
      <c r="G134" s="24">
        <f t="shared" si="22"/>
        <v>0.1</v>
      </c>
      <c r="H134" s="676"/>
      <c r="I134" s="24">
        <f t="shared" si="23"/>
        <v>1</v>
      </c>
      <c r="J134" s="676"/>
      <c r="K134" s="24">
        <f t="shared" si="24"/>
        <v>1</v>
      </c>
      <c r="L134" s="676"/>
      <c r="M134" s="24">
        <f t="shared" si="25"/>
        <v>0</v>
      </c>
      <c r="N134" s="676"/>
      <c r="O134" s="24">
        <f t="shared" si="26"/>
        <v>0</v>
      </c>
      <c r="P134" s="676"/>
      <c r="Q134" s="24">
        <f t="shared" si="27"/>
        <v>1</v>
      </c>
      <c r="R134" s="672">
        <f t="shared" si="28"/>
        <v>0</v>
      </c>
      <c r="S134" s="322">
        <f t="shared" si="29"/>
        <v>0</v>
      </c>
    </row>
    <row r="135" spans="1:19">
      <c r="A135" s="155"/>
      <c r="B135" s="57"/>
      <c r="C135" s="24">
        <f t="shared" si="20"/>
        <v>1</v>
      </c>
      <c r="D135" s="676"/>
      <c r="E135" s="24">
        <f t="shared" si="21"/>
        <v>0</v>
      </c>
      <c r="F135" s="676"/>
      <c r="G135" s="24">
        <f t="shared" si="22"/>
        <v>0.1</v>
      </c>
      <c r="H135" s="676"/>
      <c r="I135" s="24">
        <f t="shared" si="23"/>
        <v>1</v>
      </c>
      <c r="J135" s="676"/>
      <c r="K135" s="24">
        <f t="shared" si="24"/>
        <v>1</v>
      </c>
      <c r="L135" s="676"/>
      <c r="M135" s="24">
        <f t="shared" si="25"/>
        <v>0</v>
      </c>
      <c r="N135" s="676"/>
      <c r="O135" s="24">
        <f t="shared" si="26"/>
        <v>0</v>
      </c>
      <c r="P135" s="676"/>
      <c r="Q135" s="24">
        <f t="shared" si="27"/>
        <v>1</v>
      </c>
      <c r="R135" s="672">
        <f t="shared" si="28"/>
        <v>0</v>
      </c>
      <c r="S135" s="322">
        <f t="shared" si="29"/>
        <v>0</v>
      </c>
    </row>
    <row r="136" spans="1:19">
      <c r="A136" s="155"/>
      <c r="B136" s="57"/>
      <c r="C136" s="24">
        <f t="shared" si="20"/>
        <v>1</v>
      </c>
      <c r="D136" s="676"/>
      <c r="E136" s="24">
        <f t="shared" si="21"/>
        <v>0</v>
      </c>
      <c r="F136" s="676"/>
      <c r="G136" s="24">
        <f t="shared" si="22"/>
        <v>0.1</v>
      </c>
      <c r="H136" s="676"/>
      <c r="I136" s="24">
        <f t="shared" si="23"/>
        <v>1</v>
      </c>
      <c r="J136" s="676"/>
      <c r="K136" s="24">
        <f t="shared" si="24"/>
        <v>1</v>
      </c>
      <c r="L136" s="676"/>
      <c r="M136" s="24">
        <f t="shared" si="25"/>
        <v>0</v>
      </c>
      <c r="N136" s="676"/>
      <c r="O136" s="24">
        <f t="shared" si="26"/>
        <v>0</v>
      </c>
      <c r="P136" s="676"/>
      <c r="Q136" s="24">
        <f t="shared" si="27"/>
        <v>1</v>
      </c>
      <c r="R136" s="672">
        <f t="shared" si="28"/>
        <v>0</v>
      </c>
      <c r="S136" s="322">
        <f t="shared" si="29"/>
        <v>0</v>
      </c>
    </row>
    <row r="137" spans="1:19">
      <c r="A137" s="155"/>
      <c r="B137" s="57"/>
      <c r="C137" s="24">
        <f t="shared" si="20"/>
        <v>1</v>
      </c>
      <c r="D137" s="676"/>
      <c r="E137" s="24">
        <f t="shared" si="21"/>
        <v>0</v>
      </c>
      <c r="F137" s="676"/>
      <c r="G137" s="24">
        <f t="shared" si="22"/>
        <v>0.1</v>
      </c>
      <c r="H137" s="676"/>
      <c r="I137" s="24">
        <f t="shared" si="23"/>
        <v>1</v>
      </c>
      <c r="J137" s="676"/>
      <c r="K137" s="24">
        <f t="shared" si="24"/>
        <v>1</v>
      </c>
      <c r="L137" s="676"/>
      <c r="M137" s="24">
        <f t="shared" si="25"/>
        <v>0</v>
      </c>
      <c r="N137" s="676"/>
      <c r="O137" s="24">
        <f t="shared" si="26"/>
        <v>0</v>
      </c>
      <c r="P137" s="676"/>
      <c r="Q137" s="24">
        <f t="shared" si="27"/>
        <v>1</v>
      </c>
      <c r="R137" s="672">
        <f t="shared" si="28"/>
        <v>0</v>
      </c>
      <c r="S137" s="322">
        <f t="shared" si="29"/>
        <v>0</v>
      </c>
    </row>
    <row r="138" spans="1:19">
      <c r="A138" s="155"/>
      <c r="B138" s="57"/>
      <c r="C138" s="24">
        <f t="shared" si="20"/>
        <v>1</v>
      </c>
      <c r="D138" s="676"/>
      <c r="E138" s="24">
        <f t="shared" si="21"/>
        <v>0</v>
      </c>
      <c r="F138" s="676"/>
      <c r="G138" s="24">
        <f t="shared" si="22"/>
        <v>0.1</v>
      </c>
      <c r="H138" s="676"/>
      <c r="I138" s="24">
        <f t="shared" si="23"/>
        <v>1</v>
      </c>
      <c r="J138" s="676"/>
      <c r="K138" s="24">
        <f t="shared" si="24"/>
        <v>1</v>
      </c>
      <c r="L138" s="676"/>
      <c r="M138" s="24">
        <f t="shared" si="25"/>
        <v>0</v>
      </c>
      <c r="N138" s="676"/>
      <c r="O138" s="24">
        <f t="shared" si="26"/>
        <v>0</v>
      </c>
      <c r="P138" s="676"/>
      <c r="Q138" s="24">
        <f t="shared" si="27"/>
        <v>1</v>
      </c>
      <c r="R138" s="672">
        <f t="shared" si="28"/>
        <v>0</v>
      </c>
      <c r="S138" s="322">
        <f t="shared" si="29"/>
        <v>0</v>
      </c>
    </row>
    <row r="139" spans="1:19">
      <c r="A139" s="155"/>
      <c r="B139" s="57"/>
      <c r="C139" s="24">
        <f t="shared" si="20"/>
        <v>1</v>
      </c>
      <c r="D139" s="676"/>
      <c r="E139" s="24">
        <f t="shared" si="21"/>
        <v>0</v>
      </c>
      <c r="F139" s="676"/>
      <c r="G139" s="24">
        <f t="shared" si="22"/>
        <v>0.1</v>
      </c>
      <c r="H139" s="676"/>
      <c r="I139" s="24">
        <f t="shared" si="23"/>
        <v>1</v>
      </c>
      <c r="J139" s="676"/>
      <c r="K139" s="24">
        <f t="shared" si="24"/>
        <v>1</v>
      </c>
      <c r="L139" s="676"/>
      <c r="M139" s="24">
        <f t="shared" si="25"/>
        <v>0</v>
      </c>
      <c r="N139" s="676"/>
      <c r="O139" s="24">
        <f t="shared" si="26"/>
        <v>0</v>
      </c>
      <c r="P139" s="676"/>
      <c r="Q139" s="24">
        <f t="shared" si="27"/>
        <v>1</v>
      </c>
      <c r="R139" s="672">
        <f t="shared" si="28"/>
        <v>0</v>
      </c>
      <c r="S139" s="322">
        <f t="shared" si="29"/>
        <v>0</v>
      </c>
    </row>
    <row r="140" spans="1:19">
      <c r="A140" s="155"/>
      <c r="B140" s="57"/>
      <c r="C140" s="24">
        <f t="shared" si="20"/>
        <v>1</v>
      </c>
      <c r="D140" s="676"/>
      <c r="E140" s="24">
        <f t="shared" si="21"/>
        <v>0</v>
      </c>
      <c r="F140" s="676"/>
      <c r="G140" s="24">
        <f t="shared" si="22"/>
        <v>0.1</v>
      </c>
      <c r="H140" s="676"/>
      <c r="I140" s="24">
        <f t="shared" si="23"/>
        <v>1</v>
      </c>
      <c r="J140" s="676"/>
      <c r="K140" s="24">
        <f t="shared" si="24"/>
        <v>1</v>
      </c>
      <c r="L140" s="676"/>
      <c r="M140" s="24">
        <f t="shared" si="25"/>
        <v>0</v>
      </c>
      <c r="N140" s="676"/>
      <c r="O140" s="24">
        <f t="shared" si="26"/>
        <v>0</v>
      </c>
      <c r="P140" s="676"/>
      <c r="Q140" s="24">
        <f t="shared" si="27"/>
        <v>1</v>
      </c>
      <c r="R140" s="672">
        <f t="shared" si="28"/>
        <v>0</v>
      </c>
      <c r="S140" s="322">
        <f t="shared" si="29"/>
        <v>0</v>
      </c>
    </row>
    <row r="141" spans="1:19">
      <c r="A141" s="155"/>
      <c r="B141" s="57"/>
      <c r="C141" s="24">
        <f t="shared" si="20"/>
        <v>1</v>
      </c>
      <c r="D141" s="676"/>
      <c r="E141" s="24">
        <f t="shared" si="21"/>
        <v>0</v>
      </c>
      <c r="F141" s="676"/>
      <c r="G141" s="24">
        <f t="shared" si="22"/>
        <v>0.1</v>
      </c>
      <c r="H141" s="676"/>
      <c r="I141" s="24">
        <f t="shared" si="23"/>
        <v>1</v>
      </c>
      <c r="J141" s="676"/>
      <c r="K141" s="24">
        <f t="shared" si="24"/>
        <v>1</v>
      </c>
      <c r="L141" s="676"/>
      <c r="M141" s="24">
        <f t="shared" si="25"/>
        <v>0</v>
      </c>
      <c r="N141" s="676"/>
      <c r="O141" s="24">
        <f t="shared" si="26"/>
        <v>0</v>
      </c>
      <c r="P141" s="676"/>
      <c r="Q141" s="24">
        <f t="shared" si="27"/>
        <v>1</v>
      </c>
      <c r="R141" s="672">
        <f t="shared" si="28"/>
        <v>0</v>
      </c>
      <c r="S141" s="322">
        <f t="shared" si="29"/>
        <v>0</v>
      </c>
    </row>
    <row r="142" spans="1:19">
      <c r="A142" s="155"/>
      <c r="B142" s="57"/>
      <c r="C142" s="24">
        <f t="shared" si="20"/>
        <v>1</v>
      </c>
      <c r="D142" s="676"/>
      <c r="E142" s="24">
        <f t="shared" si="21"/>
        <v>0</v>
      </c>
      <c r="F142" s="676"/>
      <c r="G142" s="24">
        <f t="shared" si="22"/>
        <v>0.1</v>
      </c>
      <c r="H142" s="676"/>
      <c r="I142" s="24">
        <f t="shared" si="23"/>
        <v>1</v>
      </c>
      <c r="J142" s="676"/>
      <c r="K142" s="24">
        <f t="shared" si="24"/>
        <v>1</v>
      </c>
      <c r="L142" s="676"/>
      <c r="M142" s="24">
        <f t="shared" si="25"/>
        <v>0</v>
      </c>
      <c r="N142" s="676"/>
      <c r="O142" s="24">
        <f t="shared" si="26"/>
        <v>0</v>
      </c>
      <c r="P142" s="676"/>
      <c r="Q142" s="24">
        <f t="shared" si="27"/>
        <v>1</v>
      </c>
      <c r="R142" s="672">
        <f t="shared" si="28"/>
        <v>0</v>
      </c>
      <c r="S142" s="322">
        <f t="shared" si="29"/>
        <v>0</v>
      </c>
    </row>
    <row r="143" spans="1:19">
      <c r="A143" s="155"/>
      <c r="B143" s="57"/>
      <c r="C143" s="24">
        <f t="shared" si="20"/>
        <v>1</v>
      </c>
      <c r="D143" s="676"/>
      <c r="E143" s="24">
        <f t="shared" si="21"/>
        <v>0</v>
      </c>
      <c r="F143" s="676"/>
      <c r="G143" s="24">
        <f t="shared" si="22"/>
        <v>0.1</v>
      </c>
      <c r="H143" s="676"/>
      <c r="I143" s="24">
        <f t="shared" si="23"/>
        <v>1</v>
      </c>
      <c r="J143" s="676"/>
      <c r="K143" s="24">
        <f t="shared" si="24"/>
        <v>1</v>
      </c>
      <c r="L143" s="676"/>
      <c r="M143" s="24">
        <f t="shared" si="25"/>
        <v>0</v>
      </c>
      <c r="N143" s="676"/>
      <c r="O143" s="24">
        <f t="shared" si="26"/>
        <v>0</v>
      </c>
      <c r="P143" s="676"/>
      <c r="Q143" s="24">
        <f t="shared" si="27"/>
        <v>1</v>
      </c>
      <c r="R143" s="672">
        <f t="shared" si="28"/>
        <v>0</v>
      </c>
      <c r="S143" s="322">
        <f t="shared" si="29"/>
        <v>0</v>
      </c>
    </row>
    <row r="144" spans="1:19">
      <c r="A144" s="155"/>
      <c r="B144" s="57"/>
      <c r="C144" s="24">
        <f t="shared" si="20"/>
        <v>1</v>
      </c>
      <c r="D144" s="676"/>
      <c r="E144" s="24">
        <f t="shared" si="21"/>
        <v>0</v>
      </c>
      <c r="F144" s="676"/>
      <c r="G144" s="24">
        <f t="shared" si="22"/>
        <v>0.1</v>
      </c>
      <c r="H144" s="676"/>
      <c r="I144" s="24">
        <f t="shared" si="23"/>
        <v>1</v>
      </c>
      <c r="J144" s="676"/>
      <c r="K144" s="24">
        <f t="shared" si="24"/>
        <v>1</v>
      </c>
      <c r="L144" s="676"/>
      <c r="M144" s="24">
        <f t="shared" si="25"/>
        <v>0</v>
      </c>
      <c r="N144" s="676"/>
      <c r="O144" s="24">
        <f t="shared" si="26"/>
        <v>0</v>
      </c>
      <c r="P144" s="676"/>
      <c r="Q144" s="24">
        <f t="shared" si="27"/>
        <v>1</v>
      </c>
      <c r="R144" s="672">
        <f t="shared" si="28"/>
        <v>0</v>
      </c>
      <c r="S144" s="322">
        <f t="shared" si="29"/>
        <v>0</v>
      </c>
    </row>
    <row r="145" spans="1:19">
      <c r="A145" s="155"/>
      <c r="B145" s="57"/>
      <c r="C145" s="24">
        <f t="shared" si="20"/>
        <v>1</v>
      </c>
      <c r="D145" s="676"/>
      <c r="E145" s="24">
        <f t="shared" si="21"/>
        <v>0</v>
      </c>
      <c r="F145" s="676"/>
      <c r="G145" s="24">
        <f t="shared" si="22"/>
        <v>0.1</v>
      </c>
      <c r="H145" s="676"/>
      <c r="I145" s="24">
        <f t="shared" si="23"/>
        <v>1</v>
      </c>
      <c r="J145" s="676"/>
      <c r="K145" s="24">
        <f t="shared" si="24"/>
        <v>1</v>
      </c>
      <c r="L145" s="676"/>
      <c r="M145" s="24">
        <f t="shared" si="25"/>
        <v>0</v>
      </c>
      <c r="N145" s="676"/>
      <c r="O145" s="24">
        <f t="shared" si="26"/>
        <v>0</v>
      </c>
      <c r="P145" s="676"/>
      <c r="Q145" s="24">
        <f t="shared" si="27"/>
        <v>1</v>
      </c>
      <c r="R145" s="672">
        <f t="shared" si="28"/>
        <v>0</v>
      </c>
      <c r="S145" s="322">
        <f t="shared" si="29"/>
        <v>0</v>
      </c>
    </row>
    <row r="146" spans="1:19">
      <c r="A146" s="155"/>
      <c r="B146" s="57"/>
      <c r="C146" s="24">
        <f t="shared" si="20"/>
        <v>1</v>
      </c>
      <c r="D146" s="676"/>
      <c r="E146" s="24">
        <f t="shared" si="21"/>
        <v>0</v>
      </c>
      <c r="F146" s="676"/>
      <c r="G146" s="24">
        <f t="shared" si="22"/>
        <v>0.1</v>
      </c>
      <c r="H146" s="676"/>
      <c r="I146" s="24">
        <f t="shared" si="23"/>
        <v>1</v>
      </c>
      <c r="J146" s="676"/>
      <c r="K146" s="24">
        <f t="shared" si="24"/>
        <v>1</v>
      </c>
      <c r="L146" s="676"/>
      <c r="M146" s="24">
        <f t="shared" si="25"/>
        <v>0</v>
      </c>
      <c r="N146" s="676"/>
      <c r="O146" s="24">
        <f t="shared" si="26"/>
        <v>0</v>
      </c>
      <c r="P146" s="676"/>
      <c r="Q146" s="24">
        <f t="shared" si="27"/>
        <v>1</v>
      </c>
      <c r="R146" s="672">
        <f t="shared" si="28"/>
        <v>0</v>
      </c>
      <c r="S146" s="322">
        <f t="shared" si="29"/>
        <v>0</v>
      </c>
    </row>
    <row r="147" spans="1:19">
      <c r="A147" s="155"/>
      <c r="B147" s="57"/>
      <c r="C147" s="24">
        <f t="shared" si="20"/>
        <v>1</v>
      </c>
      <c r="D147" s="676"/>
      <c r="E147" s="24">
        <f t="shared" si="21"/>
        <v>0</v>
      </c>
      <c r="F147" s="676"/>
      <c r="G147" s="24">
        <f t="shared" si="22"/>
        <v>0.1</v>
      </c>
      <c r="H147" s="676"/>
      <c r="I147" s="24">
        <f t="shared" si="23"/>
        <v>1</v>
      </c>
      <c r="J147" s="676"/>
      <c r="K147" s="24">
        <f t="shared" si="24"/>
        <v>1</v>
      </c>
      <c r="L147" s="676"/>
      <c r="M147" s="24">
        <f t="shared" si="25"/>
        <v>0</v>
      </c>
      <c r="N147" s="676"/>
      <c r="O147" s="24">
        <f t="shared" si="26"/>
        <v>0</v>
      </c>
      <c r="P147" s="676"/>
      <c r="Q147" s="24">
        <f t="shared" si="27"/>
        <v>1</v>
      </c>
      <c r="R147" s="672">
        <f t="shared" si="28"/>
        <v>0</v>
      </c>
      <c r="S147" s="322">
        <f t="shared" si="29"/>
        <v>0</v>
      </c>
    </row>
    <row r="148" spans="1:19">
      <c r="A148" s="155"/>
      <c r="B148" s="57"/>
      <c r="C148" s="24">
        <f t="shared" si="20"/>
        <v>1</v>
      </c>
      <c r="D148" s="676"/>
      <c r="E148" s="24">
        <f t="shared" si="21"/>
        <v>0</v>
      </c>
      <c r="F148" s="676"/>
      <c r="G148" s="24">
        <f t="shared" si="22"/>
        <v>0.1</v>
      </c>
      <c r="H148" s="676"/>
      <c r="I148" s="24">
        <f t="shared" si="23"/>
        <v>1</v>
      </c>
      <c r="J148" s="676"/>
      <c r="K148" s="24">
        <f t="shared" si="24"/>
        <v>1</v>
      </c>
      <c r="L148" s="676"/>
      <c r="M148" s="24">
        <f t="shared" si="25"/>
        <v>0</v>
      </c>
      <c r="N148" s="676"/>
      <c r="O148" s="24">
        <f t="shared" si="26"/>
        <v>0</v>
      </c>
      <c r="P148" s="676"/>
      <c r="Q148" s="24">
        <f t="shared" si="27"/>
        <v>1</v>
      </c>
      <c r="R148" s="672">
        <f t="shared" si="28"/>
        <v>0</v>
      </c>
      <c r="S148" s="322">
        <f t="shared" si="29"/>
        <v>0</v>
      </c>
    </row>
    <row r="149" spans="1:19">
      <c r="A149" s="155"/>
      <c r="B149" s="57"/>
      <c r="C149" s="24">
        <f t="shared" si="20"/>
        <v>1</v>
      </c>
      <c r="D149" s="676"/>
      <c r="E149" s="24">
        <f t="shared" si="21"/>
        <v>0</v>
      </c>
      <c r="F149" s="676"/>
      <c r="G149" s="24">
        <f t="shared" si="22"/>
        <v>0.1</v>
      </c>
      <c r="H149" s="676"/>
      <c r="I149" s="24">
        <f t="shared" si="23"/>
        <v>1</v>
      </c>
      <c r="J149" s="676"/>
      <c r="K149" s="24">
        <f t="shared" si="24"/>
        <v>1</v>
      </c>
      <c r="L149" s="676"/>
      <c r="M149" s="24">
        <f t="shared" si="25"/>
        <v>0</v>
      </c>
      <c r="N149" s="676"/>
      <c r="O149" s="24">
        <f t="shared" si="26"/>
        <v>0</v>
      </c>
      <c r="P149" s="676"/>
      <c r="Q149" s="24">
        <f t="shared" si="27"/>
        <v>1</v>
      </c>
      <c r="R149" s="672">
        <f t="shared" si="28"/>
        <v>0</v>
      </c>
      <c r="S149" s="322">
        <f t="shared" si="29"/>
        <v>0</v>
      </c>
    </row>
    <row r="150" spans="1:19">
      <c r="A150" s="155"/>
      <c r="B150" s="57"/>
      <c r="C150" s="24">
        <f t="shared" si="20"/>
        <v>1</v>
      </c>
      <c r="D150" s="676"/>
      <c r="E150" s="24">
        <f t="shared" si="21"/>
        <v>0</v>
      </c>
      <c r="F150" s="676"/>
      <c r="G150" s="24">
        <f t="shared" si="22"/>
        <v>0.1</v>
      </c>
      <c r="H150" s="676"/>
      <c r="I150" s="24">
        <f t="shared" si="23"/>
        <v>1</v>
      </c>
      <c r="J150" s="676"/>
      <c r="K150" s="24">
        <f t="shared" si="24"/>
        <v>1</v>
      </c>
      <c r="L150" s="676"/>
      <c r="M150" s="24">
        <f t="shared" si="25"/>
        <v>0</v>
      </c>
      <c r="N150" s="676"/>
      <c r="O150" s="24">
        <f t="shared" si="26"/>
        <v>0</v>
      </c>
      <c r="P150" s="676"/>
      <c r="Q150" s="24">
        <f t="shared" si="27"/>
        <v>1</v>
      </c>
      <c r="R150" s="672">
        <f t="shared" si="28"/>
        <v>0</v>
      </c>
      <c r="S150" s="322">
        <f t="shared" si="29"/>
        <v>0</v>
      </c>
    </row>
    <row r="151" spans="1:19">
      <c r="A151" s="155"/>
      <c r="B151" s="57"/>
      <c r="C151" s="24">
        <f t="shared" si="20"/>
        <v>1</v>
      </c>
      <c r="D151" s="676"/>
      <c r="E151" s="24">
        <f t="shared" si="21"/>
        <v>0</v>
      </c>
      <c r="F151" s="676"/>
      <c r="G151" s="24">
        <f t="shared" si="22"/>
        <v>0.1</v>
      </c>
      <c r="H151" s="676"/>
      <c r="I151" s="24">
        <f t="shared" si="23"/>
        <v>1</v>
      </c>
      <c r="J151" s="676"/>
      <c r="K151" s="24">
        <f t="shared" si="24"/>
        <v>1</v>
      </c>
      <c r="L151" s="676"/>
      <c r="M151" s="24">
        <f t="shared" si="25"/>
        <v>0</v>
      </c>
      <c r="N151" s="676"/>
      <c r="O151" s="24">
        <f t="shared" si="26"/>
        <v>0</v>
      </c>
      <c r="P151" s="676"/>
      <c r="Q151" s="24">
        <f t="shared" si="27"/>
        <v>1</v>
      </c>
      <c r="R151" s="672">
        <f t="shared" si="28"/>
        <v>0</v>
      </c>
      <c r="S151" s="322">
        <f t="shared" si="29"/>
        <v>0</v>
      </c>
    </row>
    <row r="152" spans="1:19">
      <c r="A152" s="155"/>
      <c r="B152" s="57"/>
      <c r="C152" s="24">
        <f t="shared" si="20"/>
        <v>1</v>
      </c>
      <c r="D152" s="676"/>
      <c r="E152" s="24">
        <f t="shared" si="21"/>
        <v>0</v>
      </c>
      <c r="F152" s="676"/>
      <c r="G152" s="24">
        <f t="shared" si="22"/>
        <v>0.1</v>
      </c>
      <c r="H152" s="676"/>
      <c r="I152" s="24">
        <f t="shared" si="23"/>
        <v>1</v>
      </c>
      <c r="J152" s="676"/>
      <c r="K152" s="24">
        <f t="shared" si="24"/>
        <v>1</v>
      </c>
      <c r="L152" s="676"/>
      <c r="M152" s="24">
        <f t="shared" si="25"/>
        <v>0</v>
      </c>
      <c r="N152" s="676"/>
      <c r="O152" s="24">
        <f t="shared" si="26"/>
        <v>0</v>
      </c>
      <c r="P152" s="676"/>
      <c r="Q152" s="24">
        <f t="shared" si="27"/>
        <v>1</v>
      </c>
      <c r="R152" s="672">
        <f t="shared" si="28"/>
        <v>0</v>
      </c>
      <c r="S152" s="322">
        <f t="shared" si="29"/>
        <v>0</v>
      </c>
    </row>
    <row r="153" spans="1:19">
      <c r="A153" s="155"/>
      <c r="B153" s="57"/>
      <c r="C153" s="24">
        <f t="shared" si="20"/>
        <v>1</v>
      </c>
      <c r="D153" s="676"/>
      <c r="E153" s="24">
        <f t="shared" si="21"/>
        <v>0</v>
      </c>
      <c r="F153" s="676"/>
      <c r="G153" s="24">
        <f t="shared" si="22"/>
        <v>0.1</v>
      </c>
      <c r="H153" s="676"/>
      <c r="I153" s="24">
        <f t="shared" si="23"/>
        <v>1</v>
      </c>
      <c r="J153" s="676"/>
      <c r="K153" s="24">
        <f t="shared" si="24"/>
        <v>1</v>
      </c>
      <c r="L153" s="676"/>
      <c r="M153" s="24">
        <f t="shared" si="25"/>
        <v>0</v>
      </c>
      <c r="N153" s="676"/>
      <c r="O153" s="24">
        <f t="shared" si="26"/>
        <v>0</v>
      </c>
      <c r="P153" s="676"/>
      <c r="Q153" s="24">
        <f t="shared" si="27"/>
        <v>1</v>
      </c>
      <c r="R153" s="672">
        <f t="shared" si="28"/>
        <v>0</v>
      </c>
      <c r="S153" s="322">
        <f t="shared" si="29"/>
        <v>0</v>
      </c>
    </row>
    <row r="154" spans="1:19">
      <c r="A154" s="155"/>
      <c r="B154" s="57"/>
      <c r="C154" s="24">
        <f t="shared" ref="C154:C217" si="30">IF(B154="",1,(LOOKUP(B154,$3:$3,$4:$4)-LOOKUP($B$24,$3:$3,$4:$4)+100)/100)</f>
        <v>1</v>
      </c>
      <c r="D154" s="676"/>
      <c r="E154" s="24">
        <f t="shared" ref="E154:E217" si="31">(SUMIF($5:$5,D154,$6:$6)-SUMIF($5:$5,$D$24,$6:$6)+100)/100</f>
        <v>0</v>
      </c>
      <c r="F154" s="676"/>
      <c r="G154" s="24">
        <f t="shared" ref="G154:G217" si="32">(SUMIF($7:$7,F154,$8:$8)-SUMIF($7:$7,$F$24,$8:$8)+100)/100</f>
        <v>0.1</v>
      </c>
      <c r="H154" s="676"/>
      <c r="I154" s="24">
        <f t="shared" ref="I154:I217" si="33">(SUMIF($9:$9,H154,$10:$10)-SUMIF($9:$9,$H$24,$10:$10)+100)/100</f>
        <v>1</v>
      </c>
      <c r="J154" s="676"/>
      <c r="K154" s="24">
        <f t="shared" ref="K154:K217" si="34">(SUMIF($11:$11,J154,$12:$12)-SUMIF($11:$11,$J$24,$12:$12)+100)/100</f>
        <v>1</v>
      </c>
      <c r="L154" s="676"/>
      <c r="M154" s="24">
        <f t="shared" ref="M154:M217" si="35">(SUMIF($13:$13,L154,$14:$14)-SUMIF($13:$13,$L$24,$14:$14)+100)/100</f>
        <v>0</v>
      </c>
      <c r="N154" s="676"/>
      <c r="O154" s="24">
        <f t="shared" ref="O154:O217" si="36">(SUMIF($15:$15,N154,$16:$16)-SUMIF($15:$15,$N$24,$16:$16)+100)/100</f>
        <v>0</v>
      </c>
      <c r="P154" s="676"/>
      <c r="Q154" s="24">
        <f t="shared" ref="Q154:Q217" si="37">(SUMIF($17:$17,P154,$18:$18)-SUMIF($17:$17,$P$24,$18:$18)+100)/100</f>
        <v>1</v>
      </c>
      <c r="R154" s="672">
        <f t="shared" ref="R154:R217" si="38">IF(B154="",0,ROUND($R$24*C154*E154*G154*I154*K154*M154*O154*Q154,0))</f>
        <v>0</v>
      </c>
      <c r="S154" s="322">
        <f t="shared" si="29"/>
        <v>0</v>
      </c>
    </row>
    <row r="155" spans="1:19">
      <c r="A155" s="155"/>
      <c r="B155" s="57"/>
      <c r="C155" s="24">
        <f t="shared" si="30"/>
        <v>1</v>
      </c>
      <c r="D155" s="676"/>
      <c r="E155" s="24">
        <f t="shared" si="31"/>
        <v>0</v>
      </c>
      <c r="F155" s="676"/>
      <c r="G155" s="24">
        <f t="shared" si="32"/>
        <v>0.1</v>
      </c>
      <c r="H155" s="676"/>
      <c r="I155" s="24">
        <f t="shared" si="33"/>
        <v>1</v>
      </c>
      <c r="J155" s="676"/>
      <c r="K155" s="24">
        <f t="shared" si="34"/>
        <v>1</v>
      </c>
      <c r="L155" s="676"/>
      <c r="M155" s="24">
        <f t="shared" si="35"/>
        <v>0</v>
      </c>
      <c r="N155" s="676"/>
      <c r="O155" s="24">
        <f t="shared" si="36"/>
        <v>0</v>
      </c>
      <c r="P155" s="676"/>
      <c r="Q155" s="24">
        <f t="shared" si="37"/>
        <v>1</v>
      </c>
      <c r="R155" s="672">
        <f t="shared" si="38"/>
        <v>0</v>
      </c>
      <c r="S155" s="322">
        <f t="shared" si="29"/>
        <v>0</v>
      </c>
    </row>
    <row r="156" spans="1:19">
      <c r="A156" s="155"/>
      <c r="B156" s="57"/>
      <c r="C156" s="24">
        <f t="shared" si="30"/>
        <v>1</v>
      </c>
      <c r="D156" s="676"/>
      <c r="E156" s="24">
        <f t="shared" si="31"/>
        <v>0</v>
      </c>
      <c r="F156" s="676"/>
      <c r="G156" s="24">
        <f t="shared" si="32"/>
        <v>0.1</v>
      </c>
      <c r="H156" s="676"/>
      <c r="I156" s="24">
        <f t="shared" si="33"/>
        <v>1</v>
      </c>
      <c r="J156" s="676"/>
      <c r="K156" s="24">
        <f t="shared" si="34"/>
        <v>1</v>
      </c>
      <c r="L156" s="676"/>
      <c r="M156" s="24">
        <f t="shared" si="35"/>
        <v>0</v>
      </c>
      <c r="N156" s="676"/>
      <c r="O156" s="24">
        <f t="shared" si="36"/>
        <v>0</v>
      </c>
      <c r="P156" s="676"/>
      <c r="Q156" s="24">
        <f t="shared" si="37"/>
        <v>1</v>
      </c>
      <c r="R156" s="672">
        <f t="shared" si="38"/>
        <v>0</v>
      </c>
      <c r="S156" s="322">
        <f t="shared" si="29"/>
        <v>0</v>
      </c>
    </row>
    <row r="157" spans="1:19">
      <c r="A157" s="155"/>
      <c r="B157" s="57"/>
      <c r="C157" s="24">
        <f t="shared" si="30"/>
        <v>1</v>
      </c>
      <c r="D157" s="676"/>
      <c r="E157" s="24">
        <f t="shared" si="31"/>
        <v>0</v>
      </c>
      <c r="F157" s="676"/>
      <c r="G157" s="24">
        <f t="shared" si="32"/>
        <v>0.1</v>
      </c>
      <c r="H157" s="676"/>
      <c r="I157" s="24">
        <f t="shared" si="33"/>
        <v>1</v>
      </c>
      <c r="J157" s="676"/>
      <c r="K157" s="24">
        <f t="shared" si="34"/>
        <v>1</v>
      </c>
      <c r="L157" s="676"/>
      <c r="M157" s="24">
        <f t="shared" si="35"/>
        <v>0</v>
      </c>
      <c r="N157" s="676"/>
      <c r="O157" s="24">
        <f t="shared" si="36"/>
        <v>0</v>
      </c>
      <c r="P157" s="676"/>
      <c r="Q157" s="24">
        <f t="shared" si="37"/>
        <v>1</v>
      </c>
      <c r="R157" s="672">
        <f t="shared" si="38"/>
        <v>0</v>
      </c>
      <c r="S157" s="322">
        <f t="shared" si="29"/>
        <v>0</v>
      </c>
    </row>
    <row r="158" spans="1:19">
      <c r="A158" s="155"/>
      <c r="B158" s="57"/>
      <c r="C158" s="24">
        <f t="shared" si="30"/>
        <v>1</v>
      </c>
      <c r="D158" s="676"/>
      <c r="E158" s="24">
        <f t="shared" si="31"/>
        <v>0</v>
      </c>
      <c r="F158" s="676"/>
      <c r="G158" s="24">
        <f t="shared" si="32"/>
        <v>0.1</v>
      </c>
      <c r="H158" s="676"/>
      <c r="I158" s="24">
        <f t="shared" si="33"/>
        <v>1</v>
      </c>
      <c r="J158" s="676"/>
      <c r="K158" s="24">
        <f t="shared" si="34"/>
        <v>1</v>
      </c>
      <c r="L158" s="676"/>
      <c r="M158" s="24">
        <f t="shared" si="35"/>
        <v>0</v>
      </c>
      <c r="N158" s="676"/>
      <c r="O158" s="24">
        <f t="shared" si="36"/>
        <v>0</v>
      </c>
      <c r="P158" s="676"/>
      <c r="Q158" s="24">
        <f t="shared" si="37"/>
        <v>1</v>
      </c>
      <c r="R158" s="672">
        <f t="shared" si="38"/>
        <v>0</v>
      </c>
      <c r="S158" s="322">
        <f t="shared" si="29"/>
        <v>0</v>
      </c>
    </row>
    <row r="159" spans="1:19">
      <c r="A159" s="155"/>
      <c r="B159" s="57"/>
      <c r="C159" s="24">
        <f t="shared" si="30"/>
        <v>1</v>
      </c>
      <c r="D159" s="676"/>
      <c r="E159" s="24">
        <f t="shared" si="31"/>
        <v>0</v>
      </c>
      <c r="F159" s="676"/>
      <c r="G159" s="24">
        <f t="shared" si="32"/>
        <v>0.1</v>
      </c>
      <c r="H159" s="676"/>
      <c r="I159" s="24">
        <f t="shared" si="33"/>
        <v>1</v>
      </c>
      <c r="J159" s="676"/>
      <c r="K159" s="24">
        <f t="shared" si="34"/>
        <v>1</v>
      </c>
      <c r="L159" s="676"/>
      <c r="M159" s="24">
        <f t="shared" si="35"/>
        <v>0</v>
      </c>
      <c r="N159" s="676"/>
      <c r="O159" s="24">
        <f t="shared" si="36"/>
        <v>0</v>
      </c>
      <c r="P159" s="676"/>
      <c r="Q159" s="24">
        <f t="shared" si="37"/>
        <v>1</v>
      </c>
      <c r="R159" s="672">
        <f t="shared" si="38"/>
        <v>0</v>
      </c>
      <c r="S159" s="322">
        <f t="shared" si="29"/>
        <v>0</v>
      </c>
    </row>
    <row r="160" spans="1:19">
      <c r="A160" s="155"/>
      <c r="B160" s="57"/>
      <c r="C160" s="24">
        <f t="shared" si="30"/>
        <v>1</v>
      </c>
      <c r="D160" s="676"/>
      <c r="E160" s="24">
        <f t="shared" si="31"/>
        <v>0</v>
      </c>
      <c r="F160" s="676"/>
      <c r="G160" s="24">
        <f t="shared" si="32"/>
        <v>0.1</v>
      </c>
      <c r="H160" s="676"/>
      <c r="I160" s="24">
        <f t="shared" si="33"/>
        <v>1</v>
      </c>
      <c r="J160" s="676"/>
      <c r="K160" s="24">
        <f t="shared" si="34"/>
        <v>1</v>
      </c>
      <c r="L160" s="676"/>
      <c r="M160" s="24">
        <f t="shared" si="35"/>
        <v>0</v>
      </c>
      <c r="N160" s="676"/>
      <c r="O160" s="24">
        <f t="shared" si="36"/>
        <v>0</v>
      </c>
      <c r="P160" s="676"/>
      <c r="Q160" s="24">
        <f t="shared" si="37"/>
        <v>1</v>
      </c>
      <c r="R160" s="672">
        <f t="shared" si="38"/>
        <v>0</v>
      </c>
      <c r="S160" s="322">
        <f t="shared" si="29"/>
        <v>0</v>
      </c>
    </row>
    <row r="161" spans="1:19">
      <c r="A161" s="155"/>
      <c r="B161" s="57"/>
      <c r="C161" s="24">
        <f t="shared" si="30"/>
        <v>1</v>
      </c>
      <c r="D161" s="676"/>
      <c r="E161" s="24">
        <f t="shared" si="31"/>
        <v>0</v>
      </c>
      <c r="F161" s="676"/>
      <c r="G161" s="24">
        <f t="shared" si="32"/>
        <v>0.1</v>
      </c>
      <c r="H161" s="676"/>
      <c r="I161" s="24">
        <f t="shared" si="33"/>
        <v>1</v>
      </c>
      <c r="J161" s="676"/>
      <c r="K161" s="24">
        <f t="shared" si="34"/>
        <v>1</v>
      </c>
      <c r="L161" s="676"/>
      <c r="M161" s="24">
        <f t="shared" si="35"/>
        <v>0</v>
      </c>
      <c r="N161" s="676"/>
      <c r="O161" s="24">
        <f t="shared" si="36"/>
        <v>0</v>
      </c>
      <c r="P161" s="676"/>
      <c r="Q161" s="24">
        <f t="shared" si="37"/>
        <v>1</v>
      </c>
      <c r="R161" s="672">
        <f t="shared" si="38"/>
        <v>0</v>
      </c>
      <c r="S161" s="322">
        <f t="shared" si="29"/>
        <v>0</v>
      </c>
    </row>
    <row r="162" spans="1:19">
      <c r="A162" s="155"/>
      <c r="B162" s="57"/>
      <c r="C162" s="24">
        <f t="shared" si="30"/>
        <v>1</v>
      </c>
      <c r="D162" s="676"/>
      <c r="E162" s="24">
        <f t="shared" si="31"/>
        <v>0</v>
      </c>
      <c r="F162" s="676"/>
      <c r="G162" s="24">
        <f t="shared" si="32"/>
        <v>0.1</v>
      </c>
      <c r="H162" s="676"/>
      <c r="I162" s="24">
        <f t="shared" si="33"/>
        <v>1</v>
      </c>
      <c r="J162" s="676"/>
      <c r="K162" s="24">
        <f t="shared" si="34"/>
        <v>1</v>
      </c>
      <c r="L162" s="676"/>
      <c r="M162" s="24">
        <f t="shared" si="35"/>
        <v>0</v>
      </c>
      <c r="N162" s="676"/>
      <c r="O162" s="24">
        <f t="shared" si="36"/>
        <v>0</v>
      </c>
      <c r="P162" s="676"/>
      <c r="Q162" s="24">
        <f t="shared" si="37"/>
        <v>1</v>
      </c>
      <c r="R162" s="672">
        <f t="shared" si="38"/>
        <v>0</v>
      </c>
      <c r="S162" s="322">
        <f t="shared" si="29"/>
        <v>0</v>
      </c>
    </row>
    <row r="163" spans="1:19">
      <c r="A163" s="155"/>
      <c r="B163" s="57"/>
      <c r="C163" s="24">
        <f t="shared" si="30"/>
        <v>1</v>
      </c>
      <c r="D163" s="676"/>
      <c r="E163" s="24">
        <f t="shared" si="31"/>
        <v>0</v>
      </c>
      <c r="F163" s="676"/>
      <c r="G163" s="24">
        <f t="shared" si="32"/>
        <v>0.1</v>
      </c>
      <c r="H163" s="676"/>
      <c r="I163" s="24">
        <f t="shared" si="33"/>
        <v>1</v>
      </c>
      <c r="J163" s="676"/>
      <c r="K163" s="24">
        <f t="shared" si="34"/>
        <v>1</v>
      </c>
      <c r="L163" s="676"/>
      <c r="M163" s="24">
        <f t="shared" si="35"/>
        <v>0</v>
      </c>
      <c r="N163" s="676"/>
      <c r="O163" s="24">
        <f t="shared" si="36"/>
        <v>0</v>
      </c>
      <c r="P163" s="676"/>
      <c r="Q163" s="24">
        <f t="shared" si="37"/>
        <v>1</v>
      </c>
      <c r="R163" s="672">
        <f t="shared" si="38"/>
        <v>0</v>
      </c>
      <c r="S163" s="322">
        <f t="shared" si="29"/>
        <v>0</v>
      </c>
    </row>
    <row r="164" spans="1:19">
      <c r="A164" s="155"/>
      <c r="B164" s="57"/>
      <c r="C164" s="24">
        <f t="shared" si="30"/>
        <v>1</v>
      </c>
      <c r="D164" s="676"/>
      <c r="E164" s="24">
        <f t="shared" si="31"/>
        <v>0</v>
      </c>
      <c r="F164" s="676"/>
      <c r="G164" s="24">
        <f t="shared" si="32"/>
        <v>0.1</v>
      </c>
      <c r="H164" s="676"/>
      <c r="I164" s="24">
        <f t="shared" si="33"/>
        <v>1</v>
      </c>
      <c r="J164" s="676"/>
      <c r="K164" s="24">
        <f t="shared" si="34"/>
        <v>1</v>
      </c>
      <c r="L164" s="676"/>
      <c r="M164" s="24">
        <f t="shared" si="35"/>
        <v>0</v>
      </c>
      <c r="N164" s="676"/>
      <c r="O164" s="24">
        <f t="shared" si="36"/>
        <v>0</v>
      </c>
      <c r="P164" s="676"/>
      <c r="Q164" s="24">
        <f t="shared" si="37"/>
        <v>1</v>
      </c>
      <c r="R164" s="672">
        <f t="shared" si="38"/>
        <v>0</v>
      </c>
      <c r="S164" s="322">
        <f t="shared" si="29"/>
        <v>0</v>
      </c>
    </row>
    <row r="165" spans="1:19">
      <c r="A165" s="155"/>
      <c r="B165" s="57"/>
      <c r="C165" s="24">
        <f t="shared" si="30"/>
        <v>1</v>
      </c>
      <c r="D165" s="676"/>
      <c r="E165" s="24">
        <f t="shared" si="31"/>
        <v>0</v>
      </c>
      <c r="F165" s="676"/>
      <c r="G165" s="24">
        <f t="shared" si="32"/>
        <v>0.1</v>
      </c>
      <c r="H165" s="676"/>
      <c r="I165" s="24">
        <f t="shared" si="33"/>
        <v>1</v>
      </c>
      <c r="J165" s="676"/>
      <c r="K165" s="24">
        <f t="shared" si="34"/>
        <v>1</v>
      </c>
      <c r="L165" s="676"/>
      <c r="M165" s="24">
        <f t="shared" si="35"/>
        <v>0</v>
      </c>
      <c r="N165" s="676"/>
      <c r="O165" s="24">
        <f t="shared" si="36"/>
        <v>0</v>
      </c>
      <c r="P165" s="676"/>
      <c r="Q165" s="24">
        <f t="shared" si="37"/>
        <v>1</v>
      </c>
      <c r="R165" s="672">
        <f t="shared" si="38"/>
        <v>0</v>
      </c>
      <c r="S165" s="322">
        <f t="shared" si="29"/>
        <v>0</v>
      </c>
    </row>
    <row r="166" spans="1:19">
      <c r="A166" s="155"/>
      <c r="B166" s="57"/>
      <c r="C166" s="24">
        <f t="shared" si="30"/>
        <v>1</v>
      </c>
      <c r="D166" s="676"/>
      <c r="E166" s="24">
        <f t="shared" si="31"/>
        <v>0</v>
      </c>
      <c r="F166" s="676"/>
      <c r="G166" s="24">
        <f t="shared" si="32"/>
        <v>0.1</v>
      </c>
      <c r="H166" s="676"/>
      <c r="I166" s="24">
        <f t="shared" si="33"/>
        <v>1</v>
      </c>
      <c r="J166" s="676"/>
      <c r="K166" s="24">
        <f t="shared" si="34"/>
        <v>1</v>
      </c>
      <c r="L166" s="676"/>
      <c r="M166" s="24">
        <f t="shared" si="35"/>
        <v>0</v>
      </c>
      <c r="N166" s="676"/>
      <c r="O166" s="24">
        <f t="shared" si="36"/>
        <v>0</v>
      </c>
      <c r="P166" s="676"/>
      <c r="Q166" s="24">
        <f t="shared" si="37"/>
        <v>1</v>
      </c>
      <c r="R166" s="672">
        <f t="shared" si="38"/>
        <v>0</v>
      </c>
      <c r="S166" s="322">
        <f t="shared" si="29"/>
        <v>0</v>
      </c>
    </row>
    <row r="167" spans="1:19">
      <c r="A167" s="155"/>
      <c r="B167" s="57"/>
      <c r="C167" s="24">
        <f t="shared" si="30"/>
        <v>1</v>
      </c>
      <c r="D167" s="676"/>
      <c r="E167" s="24">
        <f t="shared" si="31"/>
        <v>0</v>
      </c>
      <c r="F167" s="676"/>
      <c r="G167" s="24">
        <f t="shared" si="32"/>
        <v>0.1</v>
      </c>
      <c r="H167" s="676"/>
      <c r="I167" s="24">
        <f t="shared" si="33"/>
        <v>1</v>
      </c>
      <c r="J167" s="676"/>
      <c r="K167" s="24">
        <f t="shared" si="34"/>
        <v>1</v>
      </c>
      <c r="L167" s="676"/>
      <c r="M167" s="24">
        <f t="shared" si="35"/>
        <v>0</v>
      </c>
      <c r="N167" s="676"/>
      <c r="O167" s="24">
        <f t="shared" si="36"/>
        <v>0</v>
      </c>
      <c r="P167" s="676"/>
      <c r="Q167" s="24">
        <f t="shared" si="37"/>
        <v>1</v>
      </c>
      <c r="R167" s="672">
        <f t="shared" si="38"/>
        <v>0</v>
      </c>
      <c r="S167" s="322">
        <f t="shared" si="29"/>
        <v>0</v>
      </c>
    </row>
    <row r="168" spans="1:19">
      <c r="A168" s="155"/>
      <c r="B168" s="57"/>
      <c r="C168" s="24">
        <f t="shared" si="30"/>
        <v>1</v>
      </c>
      <c r="D168" s="676"/>
      <c r="E168" s="24">
        <f t="shared" si="31"/>
        <v>0</v>
      </c>
      <c r="F168" s="676"/>
      <c r="G168" s="24">
        <f t="shared" si="32"/>
        <v>0.1</v>
      </c>
      <c r="H168" s="676"/>
      <c r="I168" s="24">
        <f t="shared" si="33"/>
        <v>1</v>
      </c>
      <c r="J168" s="676"/>
      <c r="K168" s="24">
        <f t="shared" si="34"/>
        <v>1</v>
      </c>
      <c r="L168" s="676"/>
      <c r="M168" s="24">
        <f t="shared" si="35"/>
        <v>0</v>
      </c>
      <c r="N168" s="676"/>
      <c r="O168" s="24">
        <f t="shared" si="36"/>
        <v>0</v>
      </c>
      <c r="P168" s="676"/>
      <c r="Q168" s="24">
        <f t="shared" si="37"/>
        <v>1</v>
      </c>
      <c r="R168" s="672">
        <f t="shared" si="38"/>
        <v>0</v>
      </c>
      <c r="S168" s="322">
        <f t="shared" si="29"/>
        <v>0</v>
      </c>
    </row>
    <row r="169" spans="1:19">
      <c r="A169" s="155"/>
      <c r="B169" s="57"/>
      <c r="C169" s="24">
        <f t="shared" si="30"/>
        <v>1</v>
      </c>
      <c r="D169" s="676"/>
      <c r="E169" s="24">
        <f t="shared" si="31"/>
        <v>0</v>
      </c>
      <c r="F169" s="676"/>
      <c r="G169" s="24">
        <f t="shared" si="32"/>
        <v>0.1</v>
      </c>
      <c r="H169" s="676"/>
      <c r="I169" s="24">
        <f t="shared" si="33"/>
        <v>1</v>
      </c>
      <c r="J169" s="676"/>
      <c r="K169" s="24">
        <f t="shared" si="34"/>
        <v>1</v>
      </c>
      <c r="L169" s="676"/>
      <c r="M169" s="24">
        <f t="shared" si="35"/>
        <v>0</v>
      </c>
      <c r="N169" s="676"/>
      <c r="O169" s="24">
        <f t="shared" si="36"/>
        <v>0</v>
      </c>
      <c r="P169" s="676"/>
      <c r="Q169" s="24">
        <f t="shared" si="37"/>
        <v>1</v>
      </c>
      <c r="R169" s="672">
        <f t="shared" si="38"/>
        <v>0</v>
      </c>
      <c r="S169" s="322">
        <f t="shared" si="29"/>
        <v>0</v>
      </c>
    </row>
    <row r="170" spans="1:19">
      <c r="A170" s="155"/>
      <c r="B170" s="57"/>
      <c r="C170" s="24">
        <f t="shared" si="30"/>
        <v>1</v>
      </c>
      <c r="D170" s="676"/>
      <c r="E170" s="24">
        <f t="shared" si="31"/>
        <v>0</v>
      </c>
      <c r="F170" s="676"/>
      <c r="G170" s="24">
        <f t="shared" si="32"/>
        <v>0.1</v>
      </c>
      <c r="H170" s="676"/>
      <c r="I170" s="24">
        <f t="shared" si="33"/>
        <v>1</v>
      </c>
      <c r="J170" s="676"/>
      <c r="K170" s="24">
        <f t="shared" si="34"/>
        <v>1</v>
      </c>
      <c r="L170" s="676"/>
      <c r="M170" s="24">
        <f t="shared" si="35"/>
        <v>0</v>
      </c>
      <c r="N170" s="676"/>
      <c r="O170" s="24">
        <f t="shared" si="36"/>
        <v>0</v>
      </c>
      <c r="P170" s="676"/>
      <c r="Q170" s="24">
        <f t="shared" si="37"/>
        <v>1</v>
      </c>
      <c r="R170" s="672">
        <f t="shared" si="38"/>
        <v>0</v>
      </c>
      <c r="S170" s="322">
        <f t="shared" si="29"/>
        <v>0</v>
      </c>
    </row>
    <row r="171" spans="1:19">
      <c r="A171" s="155"/>
      <c r="B171" s="57"/>
      <c r="C171" s="24">
        <f t="shared" si="30"/>
        <v>1</v>
      </c>
      <c r="D171" s="676"/>
      <c r="E171" s="24">
        <f t="shared" si="31"/>
        <v>0</v>
      </c>
      <c r="F171" s="676"/>
      <c r="G171" s="24">
        <f t="shared" si="32"/>
        <v>0.1</v>
      </c>
      <c r="H171" s="676"/>
      <c r="I171" s="24">
        <f t="shared" si="33"/>
        <v>1</v>
      </c>
      <c r="J171" s="676"/>
      <c r="K171" s="24">
        <f t="shared" si="34"/>
        <v>1</v>
      </c>
      <c r="L171" s="676"/>
      <c r="M171" s="24">
        <f t="shared" si="35"/>
        <v>0</v>
      </c>
      <c r="N171" s="676"/>
      <c r="O171" s="24">
        <f t="shared" si="36"/>
        <v>0</v>
      </c>
      <c r="P171" s="676"/>
      <c r="Q171" s="24">
        <f t="shared" si="37"/>
        <v>1</v>
      </c>
      <c r="R171" s="672">
        <f t="shared" si="38"/>
        <v>0</v>
      </c>
      <c r="S171" s="322">
        <f t="shared" si="29"/>
        <v>0</v>
      </c>
    </row>
    <row r="172" spans="1:19">
      <c r="A172" s="155"/>
      <c r="B172" s="57"/>
      <c r="C172" s="24">
        <f t="shared" si="30"/>
        <v>1</v>
      </c>
      <c r="D172" s="676"/>
      <c r="E172" s="24">
        <f t="shared" si="31"/>
        <v>0</v>
      </c>
      <c r="F172" s="676"/>
      <c r="G172" s="24">
        <f t="shared" si="32"/>
        <v>0.1</v>
      </c>
      <c r="H172" s="676"/>
      <c r="I172" s="24">
        <f t="shared" si="33"/>
        <v>1</v>
      </c>
      <c r="J172" s="676"/>
      <c r="K172" s="24">
        <f t="shared" si="34"/>
        <v>1</v>
      </c>
      <c r="L172" s="676"/>
      <c r="M172" s="24">
        <f t="shared" si="35"/>
        <v>0</v>
      </c>
      <c r="N172" s="676"/>
      <c r="O172" s="24">
        <f t="shared" si="36"/>
        <v>0</v>
      </c>
      <c r="P172" s="676"/>
      <c r="Q172" s="24">
        <f t="shared" si="37"/>
        <v>1</v>
      </c>
      <c r="R172" s="672">
        <f t="shared" si="38"/>
        <v>0</v>
      </c>
      <c r="S172" s="322">
        <f t="shared" si="29"/>
        <v>0</v>
      </c>
    </row>
    <row r="173" spans="1:19">
      <c r="A173" s="155"/>
      <c r="B173" s="57"/>
      <c r="C173" s="24">
        <f t="shared" si="30"/>
        <v>1</v>
      </c>
      <c r="D173" s="676"/>
      <c r="E173" s="24">
        <f t="shared" si="31"/>
        <v>0</v>
      </c>
      <c r="F173" s="676"/>
      <c r="G173" s="24">
        <f t="shared" si="32"/>
        <v>0.1</v>
      </c>
      <c r="H173" s="676"/>
      <c r="I173" s="24">
        <f t="shared" si="33"/>
        <v>1</v>
      </c>
      <c r="J173" s="676"/>
      <c r="K173" s="24">
        <f t="shared" si="34"/>
        <v>1</v>
      </c>
      <c r="L173" s="676"/>
      <c r="M173" s="24">
        <f t="shared" si="35"/>
        <v>0</v>
      </c>
      <c r="N173" s="676"/>
      <c r="O173" s="24">
        <f t="shared" si="36"/>
        <v>0</v>
      </c>
      <c r="P173" s="676"/>
      <c r="Q173" s="24">
        <f t="shared" si="37"/>
        <v>1</v>
      </c>
      <c r="R173" s="672">
        <f t="shared" si="38"/>
        <v>0</v>
      </c>
      <c r="S173" s="322">
        <f t="shared" si="29"/>
        <v>0</v>
      </c>
    </row>
    <row r="174" spans="1:19">
      <c r="A174" s="155"/>
      <c r="B174" s="57"/>
      <c r="C174" s="24">
        <f t="shared" si="30"/>
        <v>1</v>
      </c>
      <c r="D174" s="676"/>
      <c r="E174" s="24">
        <f t="shared" si="31"/>
        <v>0</v>
      </c>
      <c r="F174" s="676"/>
      <c r="G174" s="24">
        <f t="shared" si="32"/>
        <v>0.1</v>
      </c>
      <c r="H174" s="676"/>
      <c r="I174" s="24">
        <f t="shared" si="33"/>
        <v>1</v>
      </c>
      <c r="J174" s="676"/>
      <c r="K174" s="24">
        <f t="shared" si="34"/>
        <v>1</v>
      </c>
      <c r="L174" s="676"/>
      <c r="M174" s="24">
        <f t="shared" si="35"/>
        <v>0</v>
      </c>
      <c r="N174" s="676"/>
      <c r="O174" s="24">
        <f t="shared" si="36"/>
        <v>0</v>
      </c>
      <c r="P174" s="676"/>
      <c r="Q174" s="24">
        <f t="shared" si="37"/>
        <v>1</v>
      </c>
      <c r="R174" s="672">
        <f t="shared" si="38"/>
        <v>0</v>
      </c>
      <c r="S174" s="322">
        <f t="shared" si="29"/>
        <v>0</v>
      </c>
    </row>
    <row r="175" spans="1:19">
      <c r="A175" s="155"/>
      <c r="B175" s="57"/>
      <c r="C175" s="24">
        <f t="shared" si="30"/>
        <v>1</v>
      </c>
      <c r="D175" s="676"/>
      <c r="E175" s="24">
        <f t="shared" si="31"/>
        <v>0</v>
      </c>
      <c r="F175" s="676"/>
      <c r="G175" s="24">
        <f t="shared" si="32"/>
        <v>0.1</v>
      </c>
      <c r="H175" s="676"/>
      <c r="I175" s="24">
        <f t="shared" si="33"/>
        <v>1</v>
      </c>
      <c r="J175" s="676"/>
      <c r="K175" s="24">
        <f t="shared" si="34"/>
        <v>1</v>
      </c>
      <c r="L175" s="676"/>
      <c r="M175" s="24">
        <f t="shared" si="35"/>
        <v>0</v>
      </c>
      <c r="N175" s="676"/>
      <c r="O175" s="24">
        <f t="shared" si="36"/>
        <v>0</v>
      </c>
      <c r="P175" s="676"/>
      <c r="Q175" s="24">
        <f t="shared" si="37"/>
        <v>1</v>
      </c>
      <c r="R175" s="672">
        <f t="shared" si="38"/>
        <v>0</v>
      </c>
      <c r="S175" s="322">
        <f t="shared" si="29"/>
        <v>0</v>
      </c>
    </row>
    <row r="176" spans="1:19">
      <c r="A176" s="155"/>
      <c r="B176" s="57"/>
      <c r="C176" s="24">
        <f t="shared" si="30"/>
        <v>1</v>
      </c>
      <c r="D176" s="676"/>
      <c r="E176" s="24">
        <f t="shared" si="31"/>
        <v>0</v>
      </c>
      <c r="F176" s="676"/>
      <c r="G176" s="24">
        <f t="shared" si="32"/>
        <v>0.1</v>
      </c>
      <c r="H176" s="676"/>
      <c r="I176" s="24">
        <f t="shared" si="33"/>
        <v>1</v>
      </c>
      <c r="J176" s="676"/>
      <c r="K176" s="24">
        <f t="shared" si="34"/>
        <v>1</v>
      </c>
      <c r="L176" s="676"/>
      <c r="M176" s="24">
        <f t="shared" si="35"/>
        <v>0</v>
      </c>
      <c r="N176" s="676"/>
      <c r="O176" s="24">
        <f t="shared" si="36"/>
        <v>0</v>
      </c>
      <c r="P176" s="676"/>
      <c r="Q176" s="24">
        <f t="shared" si="37"/>
        <v>1</v>
      </c>
      <c r="R176" s="672">
        <f t="shared" si="38"/>
        <v>0</v>
      </c>
      <c r="S176" s="322">
        <f t="shared" si="29"/>
        <v>0</v>
      </c>
    </row>
    <row r="177" spans="1:19">
      <c r="A177" s="155"/>
      <c r="B177" s="57"/>
      <c r="C177" s="24">
        <f t="shared" si="30"/>
        <v>1</v>
      </c>
      <c r="D177" s="676"/>
      <c r="E177" s="24">
        <f t="shared" si="31"/>
        <v>0</v>
      </c>
      <c r="F177" s="676"/>
      <c r="G177" s="24">
        <f t="shared" si="32"/>
        <v>0.1</v>
      </c>
      <c r="H177" s="676"/>
      <c r="I177" s="24">
        <f t="shared" si="33"/>
        <v>1</v>
      </c>
      <c r="J177" s="676"/>
      <c r="K177" s="24">
        <f t="shared" si="34"/>
        <v>1</v>
      </c>
      <c r="L177" s="676"/>
      <c r="M177" s="24">
        <f t="shared" si="35"/>
        <v>0</v>
      </c>
      <c r="N177" s="676"/>
      <c r="O177" s="24">
        <f t="shared" si="36"/>
        <v>0</v>
      </c>
      <c r="P177" s="676"/>
      <c r="Q177" s="24">
        <f t="shared" si="37"/>
        <v>1</v>
      </c>
      <c r="R177" s="672">
        <f t="shared" si="38"/>
        <v>0</v>
      </c>
      <c r="S177" s="322">
        <f t="shared" si="29"/>
        <v>0</v>
      </c>
    </row>
    <row r="178" spans="1:19">
      <c r="A178" s="155"/>
      <c r="B178" s="57"/>
      <c r="C178" s="24">
        <f t="shared" si="30"/>
        <v>1</v>
      </c>
      <c r="D178" s="676"/>
      <c r="E178" s="24">
        <f t="shared" si="31"/>
        <v>0</v>
      </c>
      <c r="F178" s="676"/>
      <c r="G178" s="24">
        <f t="shared" si="32"/>
        <v>0.1</v>
      </c>
      <c r="H178" s="676"/>
      <c r="I178" s="24">
        <f t="shared" si="33"/>
        <v>1</v>
      </c>
      <c r="J178" s="676"/>
      <c r="K178" s="24">
        <f t="shared" si="34"/>
        <v>1</v>
      </c>
      <c r="L178" s="676"/>
      <c r="M178" s="24">
        <f t="shared" si="35"/>
        <v>0</v>
      </c>
      <c r="N178" s="676"/>
      <c r="O178" s="24">
        <f t="shared" si="36"/>
        <v>0</v>
      </c>
      <c r="P178" s="676"/>
      <c r="Q178" s="24">
        <f t="shared" si="37"/>
        <v>1</v>
      </c>
      <c r="R178" s="672">
        <f t="shared" si="38"/>
        <v>0</v>
      </c>
      <c r="S178" s="322">
        <f t="shared" si="29"/>
        <v>0</v>
      </c>
    </row>
    <row r="179" spans="1:19">
      <c r="A179" s="155"/>
      <c r="B179" s="57"/>
      <c r="C179" s="24">
        <f t="shared" si="30"/>
        <v>1</v>
      </c>
      <c r="D179" s="676"/>
      <c r="E179" s="24">
        <f t="shared" si="31"/>
        <v>0</v>
      </c>
      <c r="F179" s="676"/>
      <c r="G179" s="24">
        <f t="shared" si="32"/>
        <v>0.1</v>
      </c>
      <c r="H179" s="676"/>
      <c r="I179" s="24">
        <f t="shared" si="33"/>
        <v>1</v>
      </c>
      <c r="J179" s="676"/>
      <c r="K179" s="24">
        <f t="shared" si="34"/>
        <v>1</v>
      </c>
      <c r="L179" s="676"/>
      <c r="M179" s="24">
        <f t="shared" si="35"/>
        <v>0</v>
      </c>
      <c r="N179" s="676"/>
      <c r="O179" s="24">
        <f t="shared" si="36"/>
        <v>0</v>
      </c>
      <c r="P179" s="676"/>
      <c r="Q179" s="24">
        <f t="shared" si="37"/>
        <v>1</v>
      </c>
      <c r="R179" s="672">
        <f t="shared" si="38"/>
        <v>0</v>
      </c>
      <c r="S179" s="322">
        <f t="shared" si="29"/>
        <v>0</v>
      </c>
    </row>
    <row r="180" spans="1:19">
      <c r="A180" s="155"/>
      <c r="B180" s="57"/>
      <c r="C180" s="24">
        <f t="shared" si="30"/>
        <v>1</v>
      </c>
      <c r="D180" s="676"/>
      <c r="E180" s="24">
        <f t="shared" si="31"/>
        <v>0</v>
      </c>
      <c r="F180" s="676"/>
      <c r="G180" s="24">
        <f t="shared" si="32"/>
        <v>0.1</v>
      </c>
      <c r="H180" s="676"/>
      <c r="I180" s="24">
        <f t="shared" si="33"/>
        <v>1</v>
      </c>
      <c r="J180" s="676"/>
      <c r="K180" s="24">
        <f t="shared" si="34"/>
        <v>1</v>
      </c>
      <c r="L180" s="676"/>
      <c r="M180" s="24">
        <f t="shared" si="35"/>
        <v>0</v>
      </c>
      <c r="N180" s="676"/>
      <c r="O180" s="24">
        <f t="shared" si="36"/>
        <v>0</v>
      </c>
      <c r="P180" s="676"/>
      <c r="Q180" s="24">
        <f t="shared" si="37"/>
        <v>1</v>
      </c>
      <c r="R180" s="672">
        <f t="shared" si="38"/>
        <v>0</v>
      </c>
      <c r="S180" s="322">
        <f t="shared" si="29"/>
        <v>0</v>
      </c>
    </row>
    <row r="181" spans="1:19">
      <c r="A181" s="155"/>
      <c r="B181" s="57"/>
      <c r="C181" s="24">
        <f t="shared" si="30"/>
        <v>1</v>
      </c>
      <c r="D181" s="676"/>
      <c r="E181" s="24">
        <f t="shared" si="31"/>
        <v>0</v>
      </c>
      <c r="F181" s="676"/>
      <c r="G181" s="24">
        <f t="shared" si="32"/>
        <v>0.1</v>
      </c>
      <c r="H181" s="676"/>
      <c r="I181" s="24">
        <f t="shared" si="33"/>
        <v>1</v>
      </c>
      <c r="J181" s="676"/>
      <c r="K181" s="24">
        <f t="shared" si="34"/>
        <v>1</v>
      </c>
      <c r="L181" s="676"/>
      <c r="M181" s="24">
        <f t="shared" si="35"/>
        <v>0</v>
      </c>
      <c r="N181" s="676"/>
      <c r="O181" s="24">
        <f t="shared" si="36"/>
        <v>0</v>
      </c>
      <c r="P181" s="676"/>
      <c r="Q181" s="24">
        <f t="shared" si="37"/>
        <v>1</v>
      </c>
      <c r="R181" s="672">
        <f t="shared" si="38"/>
        <v>0</v>
      </c>
      <c r="S181" s="322">
        <f t="shared" si="29"/>
        <v>0</v>
      </c>
    </row>
    <row r="182" spans="1:19">
      <c r="A182" s="155"/>
      <c r="B182" s="57"/>
      <c r="C182" s="24">
        <f t="shared" si="30"/>
        <v>1</v>
      </c>
      <c r="D182" s="676"/>
      <c r="E182" s="24">
        <f t="shared" si="31"/>
        <v>0</v>
      </c>
      <c r="F182" s="676"/>
      <c r="G182" s="24">
        <f t="shared" si="32"/>
        <v>0.1</v>
      </c>
      <c r="H182" s="676"/>
      <c r="I182" s="24">
        <f t="shared" si="33"/>
        <v>1</v>
      </c>
      <c r="J182" s="676"/>
      <c r="K182" s="24">
        <f t="shared" si="34"/>
        <v>1</v>
      </c>
      <c r="L182" s="676"/>
      <c r="M182" s="24">
        <f t="shared" si="35"/>
        <v>0</v>
      </c>
      <c r="N182" s="676"/>
      <c r="O182" s="24">
        <f t="shared" si="36"/>
        <v>0</v>
      </c>
      <c r="P182" s="676"/>
      <c r="Q182" s="24">
        <f t="shared" si="37"/>
        <v>1</v>
      </c>
      <c r="R182" s="672">
        <f t="shared" si="38"/>
        <v>0</v>
      </c>
      <c r="S182" s="322">
        <f t="shared" si="29"/>
        <v>0</v>
      </c>
    </row>
    <row r="183" spans="1:19">
      <c r="A183" s="155"/>
      <c r="B183" s="57"/>
      <c r="C183" s="24">
        <f t="shared" si="30"/>
        <v>1</v>
      </c>
      <c r="D183" s="676"/>
      <c r="E183" s="24">
        <f t="shared" si="31"/>
        <v>0</v>
      </c>
      <c r="F183" s="676"/>
      <c r="G183" s="24">
        <f t="shared" si="32"/>
        <v>0.1</v>
      </c>
      <c r="H183" s="676"/>
      <c r="I183" s="24">
        <f t="shared" si="33"/>
        <v>1</v>
      </c>
      <c r="J183" s="676"/>
      <c r="K183" s="24">
        <f t="shared" si="34"/>
        <v>1</v>
      </c>
      <c r="L183" s="676"/>
      <c r="M183" s="24">
        <f t="shared" si="35"/>
        <v>0</v>
      </c>
      <c r="N183" s="676"/>
      <c r="O183" s="24">
        <f t="shared" si="36"/>
        <v>0</v>
      </c>
      <c r="P183" s="676"/>
      <c r="Q183" s="24">
        <f t="shared" si="37"/>
        <v>1</v>
      </c>
      <c r="R183" s="672">
        <f t="shared" si="38"/>
        <v>0</v>
      </c>
      <c r="S183" s="322">
        <f t="shared" si="29"/>
        <v>0</v>
      </c>
    </row>
    <row r="184" spans="1:19">
      <c r="A184" s="155"/>
      <c r="B184" s="57"/>
      <c r="C184" s="24">
        <f t="shared" si="30"/>
        <v>1</v>
      </c>
      <c r="D184" s="676"/>
      <c r="E184" s="24">
        <f t="shared" si="31"/>
        <v>0</v>
      </c>
      <c r="F184" s="676"/>
      <c r="G184" s="24">
        <f t="shared" si="32"/>
        <v>0.1</v>
      </c>
      <c r="H184" s="676"/>
      <c r="I184" s="24">
        <f t="shared" si="33"/>
        <v>1</v>
      </c>
      <c r="J184" s="676"/>
      <c r="K184" s="24">
        <f t="shared" si="34"/>
        <v>1</v>
      </c>
      <c r="L184" s="676"/>
      <c r="M184" s="24">
        <f t="shared" si="35"/>
        <v>0</v>
      </c>
      <c r="N184" s="676"/>
      <c r="O184" s="24">
        <f t="shared" si="36"/>
        <v>0</v>
      </c>
      <c r="P184" s="676"/>
      <c r="Q184" s="24">
        <f t="shared" si="37"/>
        <v>1</v>
      </c>
      <c r="R184" s="672">
        <f t="shared" si="38"/>
        <v>0</v>
      </c>
      <c r="S184" s="322">
        <f t="shared" si="29"/>
        <v>0</v>
      </c>
    </row>
    <row r="185" spans="1:19">
      <c r="A185" s="155"/>
      <c r="B185" s="57"/>
      <c r="C185" s="24">
        <f t="shared" si="30"/>
        <v>1</v>
      </c>
      <c r="D185" s="676"/>
      <c r="E185" s="24">
        <f t="shared" si="31"/>
        <v>0</v>
      </c>
      <c r="F185" s="676"/>
      <c r="G185" s="24">
        <f t="shared" si="32"/>
        <v>0.1</v>
      </c>
      <c r="H185" s="676"/>
      <c r="I185" s="24">
        <f t="shared" si="33"/>
        <v>1</v>
      </c>
      <c r="J185" s="676"/>
      <c r="K185" s="24">
        <f t="shared" si="34"/>
        <v>1</v>
      </c>
      <c r="L185" s="676"/>
      <c r="M185" s="24">
        <f t="shared" si="35"/>
        <v>0</v>
      </c>
      <c r="N185" s="676"/>
      <c r="O185" s="24">
        <f t="shared" si="36"/>
        <v>0</v>
      </c>
      <c r="P185" s="676"/>
      <c r="Q185" s="24">
        <f t="shared" si="37"/>
        <v>1</v>
      </c>
      <c r="R185" s="672">
        <f t="shared" si="38"/>
        <v>0</v>
      </c>
      <c r="S185" s="322">
        <f t="shared" si="29"/>
        <v>0</v>
      </c>
    </row>
    <row r="186" spans="1:19">
      <c r="A186" s="155"/>
      <c r="B186" s="57"/>
      <c r="C186" s="24">
        <f t="shared" si="30"/>
        <v>1</v>
      </c>
      <c r="D186" s="676"/>
      <c r="E186" s="24">
        <f t="shared" si="31"/>
        <v>0</v>
      </c>
      <c r="F186" s="676"/>
      <c r="G186" s="24">
        <f t="shared" si="32"/>
        <v>0.1</v>
      </c>
      <c r="H186" s="676"/>
      <c r="I186" s="24">
        <f t="shared" si="33"/>
        <v>1</v>
      </c>
      <c r="J186" s="676"/>
      <c r="K186" s="24">
        <f t="shared" si="34"/>
        <v>1</v>
      </c>
      <c r="L186" s="676"/>
      <c r="M186" s="24">
        <f t="shared" si="35"/>
        <v>0</v>
      </c>
      <c r="N186" s="676"/>
      <c r="O186" s="24">
        <f t="shared" si="36"/>
        <v>0</v>
      </c>
      <c r="P186" s="676"/>
      <c r="Q186" s="24">
        <f t="shared" si="37"/>
        <v>1</v>
      </c>
      <c r="R186" s="672">
        <f t="shared" si="38"/>
        <v>0</v>
      </c>
      <c r="S186" s="322">
        <f t="shared" si="29"/>
        <v>0</v>
      </c>
    </row>
    <row r="187" spans="1:19">
      <c r="A187" s="155"/>
      <c r="B187" s="57"/>
      <c r="C187" s="24">
        <f t="shared" si="30"/>
        <v>1</v>
      </c>
      <c r="D187" s="676"/>
      <c r="E187" s="24">
        <f t="shared" si="31"/>
        <v>0</v>
      </c>
      <c r="F187" s="676"/>
      <c r="G187" s="24">
        <f t="shared" si="32"/>
        <v>0.1</v>
      </c>
      <c r="H187" s="676"/>
      <c r="I187" s="24">
        <f t="shared" si="33"/>
        <v>1</v>
      </c>
      <c r="J187" s="676"/>
      <c r="K187" s="24">
        <f t="shared" si="34"/>
        <v>1</v>
      </c>
      <c r="L187" s="676"/>
      <c r="M187" s="24">
        <f t="shared" si="35"/>
        <v>0</v>
      </c>
      <c r="N187" s="676"/>
      <c r="O187" s="24">
        <f t="shared" si="36"/>
        <v>0</v>
      </c>
      <c r="P187" s="676"/>
      <c r="Q187" s="24">
        <f t="shared" si="37"/>
        <v>1</v>
      </c>
      <c r="R187" s="672">
        <f t="shared" si="38"/>
        <v>0</v>
      </c>
      <c r="S187" s="322">
        <f t="shared" ref="S187:S222" si="39">ROUND(R187*B187/10000,0)</f>
        <v>0</v>
      </c>
    </row>
    <row r="188" spans="1:19">
      <c r="A188" s="155"/>
      <c r="B188" s="57"/>
      <c r="C188" s="24">
        <f t="shared" si="30"/>
        <v>1</v>
      </c>
      <c r="D188" s="676"/>
      <c r="E188" s="24">
        <f t="shared" si="31"/>
        <v>0</v>
      </c>
      <c r="F188" s="676"/>
      <c r="G188" s="24">
        <f t="shared" si="32"/>
        <v>0.1</v>
      </c>
      <c r="H188" s="676"/>
      <c r="I188" s="24">
        <f t="shared" si="33"/>
        <v>1</v>
      </c>
      <c r="J188" s="676"/>
      <c r="K188" s="24">
        <f t="shared" si="34"/>
        <v>1</v>
      </c>
      <c r="L188" s="676"/>
      <c r="M188" s="24">
        <f t="shared" si="35"/>
        <v>0</v>
      </c>
      <c r="N188" s="676"/>
      <c r="O188" s="24">
        <f t="shared" si="36"/>
        <v>0</v>
      </c>
      <c r="P188" s="676"/>
      <c r="Q188" s="24">
        <f t="shared" si="37"/>
        <v>1</v>
      </c>
      <c r="R188" s="672">
        <f t="shared" si="38"/>
        <v>0</v>
      </c>
      <c r="S188" s="322">
        <f t="shared" si="39"/>
        <v>0</v>
      </c>
    </row>
    <row r="189" spans="1:19">
      <c r="A189" s="155"/>
      <c r="B189" s="57"/>
      <c r="C189" s="24">
        <f t="shared" si="30"/>
        <v>1</v>
      </c>
      <c r="D189" s="676"/>
      <c r="E189" s="24">
        <f t="shared" si="31"/>
        <v>0</v>
      </c>
      <c r="F189" s="676"/>
      <c r="G189" s="24">
        <f t="shared" si="32"/>
        <v>0.1</v>
      </c>
      <c r="H189" s="676"/>
      <c r="I189" s="24">
        <f t="shared" si="33"/>
        <v>1</v>
      </c>
      <c r="J189" s="676"/>
      <c r="K189" s="24">
        <f t="shared" si="34"/>
        <v>1</v>
      </c>
      <c r="L189" s="676"/>
      <c r="M189" s="24">
        <f t="shared" si="35"/>
        <v>0</v>
      </c>
      <c r="N189" s="676"/>
      <c r="O189" s="24">
        <f t="shared" si="36"/>
        <v>0</v>
      </c>
      <c r="P189" s="676"/>
      <c r="Q189" s="24">
        <f t="shared" si="37"/>
        <v>1</v>
      </c>
      <c r="R189" s="672">
        <f t="shared" si="38"/>
        <v>0</v>
      </c>
      <c r="S189" s="322">
        <f t="shared" si="39"/>
        <v>0</v>
      </c>
    </row>
    <row r="190" spans="1:19">
      <c r="A190" s="155"/>
      <c r="B190" s="57"/>
      <c r="C190" s="24">
        <f t="shared" si="30"/>
        <v>1</v>
      </c>
      <c r="D190" s="676"/>
      <c r="E190" s="24">
        <f t="shared" si="31"/>
        <v>0</v>
      </c>
      <c r="F190" s="676"/>
      <c r="G190" s="24">
        <f t="shared" si="32"/>
        <v>0.1</v>
      </c>
      <c r="H190" s="676"/>
      <c r="I190" s="24">
        <f t="shared" si="33"/>
        <v>1</v>
      </c>
      <c r="J190" s="676"/>
      <c r="K190" s="24">
        <f t="shared" si="34"/>
        <v>1</v>
      </c>
      <c r="L190" s="676"/>
      <c r="M190" s="24">
        <f t="shared" si="35"/>
        <v>0</v>
      </c>
      <c r="N190" s="676"/>
      <c r="O190" s="24">
        <f t="shared" si="36"/>
        <v>0</v>
      </c>
      <c r="P190" s="676"/>
      <c r="Q190" s="24">
        <f t="shared" si="37"/>
        <v>1</v>
      </c>
      <c r="R190" s="672">
        <f t="shared" si="38"/>
        <v>0</v>
      </c>
      <c r="S190" s="322">
        <f t="shared" si="39"/>
        <v>0</v>
      </c>
    </row>
    <row r="191" spans="1:19">
      <c r="A191" s="155"/>
      <c r="B191" s="57"/>
      <c r="C191" s="24">
        <f t="shared" si="30"/>
        <v>1</v>
      </c>
      <c r="D191" s="676"/>
      <c r="E191" s="24">
        <f t="shared" si="31"/>
        <v>0</v>
      </c>
      <c r="F191" s="676"/>
      <c r="G191" s="24">
        <f t="shared" si="32"/>
        <v>0.1</v>
      </c>
      <c r="H191" s="676"/>
      <c r="I191" s="24">
        <f t="shared" si="33"/>
        <v>1</v>
      </c>
      <c r="J191" s="676"/>
      <c r="K191" s="24">
        <f t="shared" si="34"/>
        <v>1</v>
      </c>
      <c r="L191" s="676"/>
      <c r="M191" s="24">
        <f t="shared" si="35"/>
        <v>0</v>
      </c>
      <c r="N191" s="676"/>
      <c r="O191" s="24">
        <f t="shared" si="36"/>
        <v>0</v>
      </c>
      <c r="P191" s="676"/>
      <c r="Q191" s="24">
        <f t="shared" si="37"/>
        <v>1</v>
      </c>
      <c r="R191" s="672">
        <f t="shared" si="38"/>
        <v>0</v>
      </c>
      <c r="S191" s="322">
        <f t="shared" si="39"/>
        <v>0</v>
      </c>
    </row>
    <row r="192" spans="1:19">
      <c r="A192" s="155"/>
      <c r="B192" s="57"/>
      <c r="C192" s="24">
        <f t="shared" si="30"/>
        <v>1</v>
      </c>
      <c r="D192" s="676"/>
      <c r="E192" s="24">
        <f t="shared" si="31"/>
        <v>0</v>
      </c>
      <c r="F192" s="676"/>
      <c r="G192" s="24">
        <f t="shared" si="32"/>
        <v>0.1</v>
      </c>
      <c r="H192" s="676"/>
      <c r="I192" s="24">
        <f t="shared" si="33"/>
        <v>1</v>
      </c>
      <c r="J192" s="676"/>
      <c r="K192" s="24">
        <f t="shared" si="34"/>
        <v>1</v>
      </c>
      <c r="L192" s="676"/>
      <c r="M192" s="24">
        <f t="shared" si="35"/>
        <v>0</v>
      </c>
      <c r="N192" s="676"/>
      <c r="O192" s="24">
        <f t="shared" si="36"/>
        <v>0</v>
      </c>
      <c r="P192" s="676"/>
      <c r="Q192" s="24">
        <f t="shared" si="37"/>
        <v>1</v>
      </c>
      <c r="R192" s="672">
        <f t="shared" si="38"/>
        <v>0</v>
      </c>
      <c r="S192" s="322">
        <f t="shared" si="39"/>
        <v>0</v>
      </c>
    </row>
    <row r="193" spans="1:19">
      <c r="A193" s="155"/>
      <c r="B193" s="57"/>
      <c r="C193" s="24">
        <f t="shared" si="30"/>
        <v>1</v>
      </c>
      <c r="D193" s="676"/>
      <c r="E193" s="24">
        <f t="shared" si="31"/>
        <v>0</v>
      </c>
      <c r="F193" s="676"/>
      <c r="G193" s="24">
        <f t="shared" si="32"/>
        <v>0.1</v>
      </c>
      <c r="H193" s="676"/>
      <c r="I193" s="24">
        <f t="shared" si="33"/>
        <v>1</v>
      </c>
      <c r="J193" s="676"/>
      <c r="K193" s="24">
        <f t="shared" si="34"/>
        <v>1</v>
      </c>
      <c r="L193" s="676"/>
      <c r="M193" s="24">
        <f t="shared" si="35"/>
        <v>0</v>
      </c>
      <c r="N193" s="676"/>
      <c r="O193" s="24">
        <f t="shared" si="36"/>
        <v>0</v>
      </c>
      <c r="P193" s="676"/>
      <c r="Q193" s="24">
        <f t="shared" si="37"/>
        <v>1</v>
      </c>
      <c r="R193" s="672">
        <f t="shared" si="38"/>
        <v>0</v>
      </c>
      <c r="S193" s="322">
        <f t="shared" si="39"/>
        <v>0</v>
      </c>
    </row>
    <row r="194" spans="1:19">
      <c r="A194" s="155"/>
      <c r="B194" s="57"/>
      <c r="C194" s="24">
        <f t="shared" si="30"/>
        <v>1</v>
      </c>
      <c r="D194" s="676"/>
      <c r="E194" s="24">
        <f t="shared" si="31"/>
        <v>0</v>
      </c>
      <c r="F194" s="676"/>
      <c r="G194" s="24">
        <f t="shared" si="32"/>
        <v>0.1</v>
      </c>
      <c r="H194" s="676"/>
      <c r="I194" s="24">
        <f t="shared" si="33"/>
        <v>1</v>
      </c>
      <c r="J194" s="676"/>
      <c r="K194" s="24">
        <f t="shared" si="34"/>
        <v>1</v>
      </c>
      <c r="L194" s="676"/>
      <c r="M194" s="24">
        <f t="shared" si="35"/>
        <v>0</v>
      </c>
      <c r="N194" s="676"/>
      <c r="O194" s="24">
        <f t="shared" si="36"/>
        <v>0</v>
      </c>
      <c r="P194" s="676"/>
      <c r="Q194" s="24">
        <f t="shared" si="37"/>
        <v>1</v>
      </c>
      <c r="R194" s="672">
        <f t="shared" si="38"/>
        <v>0</v>
      </c>
      <c r="S194" s="322">
        <f t="shared" si="39"/>
        <v>0</v>
      </c>
    </row>
    <row r="195" spans="1:19">
      <c r="A195" s="155"/>
      <c r="B195" s="57"/>
      <c r="C195" s="24">
        <f t="shared" si="30"/>
        <v>1</v>
      </c>
      <c r="D195" s="676"/>
      <c r="E195" s="24">
        <f t="shared" si="31"/>
        <v>0</v>
      </c>
      <c r="F195" s="676"/>
      <c r="G195" s="24">
        <f t="shared" si="32"/>
        <v>0.1</v>
      </c>
      <c r="H195" s="676"/>
      <c r="I195" s="24">
        <f t="shared" si="33"/>
        <v>1</v>
      </c>
      <c r="J195" s="676"/>
      <c r="K195" s="24">
        <f t="shared" si="34"/>
        <v>1</v>
      </c>
      <c r="L195" s="676"/>
      <c r="M195" s="24">
        <f t="shared" si="35"/>
        <v>0</v>
      </c>
      <c r="N195" s="676"/>
      <c r="O195" s="24">
        <f t="shared" si="36"/>
        <v>0</v>
      </c>
      <c r="P195" s="676"/>
      <c r="Q195" s="24">
        <f t="shared" si="37"/>
        <v>1</v>
      </c>
      <c r="R195" s="672">
        <f t="shared" si="38"/>
        <v>0</v>
      </c>
      <c r="S195" s="322">
        <f t="shared" si="39"/>
        <v>0</v>
      </c>
    </row>
    <row r="196" spans="1:19">
      <c r="A196" s="155"/>
      <c r="B196" s="57"/>
      <c r="C196" s="24">
        <f t="shared" si="30"/>
        <v>1</v>
      </c>
      <c r="D196" s="676"/>
      <c r="E196" s="24">
        <f t="shared" si="31"/>
        <v>0</v>
      </c>
      <c r="F196" s="676"/>
      <c r="G196" s="24">
        <f t="shared" si="32"/>
        <v>0.1</v>
      </c>
      <c r="H196" s="676"/>
      <c r="I196" s="24">
        <f t="shared" si="33"/>
        <v>1</v>
      </c>
      <c r="J196" s="676"/>
      <c r="K196" s="24">
        <f t="shared" si="34"/>
        <v>1</v>
      </c>
      <c r="L196" s="676"/>
      <c r="M196" s="24">
        <f t="shared" si="35"/>
        <v>0</v>
      </c>
      <c r="N196" s="676"/>
      <c r="O196" s="24">
        <f t="shared" si="36"/>
        <v>0</v>
      </c>
      <c r="P196" s="676"/>
      <c r="Q196" s="24">
        <f t="shared" si="37"/>
        <v>1</v>
      </c>
      <c r="R196" s="672">
        <f t="shared" si="38"/>
        <v>0</v>
      </c>
      <c r="S196" s="322">
        <f t="shared" si="39"/>
        <v>0</v>
      </c>
    </row>
    <row r="197" spans="1:19">
      <c r="A197" s="155"/>
      <c r="B197" s="57"/>
      <c r="C197" s="24">
        <f t="shared" si="30"/>
        <v>1</v>
      </c>
      <c r="D197" s="676"/>
      <c r="E197" s="24">
        <f t="shared" si="31"/>
        <v>0</v>
      </c>
      <c r="F197" s="676"/>
      <c r="G197" s="24">
        <f t="shared" si="32"/>
        <v>0.1</v>
      </c>
      <c r="H197" s="676"/>
      <c r="I197" s="24">
        <f t="shared" si="33"/>
        <v>1</v>
      </c>
      <c r="J197" s="676"/>
      <c r="K197" s="24">
        <f t="shared" si="34"/>
        <v>1</v>
      </c>
      <c r="L197" s="676"/>
      <c r="M197" s="24">
        <f t="shared" si="35"/>
        <v>0</v>
      </c>
      <c r="N197" s="676"/>
      <c r="O197" s="24">
        <f t="shared" si="36"/>
        <v>0</v>
      </c>
      <c r="P197" s="676"/>
      <c r="Q197" s="24">
        <f t="shared" si="37"/>
        <v>1</v>
      </c>
      <c r="R197" s="672">
        <f t="shared" si="38"/>
        <v>0</v>
      </c>
      <c r="S197" s="322">
        <f t="shared" si="39"/>
        <v>0</v>
      </c>
    </row>
    <row r="198" spans="1:19">
      <c r="A198" s="155"/>
      <c r="B198" s="57"/>
      <c r="C198" s="24">
        <f t="shared" si="30"/>
        <v>1</v>
      </c>
      <c r="D198" s="676"/>
      <c r="E198" s="24">
        <f t="shared" si="31"/>
        <v>0</v>
      </c>
      <c r="F198" s="676"/>
      <c r="G198" s="24">
        <f t="shared" si="32"/>
        <v>0.1</v>
      </c>
      <c r="H198" s="676"/>
      <c r="I198" s="24">
        <f t="shared" si="33"/>
        <v>1</v>
      </c>
      <c r="J198" s="676"/>
      <c r="K198" s="24">
        <f t="shared" si="34"/>
        <v>1</v>
      </c>
      <c r="L198" s="676"/>
      <c r="M198" s="24">
        <f t="shared" si="35"/>
        <v>0</v>
      </c>
      <c r="N198" s="676"/>
      <c r="O198" s="24">
        <f t="shared" si="36"/>
        <v>0</v>
      </c>
      <c r="P198" s="676"/>
      <c r="Q198" s="24">
        <f t="shared" si="37"/>
        <v>1</v>
      </c>
      <c r="R198" s="672">
        <f t="shared" si="38"/>
        <v>0</v>
      </c>
      <c r="S198" s="322">
        <f t="shared" si="39"/>
        <v>0</v>
      </c>
    </row>
    <row r="199" spans="1:19">
      <c r="A199" s="155"/>
      <c r="B199" s="57"/>
      <c r="C199" s="24">
        <f t="shared" si="30"/>
        <v>1</v>
      </c>
      <c r="D199" s="676"/>
      <c r="E199" s="24">
        <f t="shared" si="31"/>
        <v>0</v>
      </c>
      <c r="F199" s="676"/>
      <c r="G199" s="24">
        <f t="shared" si="32"/>
        <v>0.1</v>
      </c>
      <c r="H199" s="676"/>
      <c r="I199" s="24">
        <f t="shared" si="33"/>
        <v>1</v>
      </c>
      <c r="J199" s="676"/>
      <c r="K199" s="24">
        <f t="shared" si="34"/>
        <v>1</v>
      </c>
      <c r="L199" s="676"/>
      <c r="M199" s="24">
        <f t="shared" si="35"/>
        <v>0</v>
      </c>
      <c r="N199" s="676"/>
      <c r="O199" s="24">
        <f t="shared" si="36"/>
        <v>0</v>
      </c>
      <c r="P199" s="676"/>
      <c r="Q199" s="24">
        <f t="shared" si="37"/>
        <v>1</v>
      </c>
      <c r="R199" s="672">
        <f t="shared" si="38"/>
        <v>0</v>
      </c>
      <c r="S199" s="322">
        <f t="shared" si="39"/>
        <v>0</v>
      </c>
    </row>
    <row r="200" spans="1:19">
      <c r="A200" s="155"/>
      <c r="B200" s="57"/>
      <c r="C200" s="24">
        <f t="shared" si="30"/>
        <v>1</v>
      </c>
      <c r="D200" s="676"/>
      <c r="E200" s="24">
        <f t="shared" si="31"/>
        <v>0</v>
      </c>
      <c r="F200" s="676"/>
      <c r="G200" s="24">
        <f t="shared" si="32"/>
        <v>0.1</v>
      </c>
      <c r="H200" s="676"/>
      <c r="I200" s="24">
        <f t="shared" si="33"/>
        <v>1</v>
      </c>
      <c r="J200" s="676"/>
      <c r="K200" s="24">
        <f t="shared" si="34"/>
        <v>1</v>
      </c>
      <c r="L200" s="676"/>
      <c r="M200" s="24">
        <f t="shared" si="35"/>
        <v>0</v>
      </c>
      <c r="N200" s="676"/>
      <c r="O200" s="24">
        <f t="shared" si="36"/>
        <v>0</v>
      </c>
      <c r="P200" s="676"/>
      <c r="Q200" s="24">
        <f t="shared" si="37"/>
        <v>1</v>
      </c>
      <c r="R200" s="672">
        <f t="shared" si="38"/>
        <v>0</v>
      </c>
      <c r="S200" s="322">
        <f t="shared" si="39"/>
        <v>0</v>
      </c>
    </row>
    <row r="201" spans="1:19">
      <c r="A201" s="155"/>
      <c r="B201" s="57"/>
      <c r="C201" s="24">
        <f t="shared" si="30"/>
        <v>1</v>
      </c>
      <c r="D201" s="676"/>
      <c r="E201" s="24">
        <f t="shared" si="31"/>
        <v>0</v>
      </c>
      <c r="F201" s="676"/>
      <c r="G201" s="24">
        <f t="shared" si="32"/>
        <v>0.1</v>
      </c>
      <c r="H201" s="676"/>
      <c r="I201" s="24">
        <f t="shared" si="33"/>
        <v>1</v>
      </c>
      <c r="J201" s="676"/>
      <c r="K201" s="24">
        <f t="shared" si="34"/>
        <v>1</v>
      </c>
      <c r="L201" s="676"/>
      <c r="M201" s="24">
        <f t="shared" si="35"/>
        <v>0</v>
      </c>
      <c r="N201" s="676"/>
      <c r="O201" s="24">
        <f t="shared" si="36"/>
        <v>0</v>
      </c>
      <c r="P201" s="676"/>
      <c r="Q201" s="24">
        <f t="shared" si="37"/>
        <v>1</v>
      </c>
      <c r="R201" s="672">
        <f t="shared" si="38"/>
        <v>0</v>
      </c>
      <c r="S201" s="322">
        <f t="shared" si="39"/>
        <v>0</v>
      </c>
    </row>
    <row r="202" spans="1:19">
      <c r="A202" s="155"/>
      <c r="B202" s="57"/>
      <c r="C202" s="24">
        <f t="shared" si="30"/>
        <v>1</v>
      </c>
      <c r="D202" s="676"/>
      <c r="E202" s="24">
        <f t="shared" si="31"/>
        <v>0</v>
      </c>
      <c r="F202" s="676"/>
      <c r="G202" s="24">
        <f t="shared" si="32"/>
        <v>0.1</v>
      </c>
      <c r="H202" s="676"/>
      <c r="I202" s="24">
        <f t="shared" si="33"/>
        <v>1</v>
      </c>
      <c r="J202" s="676"/>
      <c r="K202" s="24">
        <f t="shared" si="34"/>
        <v>1</v>
      </c>
      <c r="L202" s="676"/>
      <c r="M202" s="24">
        <f t="shared" si="35"/>
        <v>0</v>
      </c>
      <c r="N202" s="676"/>
      <c r="O202" s="24">
        <f t="shared" si="36"/>
        <v>0</v>
      </c>
      <c r="P202" s="676"/>
      <c r="Q202" s="24">
        <f t="shared" si="37"/>
        <v>1</v>
      </c>
      <c r="R202" s="672">
        <f t="shared" si="38"/>
        <v>0</v>
      </c>
      <c r="S202" s="322">
        <f t="shared" si="39"/>
        <v>0</v>
      </c>
    </row>
    <row r="203" spans="1:19">
      <c r="A203" s="155"/>
      <c r="B203" s="57"/>
      <c r="C203" s="24">
        <f t="shared" si="30"/>
        <v>1</v>
      </c>
      <c r="D203" s="676"/>
      <c r="E203" s="24">
        <f t="shared" si="31"/>
        <v>0</v>
      </c>
      <c r="F203" s="676"/>
      <c r="G203" s="24">
        <f t="shared" si="32"/>
        <v>0.1</v>
      </c>
      <c r="H203" s="676"/>
      <c r="I203" s="24">
        <f t="shared" si="33"/>
        <v>1</v>
      </c>
      <c r="J203" s="676"/>
      <c r="K203" s="24">
        <f t="shared" si="34"/>
        <v>1</v>
      </c>
      <c r="L203" s="676"/>
      <c r="M203" s="24">
        <f t="shared" si="35"/>
        <v>0</v>
      </c>
      <c r="N203" s="676"/>
      <c r="O203" s="24">
        <f t="shared" si="36"/>
        <v>0</v>
      </c>
      <c r="P203" s="676"/>
      <c r="Q203" s="24">
        <f t="shared" si="37"/>
        <v>1</v>
      </c>
      <c r="R203" s="672">
        <f t="shared" si="38"/>
        <v>0</v>
      </c>
      <c r="S203" s="322">
        <f t="shared" si="39"/>
        <v>0</v>
      </c>
    </row>
    <row r="204" spans="1:19">
      <c r="A204" s="155"/>
      <c r="B204" s="57"/>
      <c r="C204" s="24">
        <f t="shared" si="30"/>
        <v>1</v>
      </c>
      <c r="D204" s="676"/>
      <c r="E204" s="24">
        <f t="shared" si="31"/>
        <v>0</v>
      </c>
      <c r="F204" s="676"/>
      <c r="G204" s="24">
        <f t="shared" si="32"/>
        <v>0.1</v>
      </c>
      <c r="H204" s="676"/>
      <c r="I204" s="24">
        <f t="shared" si="33"/>
        <v>1</v>
      </c>
      <c r="J204" s="676"/>
      <c r="K204" s="24">
        <f t="shared" si="34"/>
        <v>1</v>
      </c>
      <c r="L204" s="676"/>
      <c r="M204" s="24">
        <f t="shared" si="35"/>
        <v>0</v>
      </c>
      <c r="N204" s="676"/>
      <c r="O204" s="24">
        <f t="shared" si="36"/>
        <v>0</v>
      </c>
      <c r="P204" s="676"/>
      <c r="Q204" s="24">
        <f t="shared" si="37"/>
        <v>1</v>
      </c>
      <c r="R204" s="672">
        <f t="shared" si="38"/>
        <v>0</v>
      </c>
      <c r="S204" s="322">
        <f t="shared" si="39"/>
        <v>0</v>
      </c>
    </row>
    <row r="205" spans="1:19">
      <c r="A205" s="155"/>
      <c r="B205" s="57"/>
      <c r="C205" s="24">
        <f t="shared" si="30"/>
        <v>1</v>
      </c>
      <c r="D205" s="676"/>
      <c r="E205" s="24">
        <f t="shared" si="31"/>
        <v>0</v>
      </c>
      <c r="F205" s="676"/>
      <c r="G205" s="24">
        <f t="shared" si="32"/>
        <v>0.1</v>
      </c>
      <c r="H205" s="676"/>
      <c r="I205" s="24">
        <f t="shared" si="33"/>
        <v>1</v>
      </c>
      <c r="J205" s="676"/>
      <c r="K205" s="24">
        <f t="shared" si="34"/>
        <v>1</v>
      </c>
      <c r="L205" s="676"/>
      <c r="M205" s="24">
        <f t="shared" si="35"/>
        <v>0</v>
      </c>
      <c r="N205" s="676"/>
      <c r="O205" s="24">
        <f t="shared" si="36"/>
        <v>0</v>
      </c>
      <c r="P205" s="676"/>
      <c r="Q205" s="24">
        <f t="shared" si="37"/>
        <v>1</v>
      </c>
      <c r="R205" s="672">
        <f t="shared" si="38"/>
        <v>0</v>
      </c>
      <c r="S205" s="322">
        <f t="shared" si="39"/>
        <v>0</v>
      </c>
    </row>
    <row r="206" spans="1:19">
      <c r="A206" s="155"/>
      <c r="B206" s="57"/>
      <c r="C206" s="24">
        <f t="shared" si="30"/>
        <v>1</v>
      </c>
      <c r="D206" s="676"/>
      <c r="E206" s="24">
        <f t="shared" si="31"/>
        <v>0</v>
      </c>
      <c r="F206" s="676"/>
      <c r="G206" s="24">
        <f t="shared" si="32"/>
        <v>0.1</v>
      </c>
      <c r="H206" s="676"/>
      <c r="I206" s="24">
        <f t="shared" si="33"/>
        <v>1</v>
      </c>
      <c r="J206" s="676"/>
      <c r="K206" s="24">
        <f t="shared" si="34"/>
        <v>1</v>
      </c>
      <c r="L206" s="676"/>
      <c r="M206" s="24">
        <f t="shared" si="35"/>
        <v>0</v>
      </c>
      <c r="N206" s="676"/>
      <c r="O206" s="24">
        <f t="shared" si="36"/>
        <v>0</v>
      </c>
      <c r="P206" s="676"/>
      <c r="Q206" s="24">
        <f t="shared" si="37"/>
        <v>1</v>
      </c>
      <c r="R206" s="672">
        <f t="shared" si="38"/>
        <v>0</v>
      </c>
      <c r="S206" s="322">
        <f t="shared" si="39"/>
        <v>0</v>
      </c>
    </row>
    <row r="207" spans="1:19">
      <c r="A207" s="155"/>
      <c r="B207" s="57"/>
      <c r="C207" s="24">
        <f t="shared" si="30"/>
        <v>1</v>
      </c>
      <c r="D207" s="676"/>
      <c r="E207" s="24">
        <f t="shared" si="31"/>
        <v>0</v>
      </c>
      <c r="F207" s="676"/>
      <c r="G207" s="24">
        <f t="shared" si="32"/>
        <v>0.1</v>
      </c>
      <c r="H207" s="676"/>
      <c r="I207" s="24">
        <f t="shared" si="33"/>
        <v>1</v>
      </c>
      <c r="J207" s="676"/>
      <c r="K207" s="24">
        <f t="shared" si="34"/>
        <v>1</v>
      </c>
      <c r="L207" s="676"/>
      <c r="M207" s="24">
        <f t="shared" si="35"/>
        <v>0</v>
      </c>
      <c r="N207" s="676"/>
      <c r="O207" s="24">
        <f t="shared" si="36"/>
        <v>0</v>
      </c>
      <c r="P207" s="676"/>
      <c r="Q207" s="24">
        <f t="shared" si="37"/>
        <v>1</v>
      </c>
      <c r="R207" s="672">
        <f t="shared" si="38"/>
        <v>0</v>
      </c>
      <c r="S207" s="322">
        <f t="shared" si="39"/>
        <v>0</v>
      </c>
    </row>
    <row r="208" spans="1:19">
      <c r="A208" s="155"/>
      <c r="B208" s="57"/>
      <c r="C208" s="24">
        <f t="shared" si="30"/>
        <v>1</v>
      </c>
      <c r="D208" s="676"/>
      <c r="E208" s="24">
        <f t="shared" si="31"/>
        <v>0</v>
      </c>
      <c r="F208" s="676"/>
      <c r="G208" s="24">
        <f t="shared" si="32"/>
        <v>0.1</v>
      </c>
      <c r="H208" s="676"/>
      <c r="I208" s="24">
        <f t="shared" si="33"/>
        <v>1</v>
      </c>
      <c r="J208" s="676"/>
      <c r="K208" s="24">
        <f t="shared" si="34"/>
        <v>1</v>
      </c>
      <c r="L208" s="676"/>
      <c r="M208" s="24">
        <f t="shared" si="35"/>
        <v>0</v>
      </c>
      <c r="N208" s="676"/>
      <c r="O208" s="24">
        <f t="shared" si="36"/>
        <v>0</v>
      </c>
      <c r="P208" s="676"/>
      <c r="Q208" s="24">
        <f t="shared" si="37"/>
        <v>1</v>
      </c>
      <c r="R208" s="672">
        <f t="shared" si="38"/>
        <v>0</v>
      </c>
      <c r="S208" s="322">
        <f t="shared" si="39"/>
        <v>0</v>
      </c>
    </row>
    <row r="209" spans="1:19">
      <c r="A209" s="155"/>
      <c r="B209" s="57"/>
      <c r="C209" s="24">
        <f t="shared" si="30"/>
        <v>1</v>
      </c>
      <c r="D209" s="676"/>
      <c r="E209" s="24">
        <f t="shared" si="31"/>
        <v>0</v>
      </c>
      <c r="F209" s="676"/>
      <c r="G209" s="24">
        <f t="shared" si="32"/>
        <v>0.1</v>
      </c>
      <c r="H209" s="676"/>
      <c r="I209" s="24">
        <f t="shared" si="33"/>
        <v>1</v>
      </c>
      <c r="J209" s="676"/>
      <c r="K209" s="24">
        <f t="shared" si="34"/>
        <v>1</v>
      </c>
      <c r="L209" s="676"/>
      <c r="M209" s="24">
        <f t="shared" si="35"/>
        <v>0</v>
      </c>
      <c r="N209" s="676"/>
      <c r="O209" s="24">
        <f t="shared" si="36"/>
        <v>0</v>
      </c>
      <c r="P209" s="676"/>
      <c r="Q209" s="24">
        <f t="shared" si="37"/>
        <v>1</v>
      </c>
      <c r="R209" s="672">
        <f t="shared" si="38"/>
        <v>0</v>
      </c>
      <c r="S209" s="322">
        <f t="shared" si="39"/>
        <v>0</v>
      </c>
    </row>
    <row r="210" spans="1:19">
      <c r="A210" s="155"/>
      <c r="B210" s="57"/>
      <c r="C210" s="24">
        <f t="shared" si="30"/>
        <v>1</v>
      </c>
      <c r="D210" s="676"/>
      <c r="E210" s="24">
        <f t="shared" si="31"/>
        <v>0</v>
      </c>
      <c r="F210" s="676"/>
      <c r="G210" s="24">
        <f t="shared" si="32"/>
        <v>0.1</v>
      </c>
      <c r="H210" s="676"/>
      <c r="I210" s="24">
        <f t="shared" si="33"/>
        <v>1</v>
      </c>
      <c r="J210" s="676"/>
      <c r="K210" s="24">
        <f t="shared" si="34"/>
        <v>1</v>
      </c>
      <c r="L210" s="676"/>
      <c r="M210" s="24">
        <f t="shared" si="35"/>
        <v>0</v>
      </c>
      <c r="N210" s="676"/>
      <c r="O210" s="24">
        <f t="shared" si="36"/>
        <v>0</v>
      </c>
      <c r="P210" s="676"/>
      <c r="Q210" s="24">
        <f t="shared" si="37"/>
        <v>1</v>
      </c>
      <c r="R210" s="672">
        <f t="shared" si="38"/>
        <v>0</v>
      </c>
      <c r="S210" s="322">
        <f t="shared" si="39"/>
        <v>0</v>
      </c>
    </row>
    <row r="211" spans="1:19">
      <c r="A211" s="155"/>
      <c r="B211" s="57"/>
      <c r="C211" s="24">
        <f t="shared" si="30"/>
        <v>1</v>
      </c>
      <c r="D211" s="676"/>
      <c r="E211" s="24">
        <f t="shared" si="31"/>
        <v>0</v>
      </c>
      <c r="F211" s="676"/>
      <c r="G211" s="24">
        <f t="shared" si="32"/>
        <v>0.1</v>
      </c>
      <c r="H211" s="676"/>
      <c r="I211" s="24">
        <f t="shared" si="33"/>
        <v>1</v>
      </c>
      <c r="J211" s="676"/>
      <c r="K211" s="24">
        <f t="shared" si="34"/>
        <v>1</v>
      </c>
      <c r="L211" s="676"/>
      <c r="M211" s="24">
        <f t="shared" si="35"/>
        <v>0</v>
      </c>
      <c r="N211" s="676"/>
      <c r="O211" s="24">
        <f t="shared" si="36"/>
        <v>0</v>
      </c>
      <c r="P211" s="676"/>
      <c r="Q211" s="24">
        <f t="shared" si="37"/>
        <v>1</v>
      </c>
      <c r="R211" s="672">
        <f t="shared" si="38"/>
        <v>0</v>
      </c>
      <c r="S211" s="322">
        <f t="shared" si="39"/>
        <v>0</v>
      </c>
    </row>
    <row r="212" spans="1:19">
      <c r="A212" s="155"/>
      <c r="B212" s="57"/>
      <c r="C212" s="24">
        <f t="shared" si="30"/>
        <v>1</v>
      </c>
      <c r="D212" s="676"/>
      <c r="E212" s="24">
        <f t="shared" si="31"/>
        <v>0</v>
      </c>
      <c r="F212" s="676"/>
      <c r="G212" s="24">
        <f t="shared" si="32"/>
        <v>0.1</v>
      </c>
      <c r="H212" s="676"/>
      <c r="I212" s="24">
        <f t="shared" si="33"/>
        <v>1</v>
      </c>
      <c r="J212" s="676"/>
      <c r="K212" s="24">
        <f t="shared" si="34"/>
        <v>1</v>
      </c>
      <c r="L212" s="676"/>
      <c r="M212" s="24">
        <f t="shared" si="35"/>
        <v>0</v>
      </c>
      <c r="N212" s="676"/>
      <c r="O212" s="24">
        <f t="shared" si="36"/>
        <v>0</v>
      </c>
      <c r="P212" s="676"/>
      <c r="Q212" s="24">
        <f t="shared" si="37"/>
        <v>1</v>
      </c>
      <c r="R212" s="672">
        <f t="shared" si="38"/>
        <v>0</v>
      </c>
      <c r="S212" s="322">
        <f t="shared" si="39"/>
        <v>0</v>
      </c>
    </row>
    <row r="213" spans="1:19">
      <c r="A213" s="155"/>
      <c r="B213" s="57"/>
      <c r="C213" s="24">
        <f t="shared" si="30"/>
        <v>1</v>
      </c>
      <c r="D213" s="676"/>
      <c r="E213" s="24">
        <f t="shared" si="31"/>
        <v>0</v>
      </c>
      <c r="F213" s="676"/>
      <c r="G213" s="24">
        <f t="shared" si="32"/>
        <v>0.1</v>
      </c>
      <c r="H213" s="676"/>
      <c r="I213" s="24">
        <f t="shared" si="33"/>
        <v>1</v>
      </c>
      <c r="J213" s="676"/>
      <c r="K213" s="24">
        <f t="shared" si="34"/>
        <v>1</v>
      </c>
      <c r="L213" s="676"/>
      <c r="M213" s="24">
        <f t="shared" si="35"/>
        <v>0</v>
      </c>
      <c r="N213" s="676"/>
      <c r="O213" s="24">
        <f t="shared" si="36"/>
        <v>0</v>
      </c>
      <c r="P213" s="676"/>
      <c r="Q213" s="24">
        <f t="shared" si="37"/>
        <v>1</v>
      </c>
      <c r="R213" s="672">
        <f t="shared" si="38"/>
        <v>0</v>
      </c>
      <c r="S213" s="322">
        <f t="shared" si="39"/>
        <v>0</v>
      </c>
    </row>
    <row r="214" spans="1:19">
      <c r="A214" s="155"/>
      <c r="B214" s="57"/>
      <c r="C214" s="24">
        <f t="shared" si="30"/>
        <v>1</v>
      </c>
      <c r="D214" s="676"/>
      <c r="E214" s="24">
        <f t="shared" si="31"/>
        <v>0</v>
      </c>
      <c r="F214" s="676"/>
      <c r="G214" s="24">
        <f t="shared" si="32"/>
        <v>0.1</v>
      </c>
      <c r="H214" s="676"/>
      <c r="I214" s="24">
        <f t="shared" si="33"/>
        <v>1</v>
      </c>
      <c r="J214" s="676"/>
      <c r="K214" s="24">
        <f t="shared" si="34"/>
        <v>1</v>
      </c>
      <c r="L214" s="676"/>
      <c r="M214" s="24">
        <f t="shared" si="35"/>
        <v>0</v>
      </c>
      <c r="N214" s="676"/>
      <c r="O214" s="24">
        <f t="shared" si="36"/>
        <v>0</v>
      </c>
      <c r="P214" s="676"/>
      <c r="Q214" s="24">
        <f t="shared" si="37"/>
        <v>1</v>
      </c>
      <c r="R214" s="672">
        <f t="shared" si="38"/>
        <v>0</v>
      </c>
      <c r="S214" s="322">
        <f t="shared" si="39"/>
        <v>0</v>
      </c>
    </row>
    <row r="215" spans="1:19">
      <c r="A215" s="155"/>
      <c r="B215" s="57"/>
      <c r="C215" s="24">
        <f t="shared" si="30"/>
        <v>1</v>
      </c>
      <c r="D215" s="676"/>
      <c r="E215" s="24">
        <f t="shared" si="31"/>
        <v>0</v>
      </c>
      <c r="F215" s="676"/>
      <c r="G215" s="24">
        <f t="shared" si="32"/>
        <v>0.1</v>
      </c>
      <c r="H215" s="676"/>
      <c r="I215" s="24">
        <f t="shared" si="33"/>
        <v>1</v>
      </c>
      <c r="J215" s="676"/>
      <c r="K215" s="24">
        <f t="shared" si="34"/>
        <v>1</v>
      </c>
      <c r="L215" s="676"/>
      <c r="M215" s="24">
        <f t="shared" si="35"/>
        <v>0</v>
      </c>
      <c r="N215" s="676"/>
      <c r="O215" s="24">
        <f t="shared" si="36"/>
        <v>0</v>
      </c>
      <c r="P215" s="676"/>
      <c r="Q215" s="24">
        <f t="shared" si="37"/>
        <v>1</v>
      </c>
      <c r="R215" s="672">
        <f t="shared" si="38"/>
        <v>0</v>
      </c>
      <c r="S215" s="322">
        <f t="shared" si="39"/>
        <v>0</v>
      </c>
    </row>
    <row r="216" spans="1:19">
      <c r="A216" s="155"/>
      <c r="B216" s="57"/>
      <c r="C216" s="24">
        <f t="shared" si="30"/>
        <v>1</v>
      </c>
      <c r="D216" s="676"/>
      <c r="E216" s="24">
        <f t="shared" si="31"/>
        <v>0</v>
      </c>
      <c r="F216" s="676"/>
      <c r="G216" s="24">
        <f t="shared" si="32"/>
        <v>0.1</v>
      </c>
      <c r="H216" s="676"/>
      <c r="I216" s="24">
        <f t="shared" si="33"/>
        <v>1</v>
      </c>
      <c r="J216" s="676"/>
      <c r="K216" s="24">
        <f t="shared" si="34"/>
        <v>1</v>
      </c>
      <c r="L216" s="676"/>
      <c r="M216" s="24">
        <f t="shared" si="35"/>
        <v>0</v>
      </c>
      <c r="N216" s="676"/>
      <c r="O216" s="24">
        <f t="shared" si="36"/>
        <v>0</v>
      </c>
      <c r="P216" s="676"/>
      <c r="Q216" s="24">
        <f t="shared" si="37"/>
        <v>1</v>
      </c>
      <c r="R216" s="672">
        <f t="shared" si="38"/>
        <v>0</v>
      </c>
      <c r="S216" s="322">
        <f t="shared" si="39"/>
        <v>0</v>
      </c>
    </row>
    <row r="217" spans="1:19">
      <c r="A217" s="155"/>
      <c r="B217" s="57"/>
      <c r="C217" s="24">
        <f t="shared" si="30"/>
        <v>1</v>
      </c>
      <c r="D217" s="676"/>
      <c r="E217" s="24">
        <f t="shared" si="31"/>
        <v>0</v>
      </c>
      <c r="F217" s="676"/>
      <c r="G217" s="24">
        <f t="shared" si="32"/>
        <v>0.1</v>
      </c>
      <c r="H217" s="676"/>
      <c r="I217" s="24">
        <f t="shared" si="33"/>
        <v>1</v>
      </c>
      <c r="J217" s="676"/>
      <c r="K217" s="24">
        <f t="shared" si="34"/>
        <v>1</v>
      </c>
      <c r="L217" s="676"/>
      <c r="M217" s="24">
        <f t="shared" si="35"/>
        <v>0</v>
      </c>
      <c r="N217" s="676"/>
      <c r="O217" s="24">
        <f t="shared" si="36"/>
        <v>0</v>
      </c>
      <c r="P217" s="676"/>
      <c r="Q217" s="24">
        <f t="shared" si="37"/>
        <v>1</v>
      </c>
      <c r="R217" s="672">
        <f t="shared" si="38"/>
        <v>0</v>
      </c>
      <c r="S217" s="322">
        <f t="shared" si="39"/>
        <v>0</v>
      </c>
    </row>
    <row r="218" spans="1:19">
      <c r="A218" s="155"/>
      <c r="B218" s="57"/>
      <c r="C218" s="24">
        <f t="shared" ref="C218:C281" si="40">IF(B218="",1,(LOOKUP(B218,$3:$3,$4:$4)-LOOKUP($B$24,$3:$3,$4:$4)+100)/100)</f>
        <v>1</v>
      </c>
      <c r="D218" s="676"/>
      <c r="E218" s="24">
        <f t="shared" ref="E218:E281" si="41">(SUMIF($5:$5,D218,$6:$6)-SUMIF($5:$5,$D$24,$6:$6)+100)/100</f>
        <v>0</v>
      </c>
      <c r="F218" s="676"/>
      <c r="G218" s="24">
        <f t="shared" ref="G218:G281" si="42">(SUMIF($7:$7,F218,$8:$8)-SUMIF($7:$7,$F$24,$8:$8)+100)/100</f>
        <v>0.1</v>
      </c>
      <c r="H218" s="676"/>
      <c r="I218" s="24">
        <f t="shared" ref="I218:I281" si="43">(SUMIF($9:$9,H218,$10:$10)-SUMIF($9:$9,$H$24,$10:$10)+100)/100</f>
        <v>1</v>
      </c>
      <c r="J218" s="676"/>
      <c r="K218" s="24">
        <f t="shared" ref="K218:K281" si="44">(SUMIF($11:$11,J218,$12:$12)-SUMIF($11:$11,$J$24,$12:$12)+100)/100</f>
        <v>1</v>
      </c>
      <c r="L218" s="676"/>
      <c r="M218" s="24">
        <f t="shared" ref="M218:M281" si="45">(SUMIF($13:$13,L218,$14:$14)-SUMIF($13:$13,$L$24,$14:$14)+100)/100</f>
        <v>0</v>
      </c>
      <c r="N218" s="676"/>
      <c r="O218" s="24">
        <f t="shared" ref="O218:O281" si="46">(SUMIF($15:$15,N218,$16:$16)-SUMIF($15:$15,$N$24,$16:$16)+100)/100</f>
        <v>0</v>
      </c>
      <c r="P218" s="676"/>
      <c r="Q218" s="24">
        <f t="shared" ref="Q218:Q281" si="47">(SUMIF($17:$17,P218,$18:$18)-SUMIF($17:$17,$P$24,$18:$18)+100)/100</f>
        <v>1</v>
      </c>
      <c r="R218" s="672">
        <f t="shared" ref="R218:R281" si="48">IF(B218="",0,ROUND($R$24*C218*E218*G218*I218*K218*M218*O218*Q218,0))</f>
        <v>0</v>
      </c>
      <c r="S218" s="322">
        <f t="shared" si="39"/>
        <v>0</v>
      </c>
    </row>
    <row r="219" spans="1:19">
      <c r="A219" s="155"/>
      <c r="B219" s="57"/>
      <c r="C219" s="24">
        <f t="shared" si="40"/>
        <v>1</v>
      </c>
      <c r="D219" s="676"/>
      <c r="E219" s="24">
        <f t="shared" si="41"/>
        <v>0</v>
      </c>
      <c r="F219" s="676"/>
      <c r="G219" s="24">
        <f t="shared" si="42"/>
        <v>0.1</v>
      </c>
      <c r="H219" s="676"/>
      <c r="I219" s="24">
        <f t="shared" si="43"/>
        <v>1</v>
      </c>
      <c r="J219" s="676"/>
      <c r="K219" s="24">
        <f t="shared" si="44"/>
        <v>1</v>
      </c>
      <c r="L219" s="676"/>
      <c r="M219" s="24">
        <f t="shared" si="45"/>
        <v>0</v>
      </c>
      <c r="N219" s="676"/>
      <c r="O219" s="24">
        <f t="shared" si="46"/>
        <v>0</v>
      </c>
      <c r="P219" s="676"/>
      <c r="Q219" s="24">
        <f t="shared" si="47"/>
        <v>1</v>
      </c>
      <c r="R219" s="672">
        <f t="shared" si="48"/>
        <v>0</v>
      </c>
      <c r="S219" s="322">
        <f t="shared" si="39"/>
        <v>0</v>
      </c>
    </row>
    <row r="220" spans="1:19">
      <c r="A220" s="155"/>
      <c r="B220" s="57"/>
      <c r="C220" s="24">
        <f t="shared" si="40"/>
        <v>1</v>
      </c>
      <c r="D220" s="676"/>
      <c r="E220" s="24">
        <f t="shared" si="41"/>
        <v>0</v>
      </c>
      <c r="F220" s="676"/>
      <c r="G220" s="24">
        <f t="shared" si="42"/>
        <v>0.1</v>
      </c>
      <c r="H220" s="676"/>
      <c r="I220" s="24">
        <f t="shared" si="43"/>
        <v>1</v>
      </c>
      <c r="J220" s="676"/>
      <c r="K220" s="24">
        <f t="shared" si="44"/>
        <v>1</v>
      </c>
      <c r="L220" s="676"/>
      <c r="M220" s="24">
        <f t="shared" si="45"/>
        <v>0</v>
      </c>
      <c r="N220" s="676"/>
      <c r="O220" s="24">
        <f t="shared" si="46"/>
        <v>0</v>
      </c>
      <c r="P220" s="676"/>
      <c r="Q220" s="24">
        <f t="shared" si="47"/>
        <v>1</v>
      </c>
      <c r="R220" s="672">
        <f t="shared" si="48"/>
        <v>0</v>
      </c>
      <c r="S220" s="322">
        <f t="shared" si="39"/>
        <v>0</v>
      </c>
    </row>
    <row r="221" spans="1:19">
      <c r="A221" s="155"/>
      <c r="B221" s="57"/>
      <c r="C221" s="24">
        <f t="shared" si="40"/>
        <v>1</v>
      </c>
      <c r="D221" s="676"/>
      <c r="E221" s="24">
        <f t="shared" si="41"/>
        <v>0</v>
      </c>
      <c r="F221" s="676"/>
      <c r="G221" s="24">
        <f t="shared" si="42"/>
        <v>0.1</v>
      </c>
      <c r="H221" s="676"/>
      <c r="I221" s="24">
        <f t="shared" si="43"/>
        <v>1</v>
      </c>
      <c r="J221" s="676"/>
      <c r="K221" s="24">
        <f t="shared" si="44"/>
        <v>1</v>
      </c>
      <c r="L221" s="676"/>
      <c r="M221" s="24">
        <f t="shared" si="45"/>
        <v>0</v>
      </c>
      <c r="N221" s="676"/>
      <c r="O221" s="24">
        <f t="shared" si="46"/>
        <v>0</v>
      </c>
      <c r="P221" s="676"/>
      <c r="Q221" s="24">
        <f t="shared" si="47"/>
        <v>1</v>
      </c>
      <c r="R221" s="672">
        <f t="shared" si="48"/>
        <v>0</v>
      </c>
      <c r="S221" s="322">
        <f t="shared" si="39"/>
        <v>0</v>
      </c>
    </row>
    <row r="222" spans="1:19">
      <c r="A222" s="155"/>
      <c r="B222" s="57"/>
      <c r="C222" s="24">
        <f t="shared" si="40"/>
        <v>1</v>
      </c>
      <c r="D222" s="676"/>
      <c r="E222" s="24">
        <f t="shared" si="41"/>
        <v>0</v>
      </c>
      <c r="F222" s="676"/>
      <c r="G222" s="24">
        <f t="shared" si="42"/>
        <v>0.1</v>
      </c>
      <c r="H222" s="676"/>
      <c r="I222" s="24">
        <f t="shared" si="43"/>
        <v>1</v>
      </c>
      <c r="J222" s="676"/>
      <c r="K222" s="24">
        <f t="shared" si="44"/>
        <v>1</v>
      </c>
      <c r="L222" s="676"/>
      <c r="M222" s="24">
        <f t="shared" si="45"/>
        <v>0</v>
      </c>
      <c r="N222" s="676"/>
      <c r="O222" s="24">
        <f t="shared" si="46"/>
        <v>0</v>
      </c>
      <c r="P222" s="676"/>
      <c r="Q222" s="24">
        <f t="shared" si="47"/>
        <v>1</v>
      </c>
      <c r="R222" s="672">
        <f t="shared" si="48"/>
        <v>0</v>
      </c>
      <c r="S222" s="322">
        <f t="shared" si="39"/>
        <v>0</v>
      </c>
    </row>
    <row r="223" spans="1:19">
      <c r="A223" s="155"/>
      <c r="B223" s="57"/>
      <c r="C223" s="24">
        <f t="shared" si="40"/>
        <v>1</v>
      </c>
      <c r="D223" s="676"/>
      <c r="E223" s="24">
        <f t="shared" si="41"/>
        <v>0</v>
      </c>
      <c r="F223" s="676"/>
      <c r="G223" s="24">
        <f t="shared" si="42"/>
        <v>0.1</v>
      </c>
      <c r="H223" s="676"/>
      <c r="I223" s="24">
        <f t="shared" si="43"/>
        <v>1</v>
      </c>
      <c r="J223" s="676"/>
      <c r="K223" s="24">
        <f t="shared" si="44"/>
        <v>1</v>
      </c>
      <c r="L223" s="676"/>
      <c r="M223" s="24">
        <f t="shared" si="45"/>
        <v>0</v>
      </c>
      <c r="N223" s="676"/>
      <c r="O223" s="24">
        <f t="shared" si="46"/>
        <v>0</v>
      </c>
      <c r="P223" s="676"/>
      <c r="Q223" s="24">
        <f t="shared" si="47"/>
        <v>1</v>
      </c>
      <c r="R223" s="672">
        <f t="shared" si="48"/>
        <v>0</v>
      </c>
      <c r="S223" s="322">
        <f t="shared" ref="S223:S286" si="49">ROUND(R223*B223/10000,0)</f>
        <v>0</v>
      </c>
    </row>
    <row r="224" spans="1:19">
      <c r="A224" s="155"/>
      <c r="B224" s="57"/>
      <c r="C224" s="24">
        <f t="shared" si="40"/>
        <v>1</v>
      </c>
      <c r="D224" s="676"/>
      <c r="E224" s="24">
        <f t="shared" si="41"/>
        <v>0</v>
      </c>
      <c r="F224" s="676"/>
      <c r="G224" s="24">
        <f t="shared" si="42"/>
        <v>0.1</v>
      </c>
      <c r="H224" s="676"/>
      <c r="I224" s="24">
        <f t="shared" si="43"/>
        <v>1</v>
      </c>
      <c r="J224" s="676"/>
      <c r="K224" s="24">
        <f t="shared" si="44"/>
        <v>1</v>
      </c>
      <c r="L224" s="676"/>
      <c r="M224" s="24">
        <f t="shared" si="45"/>
        <v>0</v>
      </c>
      <c r="N224" s="676"/>
      <c r="O224" s="24">
        <f t="shared" si="46"/>
        <v>0</v>
      </c>
      <c r="P224" s="676"/>
      <c r="Q224" s="24">
        <f t="shared" si="47"/>
        <v>1</v>
      </c>
      <c r="R224" s="672">
        <f t="shared" si="48"/>
        <v>0</v>
      </c>
      <c r="S224" s="322">
        <f t="shared" si="49"/>
        <v>0</v>
      </c>
    </row>
    <row r="225" spans="1:19">
      <c r="A225" s="155"/>
      <c r="B225" s="57"/>
      <c r="C225" s="24">
        <f t="shared" si="40"/>
        <v>1</v>
      </c>
      <c r="D225" s="676"/>
      <c r="E225" s="24">
        <f t="shared" si="41"/>
        <v>0</v>
      </c>
      <c r="F225" s="676"/>
      <c r="G225" s="24">
        <f t="shared" si="42"/>
        <v>0.1</v>
      </c>
      <c r="H225" s="676"/>
      <c r="I225" s="24">
        <f t="shared" si="43"/>
        <v>1</v>
      </c>
      <c r="J225" s="676"/>
      <c r="K225" s="24">
        <f t="shared" si="44"/>
        <v>1</v>
      </c>
      <c r="L225" s="676"/>
      <c r="M225" s="24">
        <f t="shared" si="45"/>
        <v>0</v>
      </c>
      <c r="N225" s="676"/>
      <c r="O225" s="24">
        <f t="shared" si="46"/>
        <v>0</v>
      </c>
      <c r="P225" s="676"/>
      <c r="Q225" s="24">
        <f t="shared" si="47"/>
        <v>1</v>
      </c>
      <c r="R225" s="672">
        <f t="shared" si="48"/>
        <v>0</v>
      </c>
      <c r="S225" s="322">
        <f t="shared" si="49"/>
        <v>0</v>
      </c>
    </row>
    <row r="226" spans="1:19">
      <c r="A226" s="155"/>
      <c r="B226" s="57"/>
      <c r="C226" s="24">
        <f t="shared" si="40"/>
        <v>1</v>
      </c>
      <c r="D226" s="676"/>
      <c r="E226" s="24">
        <f t="shared" si="41"/>
        <v>0</v>
      </c>
      <c r="F226" s="676"/>
      <c r="G226" s="24">
        <f t="shared" si="42"/>
        <v>0.1</v>
      </c>
      <c r="H226" s="676"/>
      <c r="I226" s="24">
        <f t="shared" si="43"/>
        <v>1</v>
      </c>
      <c r="J226" s="676"/>
      <c r="K226" s="24">
        <f t="shared" si="44"/>
        <v>1</v>
      </c>
      <c r="L226" s="676"/>
      <c r="M226" s="24">
        <f t="shared" si="45"/>
        <v>0</v>
      </c>
      <c r="N226" s="676"/>
      <c r="O226" s="24">
        <f t="shared" si="46"/>
        <v>0</v>
      </c>
      <c r="P226" s="676"/>
      <c r="Q226" s="24">
        <f t="shared" si="47"/>
        <v>1</v>
      </c>
      <c r="R226" s="672">
        <f t="shared" si="48"/>
        <v>0</v>
      </c>
      <c r="S226" s="322">
        <f t="shared" si="49"/>
        <v>0</v>
      </c>
    </row>
    <row r="227" spans="1:19">
      <c r="A227" s="155"/>
      <c r="B227" s="57"/>
      <c r="C227" s="24">
        <f t="shared" si="40"/>
        <v>1</v>
      </c>
      <c r="D227" s="676"/>
      <c r="E227" s="24">
        <f t="shared" si="41"/>
        <v>0</v>
      </c>
      <c r="F227" s="676"/>
      <c r="G227" s="24">
        <f t="shared" si="42"/>
        <v>0.1</v>
      </c>
      <c r="H227" s="676"/>
      <c r="I227" s="24">
        <f t="shared" si="43"/>
        <v>1</v>
      </c>
      <c r="J227" s="676"/>
      <c r="K227" s="24">
        <f t="shared" si="44"/>
        <v>1</v>
      </c>
      <c r="L227" s="676"/>
      <c r="M227" s="24">
        <f t="shared" si="45"/>
        <v>0</v>
      </c>
      <c r="N227" s="676"/>
      <c r="O227" s="24">
        <f t="shared" si="46"/>
        <v>0</v>
      </c>
      <c r="P227" s="676"/>
      <c r="Q227" s="24">
        <f t="shared" si="47"/>
        <v>1</v>
      </c>
      <c r="R227" s="672">
        <f t="shared" si="48"/>
        <v>0</v>
      </c>
      <c r="S227" s="322">
        <f t="shared" si="49"/>
        <v>0</v>
      </c>
    </row>
    <row r="228" spans="1:19">
      <c r="A228" s="155"/>
      <c r="B228" s="57"/>
      <c r="C228" s="24">
        <f t="shared" si="40"/>
        <v>1</v>
      </c>
      <c r="D228" s="676"/>
      <c r="E228" s="24">
        <f t="shared" si="41"/>
        <v>0</v>
      </c>
      <c r="F228" s="676"/>
      <c r="G228" s="24">
        <f t="shared" si="42"/>
        <v>0.1</v>
      </c>
      <c r="H228" s="676"/>
      <c r="I228" s="24">
        <f t="shared" si="43"/>
        <v>1</v>
      </c>
      <c r="J228" s="676"/>
      <c r="K228" s="24">
        <f t="shared" si="44"/>
        <v>1</v>
      </c>
      <c r="L228" s="676"/>
      <c r="M228" s="24">
        <f t="shared" si="45"/>
        <v>0</v>
      </c>
      <c r="N228" s="676"/>
      <c r="O228" s="24">
        <f t="shared" si="46"/>
        <v>0</v>
      </c>
      <c r="P228" s="676"/>
      <c r="Q228" s="24">
        <f t="shared" si="47"/>
        <v>1</v>
      </c>
      <c r="R228" s="672">
        <f t="shared" si="48"/>
        <v>0</v>
      </c>
      <c r="S228" s="322">
        <f t="shared" si="49"/>
        <v>0</v>
      </c>
    </row>
    <row r="229" spans="1:19">
      <c r="A229" s="155"/>
      <c r="B229" s="57"/>
      <c r="C229" s="24">
        <f t="shared" si="40"/>
        <v>1</v>
      </c>
      <c r="D229" s="676"/>
      <c r="E229" s="24">
        <f t="shared" si="41"/>
        <v>0</v>
      </c>
      <c r="F229" s="676"/>
      <c r="G229" s="24">
        <f t="shared" si="42"/>
        <v>0.1</v>
      </c>
      <c r="H229" s="676"/>
      <c r="I229" s="24">
        <f t="shared" si="43"/>
        <v>1</v>
      </c>
      <c r="J229" s="676"/>
      <c r="K229" s="24">
        <f t="shared" si="44"/>
        <v>1</v>
      </c>
      <c r="L229" s="676"/>
      <c r="M229" s="24">
        <f t="shared" si="45"/>
        <v>0</v>
      </c>
      <c r="N229" s="676"/>
      <c r="O229" s="24">
        <f t="shared" si="46"/>
        <v>0</v>
      </c>
      <c r="P229" s="676"/>
      <c r="Q229" s="24">
        <f t="shared" si="47"/>
        <v>1</v>
      </c>
      <c r="R229" s="672">
        <f t="shared" si="48"/>
        <v>0</v>
      </c>
      <c r="S229" s="322">
        <f t="shared" si="49"/>
        <v>0</v>
      </c>
    </row>
    <row r="230" spans="1:19">
      <c r="A230" s="155"/>
      <c r="B230" s="57"/>
      <c r="C230" s="24">
        <f t="shared" si="40"/>
        <v>1</v>
      </c>
      <c r="D230" s="676"/>
      <c r="E230" s="24">
        <f t="shared" si="41"/>
        <v>0</v>
      </c>
      <c r="F230" s="676"/>
      <c r="G230" s="24">
        <f t="shared" si="42"/>
        <v>0.1</v>
      </c>
      <c r="H230" s="676"/>
      <c r="I230" s="24">
        <f t="shared" si="43"/>
        <v>1</v>
      </c>
      <c r="J230" s="676"/>
      <c r="K230" s="24">
        <f t="shared" si="44"/>
        <v>1</v>
      </c>
      <c r="L230" s="676"/>
      <c r="M230" s="24">
        <f t="shared" si="45"/>
        <v>0</v>
      </c>
      <c r="N230" s="676"/>
      <c r="O230" s="24">
        <f t="shared" si="46"/>
        <v>0</v>
      </c>
      <c r="P230" s="676"/>
      <c r="Q230" s="24">
        <f t="shared" si="47"/>
        <v>1</v>
      </c>
      <c r="R230" s="672">
        <f t="shared" si="48"/>
        <v>0</v>
      </c>
      <c r="S230" s="322">
        <f t="shared" si="49"/>
        <v>0</v>
      </c>
    </row>
    <row r="231" spans="1:19">
      <c r="A231" s="155"/>
      <c r="B231" s="57"/>
      <c r="C231" s="24">
        <f t="shared" si="40"/>
        <v>1</v>
      </c>
      <c r="D231" s="676"/>
      <c r="E231" s="24">
        <f t="shared" si="41"/>
        <v>0</v>
      </c>
      <c r="F231" s="676"/>
      <c r="G231" s="24">
        <f t="shared" si="42"/>
        <v>0.1</v>
      </c>
      <c r="H231" s="676"/>
      <c r="I231" s="24">
        <f t="shared" si="43"/>
        <v>1</v>
      </c>
      <c r="J231" s="676"/>
      <c r="K231" s="24">
        <f t="shared" si="44"/>
        <v>1</v>
      </c>
      <c r="L231" s="676"/>
      <c r="M231" s="24">
        <f t="shared" si="45"/>
        <v>0</v>
      </c>
      <c r="N231" s="676"/>
      <c r="O231" s="24">
        <f t="shared" si="46"/>
        <v>0</v>
      </c>
      <c r="P231" s="676"/>
      <c r="Q231" s="24">
        <f t="shared" si="47"/>
        <v>1</v>
      </c>
      <c r="R231" s="672">
        <f t="shared" si="48"/>
        <v>0</v>
      </c>
      <c r="S231" s="322">
        <f t="shared" si="49"/>
        <v>0</v>
      </c>
    </row>
    <row r="232" spans="1:19">
      <c r="A232" s="155"/>
      <c r="B232" s="57"/>
      <c r="C232" s="24">
        <f t="shared" si="40"/>
        <v>1</v>
      </c>
      <c r="D232" s="676"/>
      <c r="E232" s="24">
        <f t="shared" si="41"/>
        <v>0</v>
      </c>
      <c r="F232" s="676"/>
      <c r="G232" s="24">
        <f t="shared" si="42"/>
        <v>0.1</v>
      </c>
      <c r="H232" s="676"/>
      <c r="I232" s="24">
        <f t="shared" si="43"/>
        <v>1</v>
      </c>
      <c r="J232" s="676"/>
      <c r="K232" s="24">
        <f t="shared" si="44"/>
        <v>1</v>
      </c>
      <c r="L232" s="676"/>
      <c r="M232" s="24">
        <f t="shared" si="45"/>
        <v>0</v>
      </c>
      <c r="N232" s="676"/>
      <c r="O232" s="24">
        <f t="shared" si="46"/>
        <v>0</v>
      </c>
      <c r="P232" s="676"/>
      <c r="Q232" s="24">
        <f t="shared" si="47"/>
        <v>1</v>
      </c>
      <c r="R232" s="672">
        <f t="shared" si="48"/>
        <v>0</v>
      </c>
      <c r="S232" s="322">
        <f t="shared" si="49"/>
        <v>0</v>
      </c>
    </row>
    <row r="233" spans="1:19">
      <c r="A233" s="155"/>
      <c r="B233" s="57"/>
      <c r="C233" s="24">
        <f t="shared" si="40"/>
        <v>1</v>
      </c>
      <c r="D233" s="676"/>
      <c r="E233" s="24">
        <f t="shared" si="41"/>
        <v>0</v>
      </c>
      <c r="F233" s="676"/>
      <c r="G233" s="24">
        <f t="shared" si="42"/>
        <v>0.1</v>
      </c>
      <c r="H233" s="676"/>
      <c r="I233" s="24">
        <f t="shared" si="43"/>
        <v>1</v>
      </c>
      <c r="J233" s="676"/>
      <c r="K233" s="24">
        <f t="shared" si="44"/>
        <v>1</v>
      </c>
      <c r="L233" s="676"/>
      <c r="M233" s="24">
        <f t="shared" si="45"/>
        <v>0</v>
      </c>
      <c r="N233" s="676"/>
      <c r="O233" s="24">
        <f t="shared" si="46"/>
        <v>0</v>
      </c>
      <c r="P233" s="676"/>
      <c r="Q233" s="24">
        <f t="shared" si="47"/>
        <v>1</v>
      </c>
      <c r="R233" s="672">
        <f t="shared" si="48"/>
        <v>0</v>
      </c>
      <c r="S233" s="322">
        <f t="shared" si="49"/>
        <v>0</v>
      </c>
    </row>
    <row r="234" spans="1:19">
      <c r="A234" s="155"/>
      <c r="B234" s="57"/>
      <c r="C234" s="24">
        <f t="shared" si="40"/>
        <v>1</v>
      </c>
      <c r="D234" s="676"/>
      <c r="E234" s="24">
        <f t="shared" si="41"/>
        <v>0</v>
      </c>
      <c r="F234" s="676"/>
      <c r="G234" s="24">
        <f t="shared" si="42"/>
        <v>0.1</v>
      </c>
      <c r="H234" s="676"/>
      <c r="I234" s="24">
        <f t="shared" si="43"/>
        <v>1</v>
      </c>
      <c r="J234" s="676"/>
      <c r="K234" s="24">
        <f t="shared" si="44"/>
        <v>1</v>
      </c>
      <c r="L234" s="676"/>
      <c r="M234" s="24">
        <f t="shared" si="45"/>
        <v>0</v>
      </c>
      <c r="N234" s="676"/>
      <c r="O234" s="24">
        <f t="shared" si="46"/>
        <v>0</v>
      </c>
      <c r="P234" s="676"/>
      <c r="Q234" s="24">
        <f t="shared" si="47"/>
        <v>1</v>
      </c>
      <c r="R234" s="672">
        <f t="shared" si="48"/>
        <v>0</v>
      </c>
      <c r="S234" s="322">
        <f t="shared" si="49"/>
        <v>0</v>
      </c>
    </row>
    <row r="235" spans="1:19">
      <c r="A235" s="155"/>
      <c r="B235" s="57"/>
      <c r="C235" s="24">
        <f t="shared" si="40"/>
        <v>1</v>
      </c>
      <c r="D235" s="676"/>
      <c r="E235" s="24">
        <f t="shared" si="41"/>
        <v>0</v>
      </c>
      <c r="F235" s="676"/>
      <c r="G235" s="24">
        <f t="shared" si="42"/>
        <v>0.1</v>
      </c>
      <c r="H235" s="676"/>
      <c r="I235" s="24">
        <f t="shared" si="43"/>
        <v>1</v>
      </c>
      <c r="J235" s="676"/>
      <c r="K235" s="24">
        <f t="shared" si="44"/>
        <v>1</v>
      </c>
      <c r="L235" s="676"/>
      <c r="M235" s="24">
        <f t="shared" si="45"/>
        <v>0</v>
      </c>
      <c r="N235" s="676"/>
      <c r="O235" s="24">
        <f t="shared" si="46"/>
        <v>0</v>
      </c>
      <c r="P235" s="676"/>
      <c r="Q235" s="24">
        <f t="shared" si="47"/>
        <v>1</v>
      </c>
      <c r="R235" s="672">
        <f t="shared" si="48"/>
        <v>0</v>
      </c>
      <c r="S235" s="322">
        <f t="shared" si="49"/>
        <v>0</v>
      </c>
    </row>
    <row r="236" spans="1:19">
      <c r="A236" s="155"/>
      <c r="B236" s="57"/>
      <c r="C236" s="24">
        <f t="shared" si="40"/>
        <v>1</v>
      </c>
      <c r="D236" s="676"/>
      <c r="E236" s="24">
        <f t="shared" si="41"/>
        <v>0</v>
      </c>
      <c r="F236" s="676"/>
      <c r="G236" s="24">
        <f t="shared" si="42"/>
        <v>0.1</v>
      </c>
      <c r="H236" s="676"/>
      <c r="I236" s="24">
        <f t="shared" si="43"/>
        <v>1</v>
      </c>
      <c r="J236" s="676"/>
      <c r="K236" s="24">
        <f t="shared" si="44"/>
        <v>1</v>
      </c>
      <c r="L236" s="676"/>
      <c r="M236" s="24">
        <f t="shared" si="45"/>
        <v>0</v>
      </c>
      <c r="N236" s="676"/>
      <c r="O236" s="24">
        <f t="shared" si="46"/>
        <v>0</v>
      </c>
      <c r="P236" s="676"/>
      <c r="Q236" s="24">
        <f t="shared" si="47"/>
        <v>1</v>
      </c>
      <c r="R236" s="672">
        <f t="shared" si="48"/>
        <v>0</v>
      </c>
      <c r="S236" s="322">
        <f t="shared" si="49"/>
        <v>0</v>
      </c>
    </row>
    <row r="237" spans="1:19">
      <c r="A237" s="155"/>
      <c r="B237" s="57"/>
      <c r="C237" s="24">
        <f t="shared" si="40"/>
        <v>1</v>
      </c>
      <c r="D237" s="676"/>
      <c r="E237" s="24">
        <f t="shared" si="41"/>
        <v>0</v>
      </c>
      <c r="F237" s="676"/>
      <c r="G237" s="24">
        <f t="shared" si="42"/>
        <v>0.1</v>
      </c>
      <c r="H237" s="676"/>
      <c r="I237" s="24">
        <f t="shared" si="43"/>
        <v>1</v>
      </c>
      <c r="J237" s="676"/>
      <c r="K237" s="24">
        <f t="shared" si="44"/>
        <v>1</v>
      </c>
      <c r="L237" s="676"/>
      <c r="M237" s="24">
        <f t="shared" si="45"/>
        <v>0</v>
      </c>
      <c r="N237" s="676"/>
      <c r="O237" s="24">
        <f t="shared" si="46"/>
        <v>0</v>
      </c>
      <c r="P237" s="676"/>
      <c r="Q237" s="24">
        <f t="shared" si="47"/>
        <v>1</v>
      </c>
      <c r="R237" s="672">
        <f t="shared" si="48"/>
        <v>0</v>
      </c>
      <c r="S237" s="322">
        <f t="shared" si="49"/>
        <v>0</v>
      </c>
    </row>
    <row r="238" spans="1:19">
      <c r="A238" s="155"/>
      <c r="B238" s="57"/>
      <c r="C238" s="24">
        <f t="shared" si="40"/>
        <v>1</v>
      </c>
      <c r="D238" s="676"/>
      <c r="E238" s="24">
        <f t="shared" si="41"/>
        <v>0</v>
      </c>
      <c r="F238" s="676"/>
      <c r="G238" s="24">
        <f t="shared" si="42"/>
        <v>0.1</v>
      </c>
      <c r="H238" s="676"/>
      <c r="I238" s="24">
        <f t="shared" si="43"/>
        <v>1</v>
      </c>
      <c r="J238" s="676"/>
      <c r="K238" s="24">
        <f t="shared" si="44"/>
        <v>1</v>
      </c>
      <c r="L238" s="676"/>
      <c r="M238" s="24">
        <f t="shared" si="45"/>
        <v>0</v>
      </c>
      <c r="N238" s="676"/>
      <c r="O238" s="24">
        <f t="shared" si="46"/>
        <v>0</v>
      </c>
      <c r="P238" s="676"/>
      <c r="Q238" s="24">
        <f t="shared" si="47"/>
        <v>1</v>
      </c>
      <c r="R238" s="672">
        <f t="shared" si="48"/>
        <v>0</v>
      </c>
      <c r="S238" s="322">
        <f t="shared" si="49"/>
        <v>0</v>
      </c>
    </row>
    <row r="239" spans="1:19">
      <c r="A239" s="155"/>
      <c r="B239" s="57"/>
      <c r="C239" s="24">
        <f t="shared" si="40"/>
        <v>1</v>
      </c>
      <c r="D239" s="676"/>
      <c r="E239" s="24">
        <f t="shared" si="41"/>
        <v>0</v>
      </c>
      <c r="F239" s="676"/>
      <c r="G239" s="24">
        <f t="shared" si="42"/>
        <v>0.1</v>
      </c>
      <c r="H239" s="676"/>
      <c r="I239" s="24">
        <f t="shared" si="43"/>
        <v>1</v>
      </c>
      <c r="J239" s="676"/>
      <c r="K239" s="24">
        <f t="shared" si="44"/>
        <v>1</v>
      </c>
      <c r="L239" s="676"/>
      <c r="M239" s="24">
        <f t="shared" si="45"/>
        <v>0</v>
      </c>
      <c r="N239" s="676"/>
      <c r="O239" s="24">
        <f t="shared" si="46"/>
        <v>0</v>
      </c>
      <c r="P239" s="676"/>
      <c r="Q239" s="24">
        <f t="shared" si="47"/>
        <v>1</v>
      </c>
      <c r="R239" s="672">
        <f t="shared" si="48"/>
        <v>0</v>
      </c>
      <c r="S239" s="322">
        <f t="shared" si="49"/>
        <v>0</v>
      </c>
    </row>
    <row r="240" spans="1:19">
      <c r="A240" s="155"/>
      <c r="B240" s="57"/>
      <c r="C240" s="24">
        <f t="shared" si="40"/>
        <v>1</v>
      </c>
      <c r="D240" s="676"/>
      <c r="E240" s="24">
        <f t="shared" si="41"/>
        <v>0</v>
      </c>
      <c r="F240" s="676"/>
      <c r="G240" s="24">
        <f t="shared" si="42"/>
        <v>0.1</v>
      </c>
      <c r="H240" s="676"/>
      <c r="I240" s="24">
        <f t="shared" si="43"/>
        <v>1</v>
      </c>
      <c r="J240" s="676"/>
      <c r="K240" s="24">
        <f t="shared" si="44"/>
        <v>1</v>
      </c>
      <c r="L240" s="676"/>
      <c r="M240" s="24">
        <f t="shared" si="45"/>
        <v>0</v>
      </c>
      <c r="N240" s="676"/>
      <c r="O240" s="24">
        <f t="shared" si="46"/>
        <v>0</v>
      </c>
      <c r="P240" s="676"/>
      <c r="Q240" s="24">
        <f t="shared" si="47"/>
        <v>1</v>
      </c>
      <c r="R240" s="672">
        <f t="shared" si="48"/>
        <v>0</v>
      </c>
      <c r="S240" s="322">
        <f t="shared" si="49"/>
        <v>0</v>
      </c>
    </row>
    <row r="241" spans="1:19">
      <c r="A241" s="155"/>
      <c r="B241" s="57"/>
      <c r="C241" s="24">
        <f t="shared" si="40"/>
        <v>1</v>
      </c>
      <c r="D241" s="676"/>
      <c r="E241" s="24">
        <f t="shared" si="41"/>
        <v>0</v>
      </c>
      <c r="F241" s="676"/>
      <c r="G241" s="24">
        <f t="shared" si="42"/>
        <v>0.1</v>
      </c>
      <c r="H241" s="676"/>
      <c r="I241" s="24">
        <f t="shared" si="43"/>
        <v>1</v>
      </c>
      <c r="J241" s="676"/>
      <c r="K241" s="24">
        <f t="shared" si="44"/>
        <v>1</v>
      </c>
      <c r="L241" s="676"/>
      <c r="M241" s="24">
        <f t="shared" si="45"/>
        <v>0</v>
      </c>
      <c r="N241" s="676"/>
      <c r="O241" s="24">
        <f t="shared" si="46"/>
        <v>0</v>
      </c>
      <c r="P241" s="676"/>
      <c r="Q241" s="24">
        <f t="shared" si="47"/>
        <v>1</v>
      </c>
      <c r="R241" s="672">
        <f t="shared" si="48"/>
        <v>0</v>
      </c>
      <c r="S241" s="322">
        <f t="shared" si="49"/>
        <v>0</v>
      </c>
    </row>
    <row r="242" spans="1:19">
      <c r="A242" s="155"/>
      <c r="B242" s="57"/>
      <c r="C242" s="24">
        <f t="shared" si="40"/>
        <v>1</v>
      </c>
      <c r="D242" s="676"/>
      <c r="E242" s="24">
        <f t="shared" si="41"/>
        <v>0</v>
      </c>
      <c r="F242" s="676"/>
      <c r="G242" s="24">
        <f t="shared" si="42"/>
        <v>0.1</v>
      </c>
      <c r="H242" s="676"/>
      <c r="I242" s="24">
        <f t="shared" si="43"/>
        <v>1</v>
      </c>
      <c r="J242" s="676"/>
      <c r="K242" s="24">
        <f t="shared" si="44"/>
        <v>1</v>
      </c>
      <c r="L242" s="676"/>
      <c r="M242" s="24">
        <f t="shared" si="45"/>
        <v>0</v>
      </c>
      <c r="N242" s="676"/>
      <c r="O242" s="24">
        <f t="shared" si="46"/>
        <v>0</v>
      </c>
      <c r="P242" s="676"/>
      <c r="Q242" s="24">
        <f t="shared" si="47"/>
        <v>1</v>
      </c>
      <c r="R242" s="672">
        <f t="shared" si="48"/>
        <v>0</v>
      </c>
      <c r="S242" s="322">
        <f t="shared" si="49"/>
        <v>0</v>
      </c>
    </row>
    <row r="243" spans="1:19">
      <c r="A243" s="155"/>
      <c r="B243" s="57"/>
      <c r="C243" s="24">
        <f t="shared" si="40"/>
        <v>1</v>
      </c>
      <c r="D243" s="676"/>
      <c r="E243" s="24">
        <f t="shared" si="41"/>
        <v>0</v>
      </c>
      <c r="F243" s="676"/>
      <c r="G243" s="24">
        <f t="shared" si="42"/>
        <v>0.1</v>
      </c>
      <c r="H243" s="676"/>
      <c r="I243" s="24">
        <f t="shared" si="43"/>
        <v>1</v>
      </c>
      <c r="J243" s="676"/>
      <c r="K243" s="24">
        <f t="shared" si="44"/>
        <v>1</v>
      </c>
      <c r="L243" s="676"/>
      <c r="M243" s="24">
        <f t="shared" si="45"/>
        <v>0</v>
      </c>
      <c r="N243" s="676"/>
      <c r="O243" s="24">
        <f t="shared" si="46"/>
        <v>0</v>
      </c>
      <c r="P243" s="676"/>
      <c r="Q243" s="24">
        <f t="shared" si="47"/>
        <v>1</v>
      </c>
      <c r="R243" s="672">
        <f t="shared" si="48"/>
        <v>0</v>
      </c>
      <c r="S243" s="322">
        <f t="shared" si="49"/>
        <v>0</v>
      </c>
    </row>
    <row r="244" spans="1:19">
      <c r="A244" s="155"/>
      <c r="B244" s="57"/>
      <c r="C244" s="24">
        <f t="shared" si="40"/>
        <v>1</v>
      </c>
      <c r="D244" s="676"/>
      <c r="E244" s="24">
        <f t="shared" si="41"/>
        <v>0</v>
      </c>
      <c r="F244" s="676"/>
      <c r="G244" s="24">
        <f t="shared" si="42"/>
        <v>0.1</v>
      </c>
      <c r="H244" s="676"/>
      <c r="I244" s="24">
        <f t="shared" si="43"/>
        <v>1</v>
      </c>
      <c r="J244" s="676"/>
      <c r="K244" s="24">
        <f t="shared" si="44"/>
        <v>1</v>
      </c>
      <c r="L244" s="676"/>
      <c r="M244" s="24">
        <f t="shared" si="45"/>
        <v>0</v>
      </c>
      <c r="N244" s="676"/>
      <c r="O244" s="24">
        <f t="shared" si="46"/>
        <v>0</v>
      </c>
      <c r="P244" s="676"/>
      <c r="Q244" s="24">
        <f t="shared" si="47"/>
        <v>1</v>
      </c>
      <c r="R244" s="672">
        <f t="shared" si="48"/>
        <v>0</v>
      </c>
      <c r="S244" s="322">
        <f t="shared" si="49"/>
        <v>0</v>
      </c>
    </row>
    <row r="245" spans="1:19">
      <c r="A245" s="155"/>
      <c r="B245" s="57"/>
      <c r="C245" s="24">
        <f t="shared" si="40"/>
        <v>1</v>
      </c>
      <c r="D245" s="676"/>
      <c r="E245" s="24">
        <f t="shared" si="41"/>
        <v>0</v>
      </c>
      <c r="F245" s="676"/>
      <c r="G245" s="24">
        <f t="shared" si="42"/>
        <v>0.1</v>
      </c>
      <c r="H245" s="676"/>
      <c r="I245" s="24">
        <f t="shared" si="43"/>
        <v>1</v>
      </c>
      <c r="J245" s="676"/>
      <c r="K245" s="24">
        <f t="shared" si="44"/>
        <v>1</v>
      </c>
      <c r="L245" s="676"/>
      <c r="M245" s="24">
        <f t="shared" si="45"/>
        <v>0</v>
      </c>
      <c r="N245" s="676"/>
      <c r="O245" s="24">
        <f t="shared" si="46"/>
        <v>0</v>
      </c>
      <c r="P245" s="676"/>
      <c r="Q245" s="24">
        <f t="shared" si="47"/>
        <v>1</v>
      </c>
      <c r="R245" s="672">
        <f t="shared" si="48"/>
        <v>0</v>
      </c>
      <c r="S245" s="322">
        <f t="shared" si="49"/>
        <v>0</v>
      </c>
    </row>
    <row r="246" spans="1:19">
      <c r="A246" s="155"/>
      <c r="B246" s="57"/>
      <c r="C246" s="24">
        <f t="shared" si="40"/>
        <v>1</v>
      </c>
      <c r="D246" s="676"/>
      <c r="E246" s="24">
        <f t="shared" si="41"/>
        <v>0</v>
      </c>
      <c r="F246" s="676"/>
      <c r="G246" s="24">
        <f t="shared" si="42"/>
        <v>0.1</v>
      </c>
      <c r="H246" s="676"/>
      <c r="I246" s="24">
        <f t="shared" si="43"/>
        <v>1</v>
      </c>
      <c r="J246" s="676"/>
      <c r="K246" s="24">
        <f t="shared" si="44"/>
        <v>1</v>
      </c>
      <c r="L246" s="676"/>
      <c r="M246" s="24">
        <f t="shared" si="45"/>
        <v>0</v>
      </c>
      <c r="N246" s="676"/>
      <c r="O246" s="24">
        <f t="shared" si="46"/>
        <v>0</v>
      </c>
      <c r="P246" s="676"/>
      <c r="Q246" s="24">
        <f t="shared" si="47"/>
        <v>1</v>
      </c>
      <c r="R246" s="672">
        <f t="shared" si="48"/>
        <v>0</v>
      </c>
      <c r="S246" s="322">
        <f t="shared" si="49"/>
        <v>0</v>
      </c>
    </row>
    <row r="247" spans="1:19">
      <c r="A247" s="155"/>
      <c r="B247" s="57"/>
      <c r="C247" s="24">
        <f t="shared" si="40"/>
        <v>1</v>
      </c>
      <c r="D247" s="676"/>
      <c r="E247" s="24">
        <f t="shared" si="41"/>
        <v>0</v>
      </c>
      <c r="F247" s="676"/>
      <c r="G247" s="24">
        <f t="shared" si="42"/>
        <v>0.1</v>
      </c>
      <c r="H247" s="676"/>
      <c r="I247" s="24">
        <f t="shared" si="43"/>
        <v>1</v>
      </c>
      <c r="J247" s="676"/>
      <c r="K247" s="24">
        <f t="shared" si="44"/>
        <v>1</v>
      </c>
      <c r="L247" s="676"/>
      <c r="M247" s="24">
        <f t="shared" si="45"/>
        <v>0</v>
      </c>
      <c r="N247" s="676"/>
      <c r="O247" s="24">
        <f t="shared" si="46"/>
        <v>0</v>
      </c>
      <c r="P247" s="676"/>
      <c r="Q247" s="24">
        <f t="shared" si="47"/>
        <v>1</v>
      </c>
      <c r="R247" s="672">
        <f t="shared" si="48"/>
        <v>0</v>
      </c>
      <c r="S247" s="322">
        <f t="shared" si="49"/>
        <v>0</v>
      </c>
    </row>
    <row r="248" spans="1:19">
      <c r="A248" s="155"/>
      <c r="B248" s="57"/>
      <c r="C248" s="24">
        <f t="shared" si="40"/>
        <v>1</v>
      </c>
      <c r="D248" s="676"/>
      <c r="E248" s="24">
        <f t="shared" si="41"/>
        <v>0</v>
      </c>
      <c r="F248" s="676"/>
      <c r="G248" s="24">
        <f t="shared" si="42"/>
        <v>0.1</v>
      </c>
      <c r="H248" s="676"/>
      <c r="I248" s="24">
        <f t="shared" si="43"/>
        <v>1</v>
      </c>
      <c r="J248" s="676"/>
      <c r="K248" s="24">
        <f t="shared" si="44"/>
        <v>1</v>
      </c>
      <c r="L248" s="676"/>
      <c r="M248" s="24">
        <f t="shared" si="45"/>
        <v>0</v>
      </c>
      <c r="N248" s="676"/>
      <c r="O248" s="24">
        <f t="shared" si="46"/>
        <v>0</v>
      </c>
      <c r="P248" s="676"/>
      <c r="Q248" s="24">
        <f t="shared" si="47"/>
        <v>1</v>
      </c>
      <c r="R248" s="672">
        <f t="shared" si="48"/>
        <v>0</v>
      </c>
      <c r="S248" s="322">
        <f t="shared" si="49"/>
        <v>0</v>
      </c>
    </row>
    <row r="249" spans="1:19">
      <c r="A249" s="155"/>
      <c r="B249" s="57"/>
      <c r="C249" s="24">
        <f t="shared" si="40"/>
        <v>1</v>
      </c>
      <c r="D249" s="676"/>
      <c r="E249" s="24">
        <f t="shared" si="41"/>
        <v>0</v>
      </c>
      <c r="F249" s="676"/>
      <c r="G249" s="24">
        <f t="shared" si="42"/>
        <v>0.1</v>
      </c>
      <c r="H249" s="676"/>
      <c r="I249" s="24">
        <f t="shared" si="43"/>
        <v>1</v>
      </c>
      <c r="J249" s="676"/>
      <c r="K249" s="24">
        <f t="shared" si="44"/>
        <v>1</v>
      </c>
      <c r="L249" s="676"/>
      <c r="M249" s="24">
        <f t="shared" si="45"/>
        <v>0</v>
      </c>
      <c r="N249" s="676"/>
      <c r="O249" s="24">
        <f t="shared" si="46"/>
        <v>0</v>
      </c>
      <c r="P249" s="676"/>
      <c r="Q249" s="24">
        <f t="shared" si="47"/>
        <v>1</v>
      </c>
      <c r="R249" s="672">
        <f t="shared" si="48"/>
        <v>0</v>
      </c>
      <c r="S249" s="322">
        <f t="shared" si="49"/>
        <v>0</v>
      </c>
    </row>
    <row r="250" spans="1:19">
      <c r="A250" s="155"/>
      <c r="B250" s="57"/>
      <c r="C250" s="24">
        <f t="shared" si="40"/>
        <v>1</v>
      </c>
      <c r="D250" s="676"/>
      <c r="E250" s="24">
        <f t="shared" si="41"/>
        <v>0</v>
      </c>
      <c r="F250" s="676"/>
      <c r="G250" s="24">
        <f t="shared" si="42"/>
        <v>0.1</v>
      </c>
      <c r="H250" s="676"/>
      <c r="I250" s="24">
        <f t="shared" si="43"/>
        <v>1</v>
      </c>
      <c r="J250" s="676"/>
      <c r="K250" s="24">
        <f t="shared" si="44"/>
        <v>1</v>
      </c>
      <c r="L250" s="676"/>
      <c r="M250" s="24">
        <f t="shared" si="45"/>
        <v>0</v>
      </c>
      <c r="N250" s="676"/>
      <c r="O250" s="24">
        <f t="shared" si="46"/>
        <v>0</v>
      </c>
      <c r="P250" s="676"/>
      <c r="Q250" s="24">
        <f t="shared" si="47"/>
        <v>1</v>
      </c>
      <c r="R250" s="672">
        <f t="shared" si="48"/>
        <v>0</v>
      </c>
      <c r="S250" s="322">
        <f t="shared" si="49"/>
        <v>0</v>
      </c>
    </row>
    <row r="251" spans="1:19">
      <c r="A251" s="155"/>
      <c r="B251" s="57"/>
      <c r="C251" s="24">
        <f t="shared" si="40"/>
        <v>1</v>
      </c>
      <c r="D251" s="676"/>
      <c r="E251" s="24">
        <f t="shared" si="41"/>
        <v>0</v>
      </c>
      <c r="F251" s="676"/>
      <c r="G251" s="24">
        <f t="shared" si="42"/>
        <v>0.1</v>
      </c>
      <c r="H251" s="676"/>
      <c r="I251" s="24">
        <f t="shared" si="43"/>
        <v>1</v>
      </c>
      <c r="J251" s="676"/>
      <c r="K251" s="24">
        <f t="shared" si="44"/>
        <v>1</v>
      </c>
      <c r="L251" s="676"/>
      <c r="M251" s="24">
        <f t="shared" si="45"/>
        <v>0</v>
      </c>
      <c r="N251" s="676"/>
      <c r="O251" s="24">
        <f t="shared" si="46"/>
        <v>0</v>
      </c>
      <c r="P251" s="676"/>
      <c r="Q251" s="24">
        <f t="shared" si="47"/>
        <v>1</v>
      </c>
      <c r="R251" s="672">
        <f t="shared" si="48"/>
        <v>0</v>
      </c>
      <c r="S251" s="322">
        <f t="shared" si="49"/>
        <v>0</v>
      </c>
    </row>
    <row r="252" spans="1:19">
      <c r="A252" s="155"/>
      <c r="B252" s="57"/>
      <c r="C252" s="24">
        <f t="shared" si="40"/>
        <v>1</v>
      </c>
      <c r="D252" s="676"/>
      <c r="E252" s="24">
        <f t="shared" si="41"/>
        <v>0</v>
      </c>
      <c r="F252" s="676"/>
      <c r="G252" s="24">
        <f t="shared" si="42"/>
        <v>0.1</v>
      </c>
      <c r="H252" s="676"/>
      <c r="I252" s="24">
        <f t="shared" si="43"/>
        <v>1</v>
      </c>
      <c r="J252" s="676"/>
      <c r="K252" s="24">
        <f t="shared" si="44"/>
        <v>1</v>
      </c>
      <c r="L252" s="676"/>
      <c r="M252" s="24">
        <f t="shared" si="45"/>
        <v>0</v>
      </c>
      <c r="N252" s="676"/>
      <c r="O252" s="24">
        <f t="shared" si="46"/>
        <v>0</v>
      </c>
      <c r="P252" s="676"/>
      <c r="Q252" s="24">
        <f t="shared" si="47"/>
        <v>1</v>
      </c>
      <c r="R252" s="672">
        <f t="shared" si="48"/>
        <v>0</v>
      </c>
      <c r="S252" s="322">
        <f t="shared" si="49"/>
        <v>0</v>
      </c>
    </row>
    <row r="253" spans="1:19">
      <c r="A253" s="155"/>
      <c r="B253" s="57"/>
      <c r="C253" s="24">
        <f t="shared" si="40"/>
        <v>1</v>
      </c>
      <c r="D253" s="676"/>
      <c r="E253" s="24">
        <f t="shared" si="41"/>
        <v>0</v>
      </c>
      <c r="F253" s="676"/>
      <c r="G253" s="24">
        <f t="shared" si="42"/>
        <v>0.1</v>
      </c>
      <c r="H253" s="676"/>
      <c r="I253" s="24">
        <f t="shared" si="43"/>
        <v>1</v>
      </c>
      <c r="J253" s="676"/>
      <c r="K253" s="24">
        <f t="shared" si="44"/>
        <v>1</v>
      </c>
      <c r="L253" s="676"/>
      <c r="M253" s="24">
        <f t="shared" si="45"/>
        <v>0</v>
      </c>
      <c r="N253" s="676"/>
      <c r="O253" s="24">
        <f t="shared" si="46"/>
        <v>0</v>
      </c>
      <c r="P253" s="676"/>
      <c r="Q253" s="24">
        <f t="shared" si="47"/>
        <v>1</v>
      </c>
      <c r="R253" s="672">
        <f t="shared" si="48"/>
        <v>0</v>
      </c>
      <c r="S253" s="322">
        <f t="shared" si="49"/>
        <v>0</v>
      </c>
    </row>
    <row r="254" spans="1:19">
      <c r="A254" s="155"/>
      <c r="B254" s="57"/>
      <c r="C254" s="24">
        <f t="shared" si="40"/>
        <v>1</v>
      </c>
      <c r="D254" s="676"/>
      <c r="E254" s="24">
        <f t="shared" si="41"/>
        <v>0</v>
      </c>
      <c r="F254" s="676"/>
      <c r="G254" s="24">
        <f t="shared" si="42"/>
        <v>0.1</v>
      </c>
      <c r="H254" s="676"/>
      <c r="I254" s="24">
        <f t="shared" si="43"/>
        <v>1</v>
      </c>
      <c r="J254" s="676"/>
      <c r="K254" s="24">
        <f t="shared" si="44"/>
        <v>1</v>
      </c>
      <c r="L254" s="676"/>
      <c r="M254" s="24">
        <f t="shared" si="45"/>
        <v>0</v>
      </c>
      <c r="N254" s="676"/>
      <c r="O254" s="24">
        <f t="shared" si="46"/>
        <v>0</v>
      </c>
      <c r="P254" s="676"/>
      <c r="Q254" s="24">
        <f t="shared" si="47"/>
        <v>1</v>
      </c>
      <c r="R254" s="672">
        <f t="shared" si="48"/>
        <v>0</v>
      </c>
      <c r="S254" s="322">
        <f t="shared" si="49"/>
        <v>0</v>
      </c>
    </row>
    <row r="255" spans="1:19">
      <c r="A255" s="155"/>
      <c r="B255" s="57"/>
      <c r="C255" s="24">
        <f t="shared" si="40"/>
        <v>1</v>
      </c>
      <c r="D255" s="676"/>
      <c r="E255" s="24">
        <f t="shared" si="41"/>
        <v>0</v>
      </c>
      <c r="F255" s="676"/>
      <c r="G255" s="24">
        <f t="shared" si="42"/>
        <v>0.1</v>
      </c>
      <c r="H255" s="676"/>
      <c r="I255" s="24">
        <f t="shared" si="43"/>
        <v>1</v>
      </c>
      <c r="J255" s="676"/>
      <c r="K255" s="24">
        <f t="shared" si="44"/>
        <v>1</v>
      </c>
      <c r="L255" s="676"/>
      <c r="M255" s="24">
        <f t="shared" si="45"/>
        <v>0</v>
      </c>
      <c r="N255" s="676"/>
      <c r="O255" s="24">
        <f t="shared" si="46"/>
        <v>0</v>
      </c>
      <c r="P255" s="676"/>
      <c r="Q255" s="24">
        <f t="shared" si="47"/>
        <v>1</v>
      </c>
      <c r="R255" s="672">
        <f t="shared" si="48"/>
        <v>0</v>
      </c>
      <c r="S255" s="322">
        <f t="shared" si="49"/>
        <v>0</v>
      </c>
    </row>
    <row r="256" spans="1:19">
      <c r="A256" s="155"/>
      <c r="B256" s="57"/>
      <c r="C256" s="24">
        <f t="shared" si="40"/>
        <v>1</v>
      </c>
      <c r="D256" s="676"/>
      <c r="E256" s="24">
        <f t="shared" si="41"/>
        <v>0</v>
      </c>
      <c r="F256" s="676"/>
      <c r="G256" s="24">
        <f t="shared" si="42"/>
        <v>0.1</v>
      </c>
      <c r="H256" s="676"/>
      <c r="I256" s="24">
        <f t="shared" si="43"/>
        <v>1</v>
      </c>
      <c r="J256" s="676"/>
      <c r="K256" s="24">
        <f t="shared" si="44"/>
        <v>1</v>
      </c>
      <c r="L256" s="676"/>
      <c r="M256" s="24">
        <f t="shared" si="45"/>
        <v>0</v>
      </c>
      <c r="N256" s="676"/>
      <c r="O256" s="24">
        <f t="shared" si="46"/>
        <v>0</v>
      </c>
      <c r="P256" s="676"/>
      <c r="Q256" s="24">
        <f t="shared" si="47"/>
        <v>1</v>
      </c>
      <c r="R256" s="672">
        <f t="shared" si="48"/>
        <v>0</v>
      </c>
      <c r="S256" s="322">
        <f t="shared" si="49"/>
        <v>0</v>
      </c>
    </row>
    <row r="257" spans="1:19">
      <c r="A257" s="155"/>
      <c r="B257" s="57"/>
      <c r="C257" s="24">
        <f t="shared" si="40"/>
        <v>1</v>
      </c>
      <c r="D257" s="676"/>
      <c r="E257" s="24">
        <f t="shared" si="41"/>
        <v>0</v>
      </c>
      <c r="F257" s="676"/>
      <c r="G257" s="24">
        <f t="shared" si="42"/>
        <v>0.1</v>
      </c>
      <c r="H257" s="676"/>
      <c r="I257" s="24">
        <f t="shared" si="43"/>
        <v>1</v>
      </c>
      <c r="J257" s="676"/>
      <c r="K257" s="24">
        <f t="shared" si="44"/>
        <v>1</v>
      </c>
      <c r="L257" s="676"/>
      <c r="M257" s="24">
        <f t="shared" si="45"/>
        <v>0</v>
      </c>
      <c r="N257" s="676"/>
      <c r="O257" s="24">
        <f t="shared" si="46"/>
        <v>0</v>
      </c>
      <c r="P257" s="676"/>
      <c r="Q257" s="24">
        <f t="shared" si="47"/>
        <v>1</v>
      </c>
      <c r="R257" s="672">
        <f t="shared" si="48"/>
        <v>0</v>
      </c>
      <c r="S257" s="322">
        <f t="shared" si="49"/>
        <v>0</v>
      </c>
    </row>
    <row r="258" spans="1:19">
      <c r="A258" s="155"/>
      <c r="B258" s="57"/>
      <c r="C258" s="24">
        <f t="shared" si="40"/>
        <v>1</v>
      </c>
      <c r="D258" s="676"/>
      <c r="E258" s="24">
        <f t="shared" si="41"/>
        <v>0</v>
      </c>
      <c r="F258" s="676"/>
      <c r="G258" s="24">
        <f t="shared" si="42"/>
        <v>0.1</v>
      </c>
      <c r="H258" s="676"/>
      <c r="I258" s="24">
        <f t="shared" si="43"/>
        <v>1</v>
      </c>
      <c r="J258" s="676"/>
      <c r="K258" s="24">
        <f t="shared" si="44"/>
        <v>1</v>
      </c>
      <c r="L258" s="676"/>
      <c r="M258" s="24">
        <f t="shared" si="45"/>
        <v>0</v>
      </c>
      <c r="N258" s="676"/>
      <c r="O258" s="24">
        <f t="shared" si="46"/>
        <v>0</v>
      </c>
      <c r="P258" s="676"/>
      <c r="Q258" s="24">
        <f t="shared" si="47"/>
        <v>1</v>
      </c>
      <c r="R258" s="672">
        <f t="shared" si="48"/>
        <v>0</v>
      </c>
      <c r="S258" s="322">
        <f t="shared" si="49"/>
        <v>0</v>
      </c>
    </row>
    <row r="259" spans="1:19">
      <c r="A259" s="155"/>
      <c r="B259" s="57"/>
      <c r="C259" s="24">
        <f t="shared" si="40"/>
        <v>1</v>
      </c>
      <c r="D259" s="676"/>
      <c r="E259" s="24">
        <f t="shared" si="41"/>
        <v>0</v>
      </c>
      <c r="F259" s="676"/>
      <c r="G259" s="24">
        <f t="shared" si="42"/>
        <v>0.1</v>
      </c>
      <c r="H259" s="676"/>
      <c r="I259" s="24">
        <f t="shared" si="43"/>
        <v>1</v>
      </c>
      <c r="J259" s="676"/>
      <c r="K259" s="24">
        <f t="shared" si="44"/>
        <v>1</v>
      </c>
      <c r="L259" s="676"/>
      <c r="M259" s="24">
        <f t="shared" si="45"/>
        <v>0</v>
      </c>
      <c r="N259" s="676"/>
      <c r="O259" s="24">
        <f t="shared" si="46"/>
        <v>0</v>
      </c>
      <c r="P259" s="676"/>
      <c r="Q259" s="24">
        <f t="shared" si="47"/>
        <v>1</v>
      </c>
      <c r="R259" s="672">
        <f t="shared" si="48"/>
        <v>0</v>
      </c>
      <c r="S259" s="322">
        <f t="shared" si="49"/>
        <v>0</v>
      </c>
    </row>
    <row r="260" spans="1:19">
      <c r="A260" s="155"/>
      <c r="B260" s="57"/>
      <c r="C260" s="24">
        <f t="shared" si="40"/>
        <v>1</v>
      </c>
      <c r="D260" s="676"/>
      <c r="E260" s="24">
        <f t="shared" si="41"/>
        <v>0</v>
      </c>
      <c r="F260" s="676"/>
      <c r="G260" s="24">
        <f t="shared" si="42"/>
        <v>0.1</v>
      </c>
      <c r="H260" s="676"/>
      <c r="I260" s="24">
        <f t="shared" si="43"/>
        <v>1</v>
      </c>
      <c r="J260" s="676"/>
      <c r="K260" s="24">
        <f t="shared" si="44"/>
        <v>1</v>
      </c>
      <c r="L260" s="676"/>
      <c r="M260" s="24">
        <f t="shared" si="45"/>
        <v>0</v>
      </c>
      <c r="N260" s="676"/>
      <c r="O260" s="24">
        <f t="shared" si="46"/>
        <v>0</v>
      </c>
      <c r="P260" s="676"/>
      <c r="Q260" s="24">
        <f t="shared" si="47"/>
        <v>1</v>
      </c>
      <c r="R260" s="672">
        <f t="shared" si="48"/>
        <v>0</v>
      </c>
      <c r="S260" s="322">
        <f t="shared" si="49"/>
        <v>0</v>
      </c>
    </row>
    <row r="261" spans="1:19">
      <c r="A261" s="155"/>
      <c r="B261" s="57"/>
      <c r="C261" s="24">
        <f t="shared" si="40"/>
        <v>1</v>
      </c>
      <c r="D261" s="676"/>
      <c r="E261" s="24">
        <f t="shared" si="41"/>
        <v>0</v>
      </c>
      <c r="F261" s="676"/>
      <c r="G261" s="24">
        <f t="shared" si="42"/>
        <v>0.1</v>
      </c>
      <c r="H261" s="676"/>
      <c r="I261" s="24">
        <f t="shared" si="43"/>
        <v>1</v>
      </c>
      <c r="J261" s="676"/>
      <c r="K261" s="24">
        <f t="shared" si="44"/>
        <v>1</v>
      </c>
      <c r="L261" s="676"/>
      <c r="M261" s="24">
        <f t="shared" si="45"/>
        <v>0</v>
      </c>
      <c r="N261" s="676"/>
      <c r="O261" s="24">
        <f t="shared" si="46"/>
        <v>0</v>
      </c>
      <c r="P261" s="676"/>
      <c r="Q261" s="24">
        <f t="shared" si="47"/>
        <v>1</v>
      </c>
      <c r="R261" s="672">
        <f t="shared" si="48"/>
        <v>0</v>
      </c>
      <c r="S261" s="322">
        <f t="shared" si="49"/>
        <v>0</v>
      </c>
    </row>
    <row r="262" spans="1:19">
      <c r="A262" s="155"/>
      <c r="B262" s="57"/>
      <c r="C262" s="24">
        <f t="shared" si="40"/>
        <v>1</v>
      </c>
      <c r="D262" s="676"/>
      <c r="E262" s="24">
        <f t="shared" si="41"/>
        <v>0</v>
      </c>
      <c r="F262" s="676"/>
      <c r="G262" s="24">
        <f t="shared" si="42"/>
        <v>0.1</v>
      </c>
      <c r="H262" s="676"/>
      <c r="I262" s="24">
        <f t="shared" si="43"/>
        <v>1</v>
      </c>
      <c r="J262" s="676"/>
      <c r="K262" s="24">
        <f t="shared" si="44"/>
        <v>1</v>
      </c>
      <c r="L262" s="676"/>
      <c r="M262" s="24">
        <f t="shared" si="45"/>
        <v>0</v>
      </c>
      <c r="N262" s="676"/>
      <c r="O262" s="24">
        <f t="shared" si="46"/>
        <v>0</v>
      </c>
      <c r="P262" s="676"/>
      <c r="Q262" s="24">
        <f t="shared" si="47"/>
        <v>1</v>
      </c>
      <c r="R262" s="672">
        <f t="shared" si="48"/>
        <v>0</v>
      </c>
      <c r="S262" s="322">
        <f t="shared" si="49"/>
        <v>0</v>
      </c>
    </row>
    <row r="263" spans="1:19">
      <c r="A263" s="155"/>
      <c r="B263" s="57"/>
      <c r="C263" s="24">
        <f t="shared" si="40"/>
        <v>1</v>
      </c>
      <c r="D263" s="676"/>
      <c r="E263" s="24">
        <f t="shared" si="41"/>
        <v>0</v>
      </c>
      <c r="F263" s="676"/>
      <c r="G263" s="24">
        <f t="shared" si="42"/>
        <v>0.1</v>
      </c>
      <c r="H263" s="676"/>
      <c r="I263" s="24">
        <f t="shared" si="43"/>
        <v>1</v>
      </c>
      <c r="J263" s="676"/>
      <c r="K263" s="24">
        <f t="shared" si="44"/>
        <v>1</v>
      </c>
      <c r="L263" s="676"/>
      <c r="M263" s="24">
        <f t="shared" si="45"/>
        <v>0</v>
      </c>
      <c r="N263" s="676"/>
      <c r="O263" s="24">
        <f t="shared" si="46"/>
        <v>0</v>
      </c>
      <c r="P263" s="676"/>
      <c r="Q263" s="24">
        <f t="shared" si="47"/>
        <v>1</v>
      </c>
      <c r="R263" s="672">
        <f t="shared" si="48"/>
        <v>0</v>
      </c>
      <c r="S263" s="322">
        <f t="shared" si="49"/>
        <v>0</v>
      </c>
    </row>
    <row r="264" spans="1:19">
      <c r="A264" s="155"/>
      <c r="B264" s="57"/>
      <c r="C264" s="24">
        <f t="shared" si="40"/>
        <v>1</v>
      </c>
      <c r="D264" s="676"/>
      <c r="E264" s="24">
        <f t="shared" si="41"/>
        <v>0</v>
      </c>
      <c r="F264" s="676"/>
      <c r="G264" s="24">
        <f t="shared" si="42"/>
        <v>0.1</v>
      </c>
      <c r="H264" s="676"/>
      <c r="I264" s="24">
        <f t="shared" si="43"/>
        <v>1</v>
      </c>
      <c r="J264" s="676"/>
      <c r="K264" s="24">
        <f t="shared" si="44"/>
        <v>1</v>
      </c>
      <c r="L264" s="676"/>
      <c r="M264" s="24">
        <f t="shared" si="45"/>
        <v>0</v>
      </c>
      <c r="N264" s="676"/>
      <c r="O264" s="24">
        <f t="shared" si="46"/>
        <v>0</v>
      </c>
      <c r="P264" s="676"/>
      <c r="Q264" s="24">
        <f t="shared" si="47"/>
        <v>1</v>
      </c>
      <c r="R264" s="672">
        <f t="shared" si="48"/>
        <v>0</v>
      </c>
      <c r="S264" s="322">
        <f t="shared" si="49"/>
        <v>0</v>
      </c>
    </row>
    <row r="265" spans="1:19">
      <c r="A265" s="155"/>
      <c r="B265" s="57"/>
      <c r="C265" s="24">
        <f t="shared" si="40"/>
        <v>1</v>
      </c>
      <c r="D265" s="676"/>
      <c r="E265" s="24">
        <f t="shared" si="41"/>
        <v>0</v>
      </c>
      <c r="F265" s="676"/>
      <c r="G265" s="24">
        <f t="shared" si="42"/>
        <v>0.1</v>
      </c>
      <c r="H265" s="676"/>
      <c r="I265" s="24">
        <f t="shared" si="43"/>
        <v>1</v>
      </c>
      <c r="J265" s="676"/>
      <c r="K265" s="24">
        <f t="shared" si="44"/>
        <v>1</v>
      </c>
      <c r="L265" s="676"/>
      <c r="M265" s="24">
        <f t="shared" si="45"/>
        <v>0</v>
      </c>
      <c r="N265" s="676"/>
      <c r="O265" s="24">
        <f t="shared" si="46"/>
        <v>0</v>
      </c>
      <c r="P265" s="676"/>
      <c r="Q265" s="24">
        <f t="shared" si="47"/>
        <v>1</v>
      </c>
      <c r="R265" s="672">
        <f t="shared" si="48"/>
        <v>0</v>
      </c>
      <c r="S265" s="322">
        <f t="shared" si="49"/>
        <v>0</v>
      </c>
    </row>
    <row r="266" spans="1:19">
      <c r="A266" s="155"/>
      <c r="B266" s="57"/>
      <c r="C266" s="24">
        <f t="shared" si="40"/>
        <v>1</v>
      </c>
      <c r="D266" s="676"/>
      <c r="E266" s="24">
        <f t="shared" si="41"/>
        <v>0</v>
      </c>
      <c r="F266" s="676"/>
      <c r="G266" s="24">
        <f t="shared" si="42"/>
        <v>0.1</v>
      </c>
      <c r="H266" s="676"/>
      <c r="I266" s="24">
        <f t="shared" si="43"/>
        <v>1</v>
      </c>
      <c r="J266" s="676"/>
      <c r="K266" s="24">
        <f t="shared" si="44"/>
        <v>1</v>
      </c>
      <c r="L266" s="676"/>
      <c r="M266" s="24">
        <f t="shared" si="45"/>
        <v>0</v>
      </c>
      <c r="N266" s="676"/>
      <c r="O266" s="24">
        <f t="shared" si="46"/>
        <v>0</v>
      </c>
      <c r="P266" s="676"/>
      <c r="Q266" s="24">
        <f t="shared" si="47"/>
        <v>1</v>
      </c>
      <c r="R266" s="672">
        <f t="shared" si="48"/>
        <v>0</v>
      </c>
      <c r="S266" s="322">
        <f t="shared" si="49"/>
        <v>0</v>
      </c>
    </row>
    <row r="267" spans="1:19">
      <c r="A267" s="155"/>
      <c r="B267" s="57"/>
      <c r="C267" s="24">
        <f t="shared" si="40"/>
        <v>1</v>
      </c>
      <c r="D267" s="676"/>
      <c r="E267" s="24">
        <f t="shared" si="41"/>
        <v>0</v>
      </c>
      <c r="F267" s="676"/>
      <c r="G267" s="24">
        <f t="shared" si="42"/>
        <v>0.1</v>
      </c>
      <c r="H267" s="676"/>
      <c r="I267" s="24">
        <f t="shared" si="43"/>
        <v>1</v>
      </c>
      <c r="J267" s="676"/>
      <c r="K267" s="24">
        <f t="shared" si="44"/>
        <v>1</v>
      </c>
      <c r="L267" s="676"/>
      <c r="M267" s="24">
        <f t="shared" si="45"/>
        <v>0</v>
      </c>
      <c r="N267" s="676"/>
      <c r="O267" s="24">
        <f t="shared" si="46"/>
        <v>0</v>
      </c>
      <c r="P267" s="676"/>
      <c r="Q267" s="24">
        <f t="shared" si="47"/>
        <v>1</v>
      </c>
      <c r="R267" s="672">
        <f t="shared" si="48"/>
        <v>0</v>
      </c>
      <c r="S267" s="322">
        <f t="shared" si="49"/>
        <v>0</v>
      </c>
    </row>
    <row r="268" spans="1:19">
      <c r="A268" s="155"/>
      <c r="B268" s="57"/>
      <c r="C268" s="24">
        <f t="shared" si="40"/>
        <v>1</v>
      </c>
      <c r="D268" s="676"/>
      <c r="E268" s="24">
        <f t="shared" si="41"/>
        <v>0</v>
      </c>
      <c r="F268" s="676"/>
      <c r="G268" s="24">
        <f t="shared" si="42"/>
        <v>0.1</v>
      </c>
      <c r="H268" s="676"/>
      <c r="I268" s="24">
        <f t="shared" si="43"/>
        <v>1</v>
      </c>
      <c r="J268" s="676"/>
      <c r="K268" s="24">
        <f t="shared" si="44"/>
        <v>1</v>
      </c>
      <c r="L268" s="676"/>
      <c r="M268" s="24">
        <f t="shared" si="45"/>
        <v>0</v>
      </c>
      <c r="N268" s="676"/>
      <c r="O268" s="24">
        <f t="shared" si="46"/>
        <v>0</v>
      </c>
      <c r="P268" s="676"/>
      <c r="Q268" s="24">
        <f t="shared" si="47"/>
        <v>1</v>
      </c>
      <c r="R268" s="672">
        <f t="shared" si="48"/>
        <v>0</v>
      </c>
      <c r="S268" s="322">
        <f t="shared" si="49"/>
        <v>0</v>
      </c>
    </row>
    <row r="269" spans="1:19">
      <c r="A269" s="155"/>
      <c r="B269" s="57"/>
      <c r="C269" s="24">
        <f t="shared" si="40"/>
        <v>1</v>
      </c>
      <c r="D269" s="676"/>
      <c r="E269" s="24">
        <f t="shared" si="41"/>
        <v>0</v>
      </c>
      <c r="F269" s="676"/>
      <c r="G269" s="24">
        <f t="shared" si="42"/>
        <v>0.1</v>
      </c>
      <c r="H269" s="676"/>
      <c r="I269" s="24">
        <f t="shared" si="43"/>
        <v>1</v>
      </c>
      <c r="J269" s="676"/>
      <c r="K269" s="24">
        <f t="shared" si="44"/>
        <v>1</v>
      </c>
      <c r="L269" s="676"/>
      <c r="M269" s="24">
        <f t="shared" si="45"/>
        <v>0</v>
      </c>
      <c r="N269" s="676"/>
      <c r="O269" s="24">
        <f t="shared" si="46"/>
        <v>0</v>
      </c>
      <c r="P269" s="676"/>
      <c r="Q269" s="24">
        <f t="shared" si="47"/>
        <v>1</v>
      </c>
      <c r="R269" s="672">
        <f t="shared" si="48"/>
        <v>0</v>
      </c>
      <c r="S269" s="322">
        <f t="shared" si="49"/>
        <v>0</v>
      </c>
    </row>
    <row r="270" spans="1:19">
      <c r="A270" s="155"/>
      <c r="B270" s="57"/>
      <c r="C270" s="24">
        <f t="shared" si="40"/>
        <v>1</v>
      </c>
      <c r="D270" s="676"/>
      <c r="E270" s="24">
        <f t="shared" si="41"/>
        <v>0</v>
      </c>
      <c r="F270" s="676"/>
      <c r="G270" s="24">
        <f t="shared" si="42"/>
        <v>0.1</v>
      </c>
      <c r="H270" s="676"/>
      <c r="I270" s="24">
        <f t="shared" si="43"/>
        <v>1</v>
      </c>
      <c r="J270" s="676"/>
      <c r="K270" s="24">
        <f t="shared" si="44"/>
        <v>1</v>
      </c>
      <c r="L270" s="676"/>
      <c r="M270" s="24">
        <f t="shared" si="45"/>
        <v>0</v>
      </c>
      <c r="N270" s="676"/>
      <c r="O270" s="24">
        <f t="shared" si="46"/>
        <v>0</v>
      </c>
      <c r="P270" s="676"/>
      <c r="Q270" s="24">
        <f t="shared" si="47"/>
        <v>1</v>
      </c>
      <c r="R270" s="672">
        <f t="shared" si="48"/>
        <v>0</v>
      </c>
      <c r="S270" s="322">
        <f t="shared" si="49"/>
        <v>0</v>
      </c>
    </row>
    <row r="271" spans="1:19">
      <c r="A271" s="155"/>
      <c r="B271" s="57"/>
      <c r="C271" s="24">
        <f t="shared" si="40"/>
        <v>1</v>
      </c>
      <c r="D271" s="676"/>
      <c r="E271" s="24">
        <f t="shared" si="41"/>
        <v>0</v>
      </c>
      <c r="F271" s="676"/>
      <c r="G271" s="24">
        <f t="shared" si="42"/>
        <v>0.1</v>
      </c>
      <c r="H271" s="676"/>
      <c r="I271" s="24">
        <f t="shared" si="43"/>
        <v>1</v>
      </c>
      <c r="J271" s="676"/>
      <c r="K271" s="24">
        <f t="shared" si="44"/>
        <v>1</v>
      </c>
      <c r="L271" s="676"/>
      <c r="M271" s="24">
        <f t="shared" si="45"/>
        <v>0</v>
      </c>
      <c r="N271" s="676"/>
      <c r="O271" s="24">
        <f t="shared" si="46"/>
        <v>0</v>
      </c>
      <c r="P271" s="676"/>
      <c r="Q271" s="24">
        <f t="shared" si="47"/>
        <v>1</v>
      </c>
      <c r="R271" s="672">
        <f t="shared" si="48"/>
        <v>0</v>
      </c>
      <c r="S271" s="322">
        <f t="shared" si="49"/>
        <v>0</v>
      </c>
    </row>
    <row r="272" spans="1:19">
      <c r="A272" s="155"/>
      <c r="B272" s="57"/>
      <c r="C272" s="24">
        <f t="shared" si="40"/>
        <v>1</v>
      </c>
      <c r="D272" s="676"/>
      <c r="E272" s="24">
        <f t="shared" si="41"/>
        <v>0</v>
      </c>
      <c r="F272" s="676"/>
      <c r="G272" s="24">
        <f t="shared" si="42"/>
        <v>0.1</v>
      </c>
      <c r="H272" s="676"/>
      <c r="I272" s="24">
        <f t="shared" si="43"/>
        <v>1</v>
      </c>
      <c r="J272" s="676"/>
      <c r="K272" s="24">
        <f t="shared" si="44"/>
        <v>1</v>
      </c>
      <c r="L272" s="676"/>
      <c r="M272" s="24">
        <f t="shared" si="45"/>
        <v>0</v>
      </c>
      <c r="N272" s="676"/>
      <c r="O272" s="24">
        <f t="shared" si="46"/>
        <v>0</v>
      </c>
      <c r="P272" s="676"/>
      <c r="Q272" s="24">
        <f t="shared" si="47"/>
        <v>1</v>
      </c>
      <c r="R272" s="672">
        <f t="shared" si="48"/>
        <v>0</v>
      </c>
      <c r="S272" s="322">
        <f t="shared" si="49"/>
        <v>0</v>
      </c>
    </row>
    <row r="273" spans="1:19">
      <c r="A273" s="155"/>
      <c r="B273" s="57"/>
      <c r="C273" s="24">
        <f t="shared" si="40"/>
        <v>1</v>
      </c>
      <c r="D273" s="676"/>
      <c r="E273" s="24">
        <f t="shared" si="41"/>
        <v>0</v>
      </c>
      <c r="F273" s="676"/>
      <c r="G273" s="24">
        <f t="shared" si="42"/>
        <v>0.1</v>
      </c>
      <c r="H273" s="676"/>
      <c r="I273" s="24">
        <f t="shared" si="43"/>
        <v>1</v>
      </c>
      <c r="J273" s="676"/>
      <c r="K273" s="24">
        <f t="shared" si="44"/>
        <v>1</v>
      </c>
      <c r="L273" s="676"/>
      <c r="M273" s="24">
        <f t="shared" si="45"/>
        <v>0</v>
      </c>
      <c r="N273" s="676"/>
      <c r="O273" s="24">
        <f t="shared" si="46"/>
        <v>0</v>
      </c>
      <c r="P273" s="676"/>
      <c r="Q273" s="24">
        <f t="shared" si="47"/>
        <v>1</v>
      </c>
      <c r="R273" s="672">
        <f t="shared" si="48"/>
        <v>0</v>
      </c>
      <c r="S273" s="322">
        <f t="shared" si="49"/>
        <v>0</v>
      </c>
    </row>
    <row r="274" spans="1:19">
      <c r="A274" s="155"/>
      <c r="B274" s="57"/>
      <c r="C274" s="24">
        <f t="shared" si="40"/>
        <v>1</v>
      </c>
      <c r="D274" s="676"/>
      <c r="E274" s="24">
        <f t="shared" si="41"/>
        <v>0</v>
      </c>
      <c r="F274" s="676"/>
      <c r="G274" s="24">
        <f t="shared" si="42"/>
        <v>0.1</v>
      </c>
      <c r="H274" s="676"/>
      <c r="I274" s="24">
        <f t="shared" si="43"/>
        <v>1</v>
      </c>
      <c r="J274" s="676"/>
      <c r="K274" s="24">
        <f t="shared" si="44"/>
        <v>1</v>
      </c>
      <c r="L274" s="676"/>
      <c r="M274" s="24">
        <f t="shared" si="45"/>
        <v>0</v>
      </c>
      <c r="N274" s="676"/>
      <c r="O274" s="24">
        <f t="shared" si="46"/>
        <v>0</v>
      </c>
      <c r="P274" s="676"/>
      <c r="Q274" s="24">
        <f t="shared" si="47"/>
        <v>1</v>
      </c>
      <c r="R274" s="672">
        <f t="shared" si="48"/>
        <v>0</v>
      </c>
      <c r="S274" s="322">
        <f t="shared" si="49"/>
        <v>0</v>
      </c>
    </row>
    <row r="275" spans="1:19">
      <c r="A275" s="155"/>
      <c r="B275" s="57"/>
      <c r="C275" s="24">
        <f t="shared" si="40"/>
        <v>1</v>
      </c>
      <c r="D275" s="676"/>
      <c r="E275" s="24">
        <f t="shared" si="41"/>
        <v>0</v>
      </c>
      <c r="F275" s="676"/>
      <c r="G275" s="24">
        <f t="shared" si="42"/>
        <v>0.1</v>
      </c>
      <c r="H275" s="676"/>
      <c r="I275" s="24">
        <f t="shared" si="43"/>
        <v>1</v>
      </c>
      <c r="J275" s="676"/>
      <c r="K275" s="24">
        <f t="shared" si="44"/>
        <v>1</v>
      </c>
      <c r="L275" s="676"/>
      <c r="M275" s="24">
        <f t="shared" si="45"/>
        <v>0</v>
      </c>
      <c r="N275" s="676"/>
      <c r="O275" s="24">
        <f t="shared" si="46"/>
        <v>0</v>
      </c>
      <c r="P275" s="676"/>
      <c r="Q275" s="24">
        <f t="shared" si="47"/>
        <v>1</v>
      </c>
      <c r="R275" s="672">
        <f t="shared" si="48"/>
        <v>0</v>
      </c>
      <c r="S275" s="322">
        <f t="shared" si="49"/>
        <v>0</v>
      </c>
    </row>
    <row r="276" spans="1:19">
      <c r="A276" s="155"/>
      <c r="B276" s="57"/>
      <c r="C276" s="24">
        <f t="shared" si="40"/>
        <v>1</v>
      </c>
      <c r="D276" s="676"/>
      <c r="E276" s="24">
        <f t="shared" si="41"/>
        <v>0</v>
      </c>
      <c r="F276" s="676"/>
      <c r="G276" s="24">
        <f t="shared" si="42"/>
        <v>0.1</v>
      </c>
      <c r="H276" s="676"/>
      <c r="I276" s="24">
        <f t="shared" si="43"/>
        <v>1</v>
      </c>
      <c r="J276" s="676"/>
      <c r="K276" s="24">
        <f t="shared" si="44"/>
        <v>1</v>
      </c>
      <c r="L276" s="676"/>
      <c r="M276" s="24">
        <f t="shared" si="45"/>
        <v>0</v>
      </c>
      <c r="N276" s="676"/>
      <c r="O276" s="24">
        <f t="shared" si="46"/>
        <v>0</v>
      </c>
      <c r="P276" s="676"/>
      <c r="Q276" s="24">
        <f t="shared" si="47"/>
        <v>1</v>
      </c>
      <c r="R276" s="672">
        <f t="shared" si="48"/>
        <v>0</v>
      </c>
      <c r="S276" s="322">
        <f t="shared" si="49"/>
        <v>0</v>
      </c>
    </row>
    <row r="277" spans="1:19">
      <c r="A277" s="155"/>
      <c r="B277" s="57"/>
      <c r="C277" s="24">
        <f t="shared" si="40"/>
        <v>1</v>
      </c>
      <c r="D277" s="676"/>
      <c r="E277" s="24">
        <f t="shared" si="41"/>
        <v>0</v>
      </c>
      <c r="F277" s="676"/>
      <c r="G277" s="24">
        <f t="shared" si="42"/>
        <v>0.1</v>
      </c>
      <c r="H277" s="676"/>
      <c r="I277" s="24">
        <f t="shared" si="43"/>
        <v>1</v>
      </c>
      <c r="J277" s="676"/>
      <c r="K277" s="24">
        <f t="shared" si="44"/>
        <v>1</v>
      </c>
      <c r="L277" s="676"/>
      <c r="M277" s="24">
        <f t="shared" si="45"/>
        <v>0</v>
      </c>
      <c r="N277" s="676"/>
      <c r="O277" s="24">
        <f t="shared" si="46"/>
        <v>0</v>
      </c>
      <c r="P277" s="676"/>
      <c r="Q277" s="24">
        <f t="shared" si="47"/>
        <v>1</v>
      </c>
      <c r="R277" s="672">
        <f t="shared" si="48"/>
        <v>0</v>
      </c>
      <c r="S277" s="322">
        <f t="shared" si="49"/>
        <v>0</v>
      </c>
    </row>
    <row r="278" spans="1:19">
      <c r="A278" s="155"/>
      <c r="B278" s="57"/>
      <c r="C278" s="24">
        <f t="shared" si="40"/>
        <v>1</v>
      </c>
      <c r="D278" s="676"/>
      <c r="E278" s="24">
        <f t="shared" si="41"/>
        <v>0</v>
      </c>
      <c r="F278" s="676"/>
      <c r="G278" s="24">
        <f t="shared" si="42"/>
        <v>0.1</v>
      </c>
      <c r="H278" s="676"/>
      <c r="I278" s="24">
        <f t="shared" si="43"/>
        <v>1</v>
      </c>
      <c r="J278" s="676"/>
      <c r="K278" s="24">
        <f t="shared" si="44"/>
        <v>1</v>
      </c>
      <c r="L278" s="676"/>
      <c r="M278" s="24">
        <f t="shared" si="45"/>
        <v>0</v>
      </c>
      <c r="N278" s="676"/>
      <c r="O278" s="24">
        <f t="shared" si="46"/>
        <v>0</v>
      </c>
      <c r="P278" s="676"/>
      <c r="Q278" s="24">
        <f t="shared" si="47"/>
        <v>1</v>
      </c>
      <c r="R278" s="672">
        <f t="shared" si="48"/>
        <v>0</v>
      </c>
      <c r="S278" s="322">
        <f t="shared" si="49"/>
        <v>0</v>
      </c>
    </row>
    <row r="279" spans="1:19">
      <c r="A279" s="155"/>
      <c r="B279" s="57"/>
      <c r="C279" s="24">
        <f t="shared" si="40"/>
        <v>1</v>
      </c>
      <c r="D279" s="676"/>
      <c r="E279" s="24">
        <f t="shared" si="41"/>
        <v>0</v>
      </c>
      <c r="F279" s="676"/>
      <c r="G279" s="24">
        <f t="shared" si="42"/>
        <v>0.1</v>
      </c>
      <c r="H279" s="676"/>
      <c r="I279" s="24">
        <f t="shared" si="43"/>
        <v>1</v>
      </c>
      <c r="J279" s="676"/>
      <c r="K279" s="24">
        <f t="shared" si="44"/>
        <v>1</v>
      </c>
      <c r="L279" s="676"/>
      <c r="M279" s="24">
        <f t="shared" si="45"/>
        <v>0</v>
      </c>
      <c r="N279" s="676"/>
      <c r="O279" s="24">
        <f t="shared" si="46"/>
        <v>0</v>
      </c>
      <c r="P279" s="676"/>
      <c r="Q279" s="24">
        <f t="shared" si="47"/>
        <v>1</v>
      </c>
      <c r="R279" s="672">
        <f t="shared" si="48"/>
        <v>0</v>
      </c>
      <c r="S279" s="322">
        <f t="shared" si="49"/>
        <v>0</v>
      </c>
    </row>
    <row r="280" spans="1:19">
      <c r="A280" s="155"/>
      <c r="B280" s="57"/>
      <c r="C280" s="24">
        <f t="shared" si="40"/>
        <v>1</v>
      </c>
      <c r="D280" s="676"/>
      <c r="E280" s="24">
        <f t="shared" si="41"/>
        <v>0</v>
      </c>
      <c r="F280" s="676"/>
      <c r="G280" s="24">
        <f t="shared" si="42"/>
        <v>0.1</v>
      </c>
      <c r="H280" s="676"/>
      <c r="I280" s="24">
        <f t="shared" si="43"/>
        <v>1</v>
      </c>
      <c r="J280" s="676"/>
      <c r="K280" s="24">
        <f t="shared" si="44"/>
        <v>1</v>
      </c>
      <c r="L280" s="676"/>
      <c r="M280" s="24">
        <f t="shared" si="45"/>
        <v>0</v>
      </c>
      <c r="N280" s="676"/>
      <c r="O280" s="24">
        <f t="shared" si="46"/>
        <v>0</v>
      </c>
      <c r="P280" s="676"/>
      <c r="Q280" s="24">
        <f t="shared" si="47"/>
        <v>1</v>
      </c>
      <c r="R280" s="672">
        <f t="shared" si="48"/>
        <v>0</v>
      </c>
      <c r="S280" s="322">
        <f t="shared" si="49"/>
        <v>0</v>
      </c>
    </row>
    <row r="281" spans="1:19">
      <c r="A281" s="155"/>
      <c r="B281" s="57"/>
      <c r="C281" s="24">
        <f t="shared" si="40"/>
        <v>1</v>
      </c>
      <c r="D281" s="676"/>
      <c r="E281" s="24">
        <f t="shared" si="41"/>
        <v>0</v>
      </c>
      <c r="F281" s="676"/>
      <c r="G281" s="24">
        <f t="shared" si="42"/>
        <v>0.1</v>
      </c>
      <c r="H281" s="676"/>
      <c r="I281" s="24">
        <f t="shared" si="43"/>
        <v>1</v>
      </c>
      <c r="J281" s="676"/>
      <c r="K281" s="24">
        <f t="shared" si="44"/>
        <v>1</v>
      </c>
      <c r="L281" s="676"/>
      <c r="M281" s="24">
        <f t="shared" si="45"/>
        <v>0</v>
      </c>
      <c r="N281" s="676"/>
      <c r="O281" s="24">
        <f t="shared" si="46"/>
        <v>0</v>
      </c>
      <c r="P281" s="676"/>
      <c r="Q281" s="24">
        <f t="shared" si="47"/>
        <v>1</v>
      </c>
      <c r="R281" s="672">
        <f t="shared" si="48"/>
        <v>0</v>
      </c>
      <c r="S281" s="322">
        <f t="shared" si="49"/>
        <v>0</v>
      </c>
    </row>
    <row r="282" spans="1:19">
      <c r="A282" s="155"/>
      <c r="B282" s="57"/>
      <c r="C282" s="24">
        <f t="shared" ref="C282:C345" si="50">IF(B282="",1,(LOOKUP(B282,$3:$3,$4:$4)-LOOKUP($B$24,$3:$3,$4:$4)+100)/100)</f>
        <v>1</v>
      </c>
      <c r="D282" s="676"/>
      <c r="E282" s="24">
        <f t="shared" ref="E282:E345" si="51">(SUMIF($5:$5,D282,$6:$6)-SUMIF($5:$5,$D$24,$6:$6)+100)/100</f>
        <v>0</v>
      </c>
      <c r="F282" s="676"/>
      <c r="G282" s="24">
        <f t="shared" ref="G282:G345" si="52">(SUMIF($7:$7,F282,$8:$8)-SUMIF($7:$7,$F$24,$8:$8)+100)/100</f>
        <v>0.1</v>
      </c>
      <c r="H282" s="676"/>
      <c r="I282" s="24">
        <f t="shared" ref="I282:I345" si="53">(SUMIF($9:$9,H282,$10:$10)-SUMIF($9:$9,$H$24,$10:$10)+100)/100</f>
        <v>1</v>
      </c>
      <c r="J282" s="676"/>
      <c r="K282" s="24">
        <f t="shared" ref="K282:K345" si="54">(SUMIF($11:$11,J282,$12:$12)-SUMIF($11:$11,$J$24,$12:$12)+100)/100</f>
        <v>1</v>
      </c>
      <c r="L282" s="676"/>
      <c r="M282" s="24">
        <f t="shared" ref="M282:M345" si="55">(SUMIF($13:$13,L282,$14:$14)-SUMIF($13:$13,$L$24,$14:$14)+100)/100</f>
        <v>0</v>
      </c>
      <c r="N282" s="676"/>
      <c r="O282" s="24">
        <f t="shared" ref="O282:O345" si="56">(SUMIF($15:$15,N282,$16:$16)-SUMIF($15:$15,$N$24,$16:$16)+100)/100</f>
        <v>0</v>
      </c>
      <c r="P282" s="676"/>
      <c r="Q282" s="24">
        <f t="shared" ref="Q282:Q345" si="57">(SUMIF($17:$17,P282,$18:$18)-SUMIF($17:$17,$P$24,$18:$18)+100)/100</f>
        <v>1</v>
      </c>
      <c r="R282" s="672">
        <f t="shared" ref="R282:R345" si="58">IF(B282="",0,ROUND($R$24*C282*E282*G282*I282*K282*M282*O282*Q282,0))</f>
        <v>0</v>
      </c>
      <c r="S282" s="322">
        <f t="shared" si="49"/>
        <v>0</v>
      </c>
    </row>
    <row r="283" spans="1:19">
      <c r="A283" s="155"/>
      <c r="B283" s="57"/>
      <c r="C283" s="24">
        <f t="shared" si="50"/>
        <v>1</v>
      </c>
      <c r="D283" s="676"/>
      <c r="E283" s="24">
        <f t="shared" si="51"/>
        <v>0</v>
      </c>
      <c r="F283" s="676"/>
      <c r="G283" s="24">
        <f t="shared" si="52"/>
        <v>0.1</v>
      </c>
      <c r="H283" s="676"/>
      <c r="I283" s="24">
        <f t="shared" si="53"/>
        <v>1</v>
      </c>
      <c r="J283" s="676"/>
      <c r="K283" s="24">
        <f t="shared" si="54"/>
        <v>1</v>
      </c>
      <c r="L283" s="676"/>
      <c r="M283" s="24">
        <f t="shared" si="55"/>
        <v>0</v>
      </c>
      <c r="N283" s="676"/>
      <c r="O283" s="24">
        <f t="shared" si="56"/>
        <v>0</v>
      </c>
      <c r="P283" s="676"/>
      <c r="Q283" s="24">
        <f t="shared" si="57"/>
        <v>1</v>
      </c>
      <c r="R283" s="672">
        <f t="shared" si="58"/>
        <v>0</v>
      </c>
      <c r="S283" s="322">
        <f t="shared" si="49"/>
        <v>0</v>
      </c>
    </row>
    <row r="284" spans="1:19">
      <c r="A284" s="155"/>
      <c r="B284" s="57"/>
      <c r="C284" s="24">
        <f t="shared" si="50"/>
        <v>1</v>
      </c>
      <c r="D284" s="676"/>
      <c r="E284" s="24">
        <f t="shared" si="51"/>
        <v>0</v>
      </c>
      <c r="F284" s="676"/>
      <c r="G284" s="24">
        <f t="shared" si="52"/>
        <v>0.1</v>
      </c>
      <c r="H284" s="676"/>
      <c r="I284" s="24">
        <f t="shared" si="53"/>
        <v>1</v>
      </c>
      <c r="J284" s="676"/>
      <c r="K284" s="24">
        <f t="shared" si="54"/>
        <v>1</v>
      </c>
      <c r="L284" s="676"/>
      <c r="M284" s="24">
        <f t="shared" si="55"/>
        <v>0</v>
      </c>
      <c r="N284" s="676"/>
      <c r="O284" s="24">
        <f t="shared" si="56"/>
        <v>0</v>
      </c>
      <c r="P284" s="676"/>
      <c r="Q284" s="24">
        <f t="shared" si="57"/>
        <v>1</v>
      </c>
      <c r="R284" s="672">
        <f t="shared" si="58"/>
        <v>0</v>
      </c>
      <c r="S284" s="322">
        <f t="shared" si="49"/>
        <v>0</v>
      </c>
    </row>
    <row r="285" spans="1:19">
      <c r="A285" s="155"/>
      <c r="B285" s="57"/>
      <c r="C285" s="24">
        <f t="shared" si="50"/>
        <v>1</v>
      </c>
      <c r="D285" s="676"/>
      <c r="E285" s="24">
        <f t="shared" si="51"/>
        <v>0</v>
      </c>
      <c r="F285" s="676"/>
      <c r="G285" s="24">
        <f t="shared" si="52"/>
        <v>0.1</v>
      </c>
      <c r="H285" s="676"/>
      <c r="I285" s="24">
        <f t="shared" si="53"/>
        <v>1</v>
      </c>
      <c r="J285" s="676"/>
      <c r="K285" s="24">
        <f t="shared" si="54"/>
        <v>1</v>
      </c>
      <c r="L285" s="676"/>
      <c r="M285" s="24">
        <f t="shared" si="55"/>
        <v>0</v>
      </c>
      <c r="N285" s="676"/>
      <c r="O285" s="24">
        <f t="shared" si="56"/>
        <v>0</v>
      </c>
      <c r="P285" s="676"/>
      <c r="Q285" s="24">
        <f t="shared" si="57"/>
        <v>1</v>
      </c>
      <c r="R285" s="672">
        <f t="shared" si="58"/>
        <v>0</v>
      </c>
      <c r="S285" s="322">
        <f t="shared" si="49"/>
        <v>0</v>
      </c>
    </row>
    <row r="286" spans="1:19">
      <c r="A286" s="155"/>
      <c r="B286" s="57"/>
      <c r="C286" s="24">
        <f t="shared" si="50"/>
        <v>1</v>
      </c>
      <c r="D286" s="676"/>
      <c r="E286" s="24">
        <f t="shared" si="51"/>
        <v>0</v>
      </c>
      <c r="F286" s="676"/>
      <c r="G286" s="24">
        <f t="shared" si="52"/>
        <v>0.1</v>
      </c>
      <c r="H286" s="676"/>
      <c r="I286" s="24">
        <f t="shared" si="53"/>
        <v>1</v>
      </c>
      <c r="J286" s="676"/>
      <c r="K286" s="24">
        <f t="shared" si="54"/>
        <v>1</v>
      </c>
      <c r="L286" s="676"/>
      <c r="M286" s="24">
        <f t="shared" si="55"/>
        <v>0</v>
      </c>
      <c r="N286" s="676"/>
      <c r="O286" s="24">
        <f t="shared" si="56"/>
        <v>0</v>
      </c>
      <c r="P286" s="676"/>
      <c r="Q286" s="24">
        <f t="shared" si="57"/>
        <v>1</v>
      </c>
      <c r="R286" s="672">
        <f t="shared" si="58"/>
        <v>0</v>
      </c>
      <c r="S286" s="322">
        <f t="shared" si="49"/>
        <v>0</v>
      </c>
    </row>
    <row r="287" spans="1:19">
      <c r="A287" s="155"/>
      <c r="B287" s="57"/>
      <c r="C287" s="24">
        <f t="shared" si="50"/>
        <v>1</v>
      </c>
      <c r="D287" s="676"/>
      <c r="E287" s="24">
        <f t="shared" si="51"/>
        <v>0</v>
      </c>
      <c r="F287" s="676"/>
      <c r="G287" s="24">
        <f t="shared" si="52"/>
        <v>0.1</v>
      </c>
      <c r="H287" s="676"/>
      <c r="I287" s="24">
        <f t="shared" si="53"/>
        <v>1</v>
      </c>
      <c r="J287" s="676"/>
      <c r="K287" s="24">
        <f t="shared" si="54"/>
        <v>1</v>
      </c>
      <c r="L287" s="676"/>
      <c r="M287" s="24">
        <f t="shared" si="55"/>
        <v>0</v>
      </c>
      <c r="N287" s="676"/>
      <c r="O287" s="24">
        <f t="shared" si="56"/>
        <v>0</v>
      </c>
      <c r="P287" s="676"/>
      <c r="Q287" s="24">
        <f t="shared" si="57"/>
        <v>1</v>
      </c>
      <c r="R287" s="672">
        <f t="shared" si="58"/>
        <v>0</v>
      </c>
      <c r="S287" s="322">
        <f t="shared" ref="S287:S320" si="59">ROUND(R287*B287/10000,0)</f>
        <v>0</v>
      </c>
    </row>
    <row r="288" spans="1:19">
      <c r="A288" s="155"/>
      <c r="B288" s="57"/>
      <c r="C288" s="24">
        <f t="shared" si="50"/>
        <v>1</v>
      </c>
      <c r="D288" s="676"/>
      <c r="E288" s="24">
        <f t="shared" si="51"/>
        <v>0</v>
      </c>
      <c r="F288" s="676"/>
      <c r="G288" s="24">
        <f t="shared" si="52"/>
        <v>0.1</v>
      </c>
      <c r="H288" s="676"/>
      <c r="I288" s="24">
        <f t="shared" si="53"/>
        <v>1</v>
      </c>
      <c r="J288" s="676"/>
      <c r="K288" s="24">
        <f t="shared" si="54"/>
        <v>1</v>
      </c>
      <c r="L288" s="676"/>
      <c r="M288" s="24">
        <f t="shared" si="55"/>
        <v>0</v>
      </c>
      <c r="N288" s="676"/>
      <c r="O288" s="24">
        <f t="shared" si="56"/>
        <v>0</v>
      </c>
      <c r="P288" s="676"/>
      <c r="Q288" s="24">
        <f t="shared" si="57"/>
        <v>1</v>
      </c>
      <c r="R288" s="672">
        <f t="shared" si="58"/>
        <v>0</v>
      </c>
      <c r="S288" s="322">
        <f t="shared" si="59"/>
        <v>0</v>
      </c>
    </row>
    <row r="289" spans="1:19">
      <c r="A289" s="155"/>
      <c r="B289" s="57"/>
      <c r="C289" s="24">
        <f t="shared" si="50"/>
        <v>1</v>
      </c>
      <c r="D289" s="676"/>
      <c r="E289" s="24">
        <f t="shared" si="51"/>
        <v>0</v>
      </c>
      <c r="F289" s="676"/>
      <c r="G289" s="24">
        <f t="shared" si="52"/>
        <v>0.1</v>
      </c>
      <c r="H289" s="676"/>
      <c r="I289" s="24">
        <f t="shared" si="53"/>
        <v>1</v>
      </c>
      <c r="J289" s="676"/>
      <c r="K289" s="24">
        <f t="shared" si="54"/>
        <v>1</v>
      </c>
      <c r="L289" s="676"/>
      <c r="M289" s="24">
        <f t="shared" si="55"/>
        <v>0</v>
      </c>
      <c r="N289" s="676"/>
      <c r="O289" s="24">
        <f t="shared" si="56"/>
        <v>0</v>
      </c>
      <c r="P289" s="676"/>
      <c r="Q289" s="24">
        <f t="shared" si="57"/>
        <v>1</v>
      </c>
      <c r="R289" s="672">
        <f t="shared" si="58"/>
        <v>0</v>
      </c>
      <c r="S289" s="322">
        <f t="shared" si="59"/>
        <v>0</v>
      </c>
    </row>
    <row r="290" spans="1:19">
      <c r="A290" s="155"/>
      <c r="B290" s="57"/>
      <c r="C290" s="24">
        <f t="shared" si="50"/>
        <v>1</v>
      </c>
      <c r="D290" s="676"/>
      <c r="E290" s="24">
        <f t="shared" si="51"/>
        <v>0</v>
      </c>
      <c r="F290" s="676"/>
      <c r="G290" s="24">
        <f t="shared" si="52"/>
        <v>0.1</v>
      </c>
      <c r="H290" s="676"/>
      <c r="I290" s="24">
        <f t="shared" si="53"/>
        <v>1</v>
      </c>
      <c r="J290" s="676"/>
      <c r="K290" s="24">
        <f t="shared" si="54"/>
        <v>1</v>
      </c>
      <c r="L290" s="676"/>
      <c r="M290" s="24">
        <f t="shared" si="55"/>
        <v>0</v>
      </c>
      <c r="N290" s="676"/>
      <c r="O290" s="24">
        <f t="shared" si="56"/>
        <v>0</v>
      </c>
      <c r="P290" s="676"/>
      <c r="Q290" s="24">
        <f t="shared" si="57"/>
        <v>1</v>
      </c>
      <c r="R290" s="672">
        <f t="shared" si="58"/>
        <v>0</v>
      </c>
      <c r="S290" s="322">
        <f t="shared" si="59"/>
        <v>0</v>
      </c>
    </row>
    <row r="291" spans="1:19">
      <c r="A291" s="155"/>
      <c r="B291" s="57"/>
      <c r="C291" s="24">
        <f t="shared" si="50"/>
        <v>1</v>
      </c>
      <c r="D291" s="676"/>
      <c r="E291" s="24">
        <f t="shared" si="51"/>
        <v>0</v>
      </c>
      <c r="F291" s="676"/>
      <c r="G291" s="24">
        <f t="shared" si="52"/>
        <v>0.1</v>
      </c>
      <c r="H291" s="676"/>
      <c r="I291" s="24">
        <f t="shared" si="53"/>
        <v>1</v>
      </c>
      <c r="J291" s="676"/>
      <c r="K291" s="24">
        <f t="shared" si="54"/>
        <v>1</v>
      </c>
      <c r="L291" s="676"/>
      <c r="M291" s="24">
        <f t="shared" si="55"/>
        <v>0</v>
      </c>
      <c r="N291" s="676"/>
      <c r="O291" s="24">
        <f t="shared" si="56"/>
        <v>0</v>
      </c>
      <c r="P291" s="676"/>
      <c r="Q291" s="24">
        <f t="shared" si="57"/>
        <v>1</v>
      </c>
      <c r="R291" s="672">
        <f t="shared" si="58"/>
        <v>0</v>
      </c>
      <c r="S291" s="322">
        <f t="shared" si="59"/>
        <v>0</v>
      </c>
    </row>
    <row r="292" spans="1:19">
      <c r="A292" s="155"/>
      <c r="B292" s="57"/>
      <c r="C292" s="24">
        <f t="shared" si="50"/>
        <v>1</v>
      </c>
      <c r="D292" s="676"/>
      <c r="E292" s="24">
        <f t="shared" si="51"/>
        <v>0</v>
      </c>
      <c r="F292" s="676"/>
      <c r="G292" s="24">
        <f t="shared" si="52"/>
        <v>0.1</v>
      </c>
      <c r="H292" s="676"/>
      <c r="I292" s="24">
        <f t="shared" si="53"/>
        <v>1</v>
      </c>
      <c r="J292" s="676"/>
      <c r="K292" s="24">
        <f t="shared" si="54"/>
        <v>1</v>
      </c>
      <c r="L292" s="676"/>
      <c r="M292" s="24">
        <f t="shared" si="55"/>
        <v>0</v>
      </c>
      <c r="N292" s="676"/>
      <c r="O292" s="24">
        <f t="shared" si="56"/>
        <v>0</v>
      </c>
      <c r="P292" s="676"/>
      <c r="Q292" s="24">
        <f t="shared" si="57"/>
        <v>1</v>
      </c>
      <c r="R292" s="672">
        <f t="shared" si="58"/>
        <v>0</v>
      </c>
      <c r="S292" s="322">
        <f t="shared" si="59"/>
        <v>0</v>
      </c>
    </row>
    <row r="293" spans="1:19">
      <c r="A293" s="155"/>
      <c r="B293" s="57"/>
      <c r="C293" s="24">
        <f t="shared" si="50"/>
        <v>1</v>
      </c>
      <c r="D293" s="676"/>
      <c r="E293" s="24">
        <f t="shared" si="51"/>
        <v>0</v>
      </c>
      <c r="F293" s="676"/>
      <c r="G293" s="24">
        <f t="shared" si="52"/>
        <v>0.1</v>
      </c>
      <c r="H293" s="676"/>
      <c r="I293" s="24">
        <f t="shared" si="53"/>
        <v>1</v>
      </c>
      <c r="J293" s="676"/>
      <c r="K293" s="24">
        <f t="shared" si="54"/>
        <v>1</v>
      </c>
      <c r="L293" s="676"/>
      <c r="M293" s="24">
        <f t="shared" si="55"/>
        <v>0</v>
      </c>
      <c r="N293" s="676"/>
      <c r="O293" s="24">
        <f t="shared" si="56"/>
        <v>0</v>
      </c>
      <c r="P293" s="676"/>
      <c r="Q293" s="24">
        <f t="shared" si="57"/>
        <v>1</v>
      </c>
      <c r="R293" s="672">
        <f t="shared" si="58"/>
        <v>0</v>
      </c>
      <c r="S293" s="322">
        <f t="shared" si="59"/>
        <v>0</v>
      </c>
    </row>
    <row r="294" spans="1:19">
      <c r="A294" s="155"/>
      <c r="B294" s="57"/>
      <c r="C294" s="24">
        <f t="shared" si="50"/>
        <v>1</v>
      </c>
      <c r="D294" s="676"/>
      <c r="E294" s="24">
        <f t="shared" si="51"/>
        <v>0</v>
      </c>
      <c r="F294" s="676"/>
      <c r="G294" s="24">
        <f t="shared" si="52"/>
        <v>0.1</v>
      </c>
      <c r="H294" s="676"/>
      <c r="I294" s="24">
        <f t="shared" si="53"/>
        <v>1</v>
      </c>
      <c r="J294" s="676"/>
      <c r="K294" s="24">
        <f t="shared" si="54"/>
        <v>1</v>
      </c>
      <c r="L294" s="676"/>
      <c r="M294" s="24">
        <f t="shared" si="55"/>
        <v>0</v>
      </c>
      <c r="N294" s="676"/>
      <c r="O294" s="24">
        <f t="shared" si="56"/>
        <v>0</v>
      </c>
      <c r="P294" s="676"/>
      <c r="Q294" s="24">
        <f t="shared" si="57"/>
        <v>1</v>
      </c>
      <c r="R294" s="672">
        <f t="shared" si="58"/>
        <v>0</v>
      </c>
      <c r="S294" s="322">
        <f t="shared" si="59"/>
        <v>0</v>
      </c>
    </row>
    <row r="295" spans="1:19">
      <c r="A295" s="155"/>
      <c r="B295" s="57"/>
      <c r="C295" s="24">
        <f t="shared" si="50"/>
        <v>1</v>
      </c>
      <c r="D295" s="676"/>
      <c r="E295" s="24">
        <f t="shared" si="51"/>
        <v>0</v>
      </c>
      <c r="F295" s="676"/>
      <c r="G295" s="24">
        <f t="shared" si="52"/>
        <v>0.1</v>
      </c>
      <c r="H295" s="676"/>
      <c r="I295" s="24">
        <f t="shared" si="53"/>
        <v>1</v>
      </c>
      <c r="J295" s="676"/>
      <c r="K295" s="24">
        <f t="shared" si="54"/>
        <v>1</v>
      </c>
      <c r="L295" s="676"/>
      <c r="M295" s="24">
        <f t="shared" si="55"/>
        <v>0</v>
      </c>
      <c r="N295" s="676"/>
      <c r="O295" s="24">
        <f t="shared" si="56"/>
        <v>0</v>
      </c>
      <c r="P295" s="676"/>
      <c r="Q295" s="24">
        <f t="shared" si="57"/>
        <v>1</v>
      </c>
      <c r="R295" s="672">
        <f t="shared" si="58"/>
        <v>0</v>
      </c>
      <c r="S295" s="322">
        <f t="shared" si="59"/>
        <v>0</v>
      </c>
    </row>
    <row r="296" spans="1:19">
      <c r="A296" s="155"/>
      <c r="B296" s="57"/>
      <c r="C296" s="24">
        <f t="shared" si="50"/>
        <v>1</v>
      </c>
      <c r="D296" s="676"/>
      <c r="E296" s="24">
        <f t="shared" si="51"/>
        <v>0</v>
      </c>
      <c r="F296" s="676"/>
      <c r="G296" s="24">
        <f t="shared" si="52"/>
        <v>0.1</v>
      </c>
      <c r="H296" s="676"/>
      <c r="I296" s="24">
        <f t="shared" si="53"/>
        <v>1</v>
      </c>
      <c r="J296" s="676"/>
      <c r="K296" s="24">
        <f t="shared" si="54"/>
        <v>1</v>
      </c>
      <c r="L296" s="676"/>
      <c r="M296" s="24">
        <f t="shared" si="55"/>
        <v>0</v>
      </c>
      <c r="N296" s="676"/>
      <c r="O296" s="24">
        <f t="shared" si="56"/>
        <v>0</v>
      </c>
      <c r="P296" s="676"/>
      <c r="Q296" s="24">
        <f t="shared" si="57"/>
        <v>1</v>
      </c>
      <c r="R296" s="672">
        <f t="shared" si="58"/>
        <v>0</v>
      </c>
      <c r="S296" s="322">
        <f t="shared" si="59"/>
        <v>0</v>
      </c>
    </row>
    <row r="297" spans="1:19">
      <c r="A297" s="155"/>
      <c r="B297" s="57"/>
      <c r="C297" s="24">
        <f t="shared" si="50"/>
        <v>1</v>
      </c>
      <c r="D297" s="676"/>
      <c r="E297" s="24">
        <f t="shared" si="51"/>
        <v>0</v>
      </c>
      <c r="F297" s="676"/>
      <c r="G297" s="24">
        <f t="shared" si="52"/>
        <v>0.1</v>
      </c>
      <c r="H297" s="676"/>
      <c r="I297" s="24">
        <f t="shared" si="53"/>
        <v>1</v>
      </c>
      <c r="J297" s="676"/>
      <c r="K297" s="24">
        <f t="shared" si="54"/>
        <v>1</v>
      </c>
      <c r="L297" s="676"/>
      <c r="M297" s="24">
        <f t="shared" si="55"/>
        <v>0</v>
      </c>
      <c r="N297" s="676"/>
      <c r="O297" s="24">
        <f t="shared" si="56"/>
        <v>0</v>
      </c>
      <c r="P297" s="676"/>
      <c r="Q297" s="24">
        <f t="shared" si="57"/>
        <v>1</v>
      </c>
      <c r="R297" s="672">
        <f t="shared" si="58"/>
        <v>0</v>
      </c>
      <c r="S297" s="322">
        <f t="shared" si="59"/>
        <v>0</v>
      </c>
    </row>
    <row r="298" spans="1:19">
      <c r="A298" s="155"/>
      <c r="B298" s="57"/>
      <c r="C298" s="24">
        <f t="shared" si="50"/>
        <v>1</v>
      </c>
      <c r="D298" s="676"/>
      <c r="E298" s="24">
        <f t="shared" si="51"/>
        <v>0</v>
      </c>
      <c r="F298" s="676"/>
      <c r="G298" s="24">
        <f t="shared" si="52"/>
        <v>0.1</v>
      </c>
      <c r="H298" s="676"/>
      <c r="I298" s="24">
        <f t="shared" si="53"/>
        <v>1</v>
      </c>
      <c r="J298" s="676"/>
      <c r="K298" s="24">
        <f t="shared" si="54"/>
        <v>1</v>
      </c>
      <c r="L298" s="676"/>
      <c r="M298" s="24">
        <f t="shared" si="55"/>
        <v>0</v>
      </c>
      <c r="N298" s="676"/>
      <c r="O298" s="24">
        <f t="shared" si="56"/>
        <v>0</v>
      </c>
      <c r="P298" s="676"/>
      <c r="Q298" s="24">
        <f t="shared" si="57"/>
        <v>1</v>
      </c>
      <c r="R298" s="672">
        <f t="shared" si="58"/>
        <v>0</v>
      </c>
      <c r="S298" s="322">
        <f t="shared" si="59"/>
        <v>0</v>
      </c>
    </row>
    <row r="299" spans="1:19">
      <c r="A299" s="155"/>
      <c r="B299" s="57"/>
      <c r="C299" s="24">
        <f t="shared" si="50"/>
        <v>1</v>
      </c>
      <c r="D299" s="676"/>
      <c r="E299" s="24">
        <f t="shared" si="51"/>
        <v>0</v>
      </c>
      <c r="F299" s="676"/>
      <c r="G299" s="24">
        <f t="shared" si="52"/>
        <v>0.1</v>
      </c>
      <c r="H299" s="676"/>
      <c r="I299" s="24">
        <f t="shared" si="53"/>
        <v>1</v>
      </c>
      <c r="J299" s="676"/>
      <c r="K299" s="24">
        <f t="shared" si="54"/>
        <v>1</v>
      </c>
      <c r="L299" s="676"/>
      <c r="M299" s="24">
        <f t="shared" si="55"/>
        <v>0</v>
      </c>
      <c r="N299" s="676"/>
      <c r="O299" s="24">
        <f t="shared" si="56"/>
        <v>0</v>
      </c>
      <c r="P299" s="676"/>
      <c r="Q299" s="24">
        <f t="shared" si="57"/>
        <v>1</v>
      </c>
      <c r="R299" s="672">
        <f t="shared" si="58"/>
        <v>0</v>
      </c>
      <c r="S299" s="322">
        <f t="shared" si="59"/>
        <v>0</v>
      </c>
    </row>
    <row r="300" spans="1:19">
      <c r="A300" s="155"/>
      <c r="B300" s="57"/>
      <c r="C300" s="24">
        <f t="shared" si="50"/>
        <v>1</v>
      </c>
      <c r="D300" s="676"/>
      <c r="E300" s="24">
        <f t="shared" si="51"/>
        <v>0</v>
      </c>
      <c r="F300" s="676"/>
      <c r="G300" s="24">
        <f t="shared" si="52"/>
        <v>0.1</v>
      </c>
      <c r="H300" s="676"/>
      <c r="I300" s="24">
        <f t="shared" si="53"/>
        <v>1</v>
      </c>
      <c r="J300" s="676"/>
      <c r="K300" s="24">
        <f t="shared" si="54"/>
        <v>1</v>
      </c>
      <c r="L300" s="676"/>
      <c r="M300" s="24">
        <f t="shared" si="55"/>
        <v>0</v>
      </c>
      <c r="N300" s="676"/>
      <c r="O300" s="24">
        <f t="shared" si="56"/>
        <v>0</v>
      </c>
      <c r="P300" s="676"/>
      <c r="Q300" s="24">
        <f t="shared" si="57"/>
        <v>1</v>
      </c>
      <c r="R300" s="672">
        <f t="shared" si="58"/>
        <v>0</v>
      </c>
      <c r="S300" s="322">
        <f t="shared" si="59"/>
        <v>0</v>
      </c>
    </row>
    <row r="301" spans="1:19">
      <c r="A301" s="155"/>
      <c r="B301" s="57"/>
      <c r="C301" s="24">
        <f t="shared" si="50"/>
        <v>1</v>
      </c>
      <c r="D301" s="676"/>
      <c r="E301" s="24">
        <f t="shared" si="51"/>
        <v>0</v>
      </c>
      <c r="F301" s="676"/>
      <c r="G301" s="24">
        <f t="shared" si="52"/>
        <v>0.1</v>
      </c>
      <c r="H301" s="676"/>
      <c r="I301" s="24">
        <f t="shared" si="53"/>
        <v>1</v>
      </c>
      <c r="J301" s="676"/>
      <c r="K301" s="24">
        <f t="shared" si="54"/>
        <v>1</v>
      </c>
      <c r="L301" s="676"/>
      <c r="M301" s="24">
        <f t="shared" si="55"/>
        <v>0</v>
      </c>
      <c r="N301" s="676"/>
      <c r="O301" s="24">
        <f t="shared" si="56"/>
        <v>0</v>
      </c>
      <c r="P301" s="676"/>
      <c r="Q301" s="24">
        <f t="shared" si="57"/>
        <v>1</v>
      </c>
      <c r="R301" s="672">
        <f t="shared" si="58"/>
        <v>0</v>
      </c>
      <c r="S301" s="322">
        <f t="shared" si="59"/>
        <v>0</v>
      </c>
    </row>
    <row r="302" spans="1:19">
      <c r="A302" s="155"/>
      <c r="B302" s="57"/>
      <c r="C302" s="24">
        <f t="shared" si="50"/>
        <v>1</v>
      </c>
      <c r="D302" s="676"/>
      <c r="E302" s="24">
        <f t="shared" si="51"/>
        <v>0</v>
      </c>
      <c r="F302" s="676"/>
      <c r="G302" s="24">
        <f t="shared" si="52"/>
        <v>0.1</v>
      </c>
      <c r="H302" s="676"/>
      <c r="I302" s="24">
        <f t="shared" si="53"/>
        <v>1</v>
      </c>
      <c r="J302" s="676"/>
      <c r="K302" s="24">
        <f t="shared" si="54"/>
        <v>1</v>
      </c>
      <c r="L302" s="676"/>
      <c r="M302" s="24">
        <f t="shared" si="55"/>
        <v>0</v>
      </c>
      <c r="N302" s="676"/>
      <c r="O302" s="24">
        <f t="shared" si="56"/>
        <v>0</v>
      </c>
      <c r="P302" s="676"/>
      <c r="Q302" s="24">
        <f t="shared" si="57"/>
        <v>1</v>
      </c>
      <c r="R302" s="672">
        <f t="shared" si="58"/>
        <v>0</v>
      </c>
      <c r="S302" s="322">
        <f t="shared" si="59"/>
        <v>0</v>
      </c>
    </row>
    <row r="303" spans="1:19">
      <c r="A303" s="155"/>
      <c r="B303" s="57"/>
      <c r="C303" s="24">
        <f t="shared" si="50"/>
        <v>1</v>
      </c>
      <c r="D303" s="676"/>
      <c r="E303" s="24">
        <f t="shared" si="51"/>
        <v>0</v>
      </c>
      <c r="F303" s="676"/>
      <c r="G303" s="24">
        <f t="shared" si="52"/>
        <v>0.1</v>
      </c>
      <c r="H303" s="676"/>
      <c r="I303" s="24">
        <f t="shared" si="53"/>
        <v>1</v>
      </c>
      <c r="J303" s="676"/>
      <c r="K303" s="24">
        <f t="shared" si="54"/>
        <v>1</v>
      </c>
      <c r="L303" s="676"/>
      <c r="M303" s="24">
        <f t="shared" si="55"/>
        <v>0</v>
      </c>
      <c r="N303" s="676"/>
      <c r="O303" s="24">
        <f t="shared" si="56"/>
        <v>0</v>
      </c>
      <c r="P303" s="676"/>
      <c r="Q303" s="24">
        <f t="shared" si="57"/>
        <v>1</v>
      </c>
      <c r="R303" s="672">
        <f t="shared" si="58"/>
        <v>0</v>
      </c>
      <c r="S303" s="322">
        <f t="shared" si="59"/>
        <v>0</v>
      </c>
    </row>
    <row r="304" spans="1:19">
      <c r="A304" s="155"/>
      <c r="B304" s="57"/>
      <c r="C304" s="24">
        <f t="shared" si="50"/>
        <v>1</v>
      </c>
      <c r="D304" s="676"/>
      <c r="E304" s="24">
        <f t="shared" si="51"/>
        <v>0</v>
      </c>
      <c r="F304" s="676"/>
      <c r="G304" s="24">
        <f t="shared" si="52"/>
        <v>0.1</v>
      </c>
      <c r="H304" s="676"/>
      <c r="I304" s="24">
        <f t="shared" si="53"/>
        <v>1</v>
      </c>
      <c r="J304" s="676"/>
      <c r="K304" s="24">
        <f t="shared" si="54"/>
        <v>1</v>
      </c>
      <c r="L304" s="676"/>
      <c r="M304" s="24">
        <f t="shared" si="55"/>
        <v>0</v>
      </c>
      <c r="N304" s="676"/>
      <c r="O304" s="24">
        <f t="shared" si="56"/>
        <v>0</v>
      </c>
      <c r="P304" s="676"/>
      <c r="Q304" s="24">
        <f t="shared" si="57"/>
        <v>1</v>
      </c>
      <c r="R304" s="672">
        <f t="shared" si="58"/>
        <v>0</v>
      </c>
      <c r="S304" s="322">
        <f t="shared" si="59"/>
        <v>0</v>
      </c>
    </row>
    <row r="305" spans="1:19">
      <c r="A305" s="155"/>
      <c r="B305" s="57"/>
      <c r="C305" s="24">
        <f t="shared" si="50"/>
        <v>1</v>
      </c>
      <c r="D305" s="676"/>
      <c r="E305" s="24">
        <f t="shared" si="51"/>
        <v>0</v>
      </c>
      <c r="F305" s="676"/>
      <c r="G305" s="24">
        <f t="shared" si="52"/>
        <v>0.1</v>
      </c>
      <c r="H305" s="676"/>
      <c r="I305" s="24">
        <f t="shared" si="53"/>
        <v>1</v>
      </c>
      <c r="J305" s="676"/>
      <c r="K305" s="24">
        <f t="shared" si="54"/>
        <v>1</v>
      </c>
      <c r="L305" s="676"/>
      <c r="M305" s="24">
        <f t="shared" si="55"/>
        <v>0</v>
      </c>
      <c r="N305" s="676"/>
      <c r="O305" s="24">
        <f t="shared" si="56"/>
        <v>0</v>
      </c>
      <c r="P305" s="676"/>
      <c r="Q305" s="24">
        <f t="shared" si="57"/>
        <v>1</v>
      </c>
      <c r="R305" s="672">
        <f t="shared" si="58"/>
        <v>0</v>
      </c>
      <c r="S305" s="322">
        <f t="shared" si="59"/>
        <v>0</v>
      </c>
    </row>
    <row r="306" spans="1:19">
      <c r="A306" s="155"/>
      <c r="B306" s="57"/>
      <c r="C306" s="24">
        <f t="shared" si="50"/>
        <v>1</v>
      </c>
      <c r="D306" s="676"/>
      <c r="E306" s="24">
        <f t="shared" si="51"/>
        <v>0</v>
      </c>
      <c r="F306" s="676"/>
      <c r="G306" s="24">
        <f t="shared" si="52"/>
        <v>0.1</v>
      </c>
      <c r="H306" s="676"/>
      <c r="I306" s="24">
        <f t="shared" si="53"/>
        <v>1</v>
      </c>
      <c r="J306" s="676"/>
      <c r="K306" s="24">
        <f t="shared" si="54"/>
        <v>1</v>
      </c>
      <c r="L306" s="676"/>
      <c r="M306" s="24">
        <f t="shared" si="55"/>
        <v>0</v>
      </c>
      <c r="N306" s="676"/>
      <c r="O306" s="24">
        <f t="shared" si="56"/>
        <v>0</v>
      </c>
      <c r="P306" s="676"/>
      <c r="Q306" s="24">
        <f t="shared" si="57"/>
        <v>1</v>
      </c>
      <c r="R306" s="672">
        <f t="shared" si="58"/>
        <v>0</v>
      </c>
      <c r="S306" s="322">
        <f t="shared" si="59"/>
        <v>0</v>
      </c>
    </row>
    <row r="307" spans="1:19">
      <c r="A307" s="155"/>
      <c r="B307" s="57"/>
      <c r="C307" s="24">
        <f t="shared" si="50"/>
        <v>1</v>
      </c>
      <c r="D307" s="676"/>
      <c r="E307" s="24">
        <f t="shared" si="51"/>
        <v>0</v>
      </c>
      <c r="F307" s="676"/>
      <c r="G307" s="24">
        <f t="shared" si="52"/>
        <v>0.1</v>
      </c>
      <c r="H307" s="676"/>
      <c r="I307" s="24">
        <f t="shared" si="53"/>
        <v>1</v>
      </c>
      <c r="J307" s="676"/>
      <c r="K307" s="24">
        <f t="shared" si="54"/>
        <v>1</v>
      </c>
      <c r="L307" s="676"/>
      <c r="M307" s="24">
        <f t="shared" si="55"/>
        <v>0</v>
      </c>
      <c r="N307" s="676"/>
      <c r="O307" s="24">
        <f t="shared" si="56"/>
        <v>0</v>
      </c>
      <c r="P307" s="676"/>
      <c r="Q307" s="24">
        <f t="shared" si="57"/>
        <v>1</v>
      </c>
      <c r="R307" s="672">
        <f t="shared" si="58"/>
        <v>0</v>
      </c>
      <c r="S307" s="322">
        <f t="shared" si="59"/>
        <v>0</v>
      </c>
    </row>
    <row r="308" spans="1:19">
      <c r="A308" s="155"/>
      <c r="B308" s="57"/>
      <c r="C308" s="24">
        <f t="shared" si="50"/>
        <v>1</v>
      </c>
      <c r="D308" s="676"/>
      <c r="E308" s="24">
        <f t="shared" si="51"/>
        <v>0</v>
      </c>
      <c r="F308" s="676"/>
      <c r="G308" s="24">
        <f t="shared" si="52"/>
        <v>0.1</v>
      </c>
      <c r="H308" s="676"/>
      <c r="I308" s="24">
        <f t="shared" si="53"/>
        <v>1</v>
      </c>
      <c r="J308" s="676"/>
      <c r="K308" s="24">
        <f t="shared" si="54"/>
        <v>1</v>
      </c>
      <c r="L308" s="676"/>
      <c r="M308" s="24">
        <f t="shared" si="55"/>
        <v>0</v>
      </c>
      <c r="N308" s="676"/>
      <c r="O308" s="24">
        <f t="shared" si="56"/>
        <v>0</v>
      </c>
      <c r="P308" s="676"/>
      <c r="Q308" s="24">
        <f t="shared" si="57"/>
        <v>1</v>
      </c>
      <c r="R308" s="672">
        <f t="shared" si="58"/>
        <v>0</v>
      </c>
      <c r="S308" s="322">
        <f t="shared" si="59"/>
        <v>0</v>
      </c>
    </row>
    <row r="309" spans="1:19">
      <c r="A309" s="155"/>
      <c r="B309" s="57"/>
      <c r="C309" s="24">
        <f t="shared" si="50"/>
        <v>1</v>
      </c>
      <c r="D309" s="676"/>
      <c r="E309" s="24">
        <f t="shared" si="51"/>
        <v>0</v>
      </c>
      <c r="F309" s="676"/>
      <c r="G309" s="24">
        <f t="shared" si="52"/>
        <v>0.1</v>
      </c>
      <c r="H309" s="676"/>
      <c r="I309" s="24">
        <f t="shared" si="53"/>
        <v>1</v>
      </c>
      <c r="J309" s="676"/>
      <c r="K309" s="24">
        <f t="shared" si="54"/>
        <v>1</v>
      </c>
      <c r="L309" s="676"/>
      <c r="M309" s="24">
        <f t="shared" si="55"/>
        <v>0</v>
      </c>
      <c r="N309" s="676"/>
      <c r="O309" s="24">
        <f t="shared" si="56"/>
        <v>0</v>
      </c>
      <c r="P309" s="676"/>
      <c r="Q309" s="24">
        <f t="shared" si="57"/>
        <v>1</v>
      </c>
      <c r="R309" s="672">
        <f t="shared" si="58"/>
        <v>0</v>
      </c>
      <c r="S309" s="322">
        <f t="shared" si="59"/>
        <v>0</v>
      </c>
    </row>
    <row r="310" spans="1:19">
      <c r="A310" s="155"/>
      <c r="B310" s="57"/>
      <c r="C310" s="24">
        <f t="shared" si="50"/>
        <v>1</v>
      </c>
      <c r="D310" s="676"/>
      <c r="E310" s="24">
        <f t="shared" si="51"/>
        <v>0</v>
      </c>
      <c r="F310" s="676"/>
      <c r="G310" s="24">
        <f t="shared" si="52"/>
        <v>0.1</v>
      </c>
      <c r="H310" s="676"/>
      <c r="I310" s="24">
        <f t="shared" si="53"/>
        <v>1</v>
      </c>
      <c r="J310" s="676"/>
      <c r="K310" s="24">
        <f t="shared" si="54"/>
        <v>1</v>
      </c>
      <c r="L310" s="676"/>
      <c r="M310" s="24">
        <f t="shared" si="55"/>
        <v>0</v>
      </c>
      <c r="N310" s="676"/>
      <c r="O310" s="24">
        <f t="shared" si="56"/>
        <v>0</v>
      </c>
      <c r="P310" s="676"/>
      <c r="Q310" s="24">
        <f t="shared" si="57"/>
        <v>1</v>
      </c>
      <c r="R310" s="672">
        <f t="shared" si="58"/>
        <v>0</v>
      </c>
      <c r="S310" s="322">
        <f t="shared" si="59"/>
        <v>0</v>
      </c>
    </row>
    <row r="311" spans="1:19">
      <c r="A311" s="155"/>
      <c r="B311" s="57"/>
      <c r="C311" s="24">
        <f t="shared" si="50"/>
        <v>1</v>
      </c>
      <c r="D311" s="676"/>
      <c r="E311" s="24">
        <f t="shared" si="51"/>
        <v>0</v>
      </c>
      <c r="F311" s="676"/>
      <c r="G311" s="24">
        <f t="shared" si="52"/>
        <v>0.1</v>
      </c>
      <c r="H311" s="676"/>
      <c r="I311" s="24">
        <f t="shared" si="53"/>
        <v>1</v>
      </c>
      <c r="J311" s="676"/>
      <c r="K311" s="24">
        <f t="shared" si="54"/>
        <v>1</v>
      </c>
      <c r="L311" s="676"/>
      <c r="M311" s="24">
        <f t="shared" si="55"/>
        <v>0</v>
      </c>
      <c r="N311" s="676"/>
      <c r="O311" s="24">
        <f t="shared" si="56"/>
        <v>0</v>
      </c>
      <c r="P311" s="676"/>
      <c r="Q311" s="24">
        <f t="shared" si="57"/>
        <v>1</v>
      </c>
      <c r="R311" s="672">
        <f t="shared" si="58"/>
        <v>0</v>
      </c>
      <c r="S311" s="322">
        <f t="shared" si="59"/>
        <v>0</v>
      </c>
    </row>
    <row r="312" spans="1:19">
      <c r="A312" s="155"/>
      <c r="B312" s="57"/>
      <c r="C312" s="24">
        <f t="shared" si="50"/>
        <v>1</v>
      </c>
      <c r="D312" s="676"/>
      <c r="E312" s="24">
        <f t="shared" si="51"/>
        <v>0</v>
      </c>
      <c r="F312" s="676"/>
      <c r="G312" s="24">
        <f t="shared" si="52"/>
        <v>0.1</v>
      </c>
      <c r="H312" s="676"/>
      <c r="I312" s="24">
        <f t="shared" si="53"/>
        <v>1</v>
      </c>
      <c r="J312" s="676"/>
      <c r="K312" s="24">
        <f t="shared" si="54"/>
        <v>1</v>
      </c>
      <c r="L312" s="676"/>
      <c r="M312" s="24">
        <f t="shared" si="55"/>
        <v>0</v>
      </c>
      <c r="N312" s="676"/>
      <c r="O312" s="24">
        <f t="shared" si="56"/>
        <v>0</v>
      </c>
      <c r="P312" s="676"/>
      <c r="Q312" s="24">
        <f t="shared" si="57"/>
        <v>1</v>
      </c>
      <c r="R312" s="672">
        <f t="shared" si="58"/>
        <v>0</v>
      </c>
      <c r="S312" s="322">
        <f t="shared" si="59"/>
        <v>0</v>
      </c>
    </row>
    <row r="313" spans="1:19">
      <c r="A313" s="155"/>
      <c r="B313" s="57"/>
      <c r="C313" s="24">
        <f t="shared" si="50"/>
        <v>1</v>
      </c>
      <c r="D313" s="676"/>
      <c r="E313" s="24">
        <f t="shared" si="51"/>
        <v>0</v>
      </c>
      <c r="F313" s="676"/>
      <c r="G313" s="24">
        <f t="shared" si="52"/>
        <v>0.1</v>
      </c>
      <c r="H313" s="676"/>
      <c r="I313" s="24">
        <f t="shared" si="53"/>
        <v>1</v>
      </c>
      <c r="J313" s="676"/>
      <c r="K313" s="24">
        <f t="shared" si="54"/>
        <v>1</v>
      </c>
      <c r="L313" s="676"/>
      <c r="M313" s="24">
        <f t="shared" si="55"/>
        <v>0</v>
      </c>
      <c r="N313" s="676"/>
      <c r="O313" s="24">
        <f t="shared" si="56"/>
        <v>0</v>
      </c>
      <c r="P313" s="676"/>
      <c r="Q313" s="24">
        <f t="shared" si="57"/>
        <v>1</v>
      </c>
      <c r="R313" s="672">
        <f t="shared" si="58"/>
        <v>0</v>
      </c>
      <c r="S313" s="322">
        <f t="shared" si="59"/>
        <v>0</v>
      </c>
    </row>
    <row r="314" spans="1:19">
      <c r="A314" s="155"/>
      <c r="B314" s="57"/>
      <c r="C314" s="24">
        <f t="shared" si="50"/>
        <v>1</v>
      </c>
      <c r="D314" s="676"/>
      <c r="E314" s="24">
        <f t="shared" si="51"/>
        <v>0</v>
      </c>
      <c r="F314" s="676"/>
      <c r="G314" s="24">
        <f t="shared" si="52"/>
        <v>0.1</v>
      </c>
      <c r="H314" s="676"/>
      <c r="I314" s="24">
        <f t="shared" si="53"/>
        <v>1</v>
      </c>
      <c r="J314" s="676"/>
      <c r="K314" s="24">
        <f t="shared" si="54"/>
        <v>1</v>
      </c>
      <c r="L314" s="676"/>
      <c r="M314" s="24">
        <f t="shared" si="55"/>
        <v>0</v>
      </c>
      <c r="N314" s="676"/>
      <c r="O314" s="24">
        <f t="shared" si="56"/>
        <v>0</v>
      </c>
      <c r="P314" s="676"/>
      <c r="Q314" s="24">
        <f t="shared" si="57"/>
        <v>1</v>
      </c>
      <c r="R314" s="672">
        <f t="shared" si="58"/>
        <v>0</v>
      </c>
      <c r="S314" s="322">
        <f t="shared" si="59"/>
        <v>0</v>
      </c>
    </row>
    <row r="315" spans="1:19">
      <c r="A315" s="155"/>
      <c r="B315" s="57"/>
      <c r="C315" s="24">
        <f t="shared" si="50"/>
        <v>1</v>
      </c>
      <c r="D315" s="676"/>
      <c r="E315" s="24">
        <f t="shared" si="51"/>
        <v>0</v>
      </c>
      <c r="F315" s="676"/>
      <c r="G315" s="24">
        <f t="shared" si="52"/>
        <v>0.1</v>
      </c>
      <c r="H315" s="676"/>
      <c r="I315" s="24">
        <f t="shared" si="53"/>
        <v>1</v>
      </c>
      <c r="J315" s="676"/>
      <c r="K315" s="24">
        <f t="shared" si="54"/>
        <v>1</v>
      </c>
      <c r="L315" s="676"/>
      <c r="M315" s="24">
        <f t="shared" si="55"/>
        <v>0</v>
      </c>
      <c r="N315" s="676"/>
      <c r="O315" s="24">
        <f t="shared" si="56"/>
        <v>0</v>
      </c>
      <c r="P315" s="676"/>
      <c r="Q315" s="24">
        <f t="shared" si="57"/>
        <v>1</v>
      </c>
      <c r="R315" s="672">
        <f t="shared" si="58"/>
        <v>0</v>
      </c>
      <c r="S315" s="322">
        <f t="shared" si="59"/>
        <v>0</v>
      </c>
    </row>
    <row r="316" spans="1:19">
      <c r="A316" s="155"/>
      <c r="B316" s="57"/>
      <c r="C316" s="24">
        <f t="shared" si="50"/>
        <v>1</v>
      </c>
      <c r="D316" s="676"/>
      <c r="E316" s="24">
        <f t="shared" si="51"/>
        <v>0</v>
      </c>
      <c r="F316" s="676"/>
      <c r="G316" s="24">
        <f t="shared" si="52"/>
        <v>0.1</v>
      </c>
      <c r="H316" s="676"/>
      <c r="I316" s="24">
        <f t="shared" si="53"/>
        <v>1</v>
      </c>
      <c r="J316" s="676"/>
      <c r="K316" s="24">
        <f t="shared" si="54"/>
        <v>1</v>
      </c>
      <c r="L316" s="676"/>
      <c r="M316" s="24">
        <f t="shared" si="55"/>
        <v>0</v>
      </c>
      <c r="N316" s="676"/>
      <c r="O316" s="24">
        <f t="shared" si="56"/>
        <v>0</v>
      </c>
      <c r="P316" s="676"/>
      <c r="Q316" s="24">
        <f t="shared" si="57"/>
        <v>1</v>
      </c>
      <c r="R316" s="672">
        <f t="shared" si="58"/>
        <v>0</v>
      </c>
      <c r="S316" s="322">
        <f t="shared" si="59"/>
        <v>0</v>
      </c>
    </row>
    <row r="317" spans="1:19">
      <c r="A317" s="155"/>
      <c r="B317" s="57"/>
      <c r="C317" s="24">
        <f t="shared" si="50"/>
        <v>1</v>
      </c>
      <c r="D317" s="676"/>
      <c r="E317" s="24">
        <f t="shared" si="51"/>
        <v>0</v>
      </c>
      <c r="F317" s="676"/>
      <c r="G317" s="24">
        <f t="shared" si="52"/>
        <v>0.1</v>
      </c>
      <c r="H317" s="676"/>
      <c r="I317" s="24">
        <f t="shared" si="53"/>
        <v>1</v>
      </c>
      <c r="J317" s="676"/>
      <c r="K317" s="24">
        <f t="shared" si="54"/>
        <v>1</v>
      </c>
      <c r="L317" s="676"/>
      <c r="M317" s="24">
        <f t="shared" si="55"/>
        <v>0</v>
      </c>
      <c r="N317" s="676"/>
      <c r="O317" s="24">
        <f t="shared" si="56"/>
        <v>0</v>
      </c>
      <c r="P317" s="676"/>
      <c r="Q317" s="24">
        <f t="shared" si="57"/>
        <v>1</v>
      </c>
      <c r="R317" s="672">
        <f t="shared" si="58"/>
        <v>0</v>
      </c>
      <c r="S317" s="322">
        <f t="shared" si="59"/>
        <v>0</v>
      </c>
    </row>
    <row r="318" spans="1:19">
      <c r="A318" s="155"/>
      <c r="B318" s="57"/>
      <c r="C318" s="24">
        <f t="shared" si="50"/>
        <v>1</v>
      </c>
      <c r="D318" s="676"/>
      <c r="E318" s="24">
        <f t="shared" si="51"/>
        <v>0</v>
      </c>
      <c r="F318" s="676"/>
      <c r="G318" s="24">
        <f t="shared" si="52"/>
        <v>0.1</v>
      </c>
      <c r="H318" s="676"/>
      <c r="I318" s="24">
        <f t="shared" si="53"/>
        <v>1</v>
      </c>
      <c r="J318" s="676"/>
      <c r="K318" s="24">
        <f t="shared" si="54"/>
        <v>1</v>
      </c>
      <c r="L318" s="676"/>
      <c r="M318" s="24">
        <f t="shared" si="55"/>
        <v>0</v>
      </c>
      <c r="N318" s="676"/>
      <c r="O318" s="24">
        <f t="shared" si="56"/>
        <v>0</v>
      </c>
      <c r="P318" s="676"/>
      <c r="Q318" s="24">
        <f t="shared" si="57"/>
        <v>1</v>
      </c>
      <c r="R318" s="672">
        <f t="shared" si="58"/>
        <v>0</v>
      </c>
      <c r="S318" s="322">
        <f t="shared" si="59"/>
        <v>0</v>
      </c>
    </row>
    <row r="319" spans="1:19">
      <c r="A319" s="155"/>
      <c r="B319" s="57"/>
      <c r="C319" s="24">
        <f t="shared" si="50"/>
        <v>1</v>
      </c>
      <c r="D319" s="676"/>
      <c r="E319" s="24">
        <f t="shared" si="51"/>
        <v>0</v>
      </c>
      <c r="F319" s="676"/>
      <c r="G319" s="24">
        <f t="shared" si="52"/>
        <v>0.1</v>
      </c>
      <c r="H319" s="676"/>
      <c r="I319" s="24">
        <f t="shared" si="53"/>
        <v>1</v>
      </c>
      <c r="J319" s="676"/>
      <c r="K319" s="24">
        <f t="shared" si="54"/>
        <v>1</v>
      </c>
      <c r="L319" s="676"/>
      <c r="M319" s="24">
        <f t="shared" si="55"/>
        <v>0</v>
      </c>
      <c r="N319" s="676"/>
      <c r="O319" s="24">
        <f t="shared" si="56"/>
        <v>0</v>
      </c>
      <c r="P319" s="676"/>
      <c r="Q319" s="24">
        <f t="shared" si="57"/>
        <v>1</v>
      </c>
      <c r="R319" s="672">
        <f t="shared" si="58"/>
        <v>0</v>
      </c>
      <c r="S319" s="322">
        <f t="shared" si="59"/>
        <v>0</v>
      </c>
    </row>
    <row r="320" spans="1:19">
      <c r="A320" s="155"/>
      <c r="B320" s="57"/>
      <c r="C320" s="24">
        <f t="shared" si="50"/>
        <v>1</v>
      </c>
      <c r="D320" s="676"/>
      <c r="E320" s="24">
        <f t="shared" si="51"/>
        <v>0</v>
      </c>
      <c r="F320" s="676"/>
      <c r="G320" s="24">
        <f t="shared" si="52"/>
        <v>0.1</v>
      </c>
      <c r="H320" s="676"/>
      <c r="I320" s="24">
        <f t="shared" si="53"/>
        <v>1</v>
      </c>
      <c r="J320" s="676"/>
      <c r="K320" s="24">
        <f t="shared" si="54"/>
        <v>1</v>
      </c>
      <c r="L320" s="676"/>
      <c r="M320" s="24">
        <f t="shared" si="55"/>
        <v>0</v>
      </c>
      <c r="N320" s="676"/>
      <c r="O320" s="24">
        <f t="shared" si="56"/>
        <v>0</v>
      </c>
      <c r="P320" s="676"/>
      <c r="Q320" s="24">
        <f t="shared" si="57"/>
        <v>1</v>
      </c>
      <c r="R320" s="672">
        <f t="shared" si="58"/>
        <v>0</v>
      </c>
      <c r="S320" s="322">
        <f t="shared" si="59"/>
        <v>0</v>
      </c>
    </row>
    <row r="321" spans="1:19">
      <c r="A321" s="155"/>
      <c r="B321" s="57"/>
      <c r="C321" s="24">
        <f t="shared" si="50"/>
        <v>1</v>
      </c>
      <c r="D321" s="676"/>
      <c r="E321" s="24">
        <f t="shared" si="51"/>
        <v>0</v>
      </c>
      <c r="F321" s="676"/>
      <c r="G321" s="24">
        <f t="shared" si="52"/>
        <v>0.1</v>
      </c>
      <c r="H321" s="676"/>
      <c r="I321" s="24">
        <f t="shared" si="53"/>
        <v>1</v>
      </c>
      <c r="J321" s="676"/>
      <c r="K321" s="24">
        <f t="shared" si="54"/>
        <v>1</v>
      </c>
      <c r="L321" s="676"/>
      <c r="M321" s="24">
        <f t="shared" si="55"/>
        <v>0</v>
      </c>
      <c r="N321" s="676"/>
      <c r="O321" s="24">
        <f t="shared" si="56"/>
        <v>0</v>
      </c>
      <c r="P321" s="676"/>
      <c r="Q321" s="24">
        <f t="shared" si="57"/>
        <v>1</v>
      </c>
      <c r="R321" s="672">
        <f t="shared" si="58"/>
        <v>0</v>
      </c>
      <c r="S321" s="322">
        <f t="shared" ref="S321:S384" si="60">ROUND(R321*B321/10000,0)</f>
        <v>0</v>
      </c>
    </row>
    <row r="322" spans="1:19">
      <c r="A322" s="155"/>
      <c r="B322" s="57"/>
      <c r="C322" s="24">
        <f t="shared" si="50"/>
        <v>1</v>
      </c>
      <c r="D322" s="676"/>
      <c r="E322" s="24">
        <f t="shared" si="51"/>
        <v>0</v>
      </c>
      <c r="F322" s="676"/>
      <c r="G322" s="24">
        <f t="shared" si="52"/>
        <v>0.1</v>
      </c>
      <c r="H322" s="676"/>
      <c r="I322" s="24">
        <f t="shared" si="53"/>
        <v>1</v>
      </c>
      <c r="J322" s="676"/>
      <c r="K322" s="24">
        <f t="shared" si="54"/>
        <v>1</v>
      </c>
      <c r="L322" s="676"/>
      <c r="M322" s="24">
        <f t="shared" si="55"/>
        <v>0</v>
      </c>
      <c r="N322" s="676"/>
      <c r="O322" s="24">
        <f t="shared" si="56"/>
        <v>0</v>
      </c>
      <c r="P322" s="676"/>
      <c r="Q322" s="24">
        <f t="shared" si="57"/>
        <v>1</v>
      </c>
      <c r="R322" s="672">
        <f t="shared" si="58"/>
        <v>0</v>
      </c>
      <c r="S322" s="322">
        <f t="shared" si="60"/>
        <v>0</v>
      </c>
    </row>
    <row r="323" spans="1:19">
      <c r="A323" s="155"/>
      <c r="B323" s="57"/>
      <c r="C323" s="24">
        <f t="shared" si="50"/>
        <v>1</v>
      </c>
      <c r="D323" s="676"/>
      <c r="E323" s="24">
        <f t="shared" si="51"/>
        <v>0</v>
      </c>
      <c r="F323" s="676"/>
      <c r="G323" s="24">
        <f t="shared" si="52"/>
        <v>0.1</v>
      </c>
      <c r="H323" s="676"/>
      <c r="I323" s="24">
        <f t="shared" si="53"/>
        <v>1</v>
      </c>
      <c r="J323" s="676"/>
      <c r="K323" s="24">
        <f t="shared" si="54"/>
        <v>1</v>
      </c>
      <c r="L323" s="676"/>
      <c r="M323" s="24">
        <f t="shared" si="55"/>
        <v>0</v>
      </c>
      <c r="N323" s="676"/>
      <c r="O323" s="24">
        <f t="shared" si="56"/>
        <v>0</v>
      </c>
      <c r="P323" s="676"/>
      <c r="Q323" s="24">
        <f t="shared" si="57"/>
        <v>1</v>
      </c>
      <c r="R323" s="672">
        <f t="shared" si="58"/>
        <v>0</v>
      </c>
      <c r="S323" s="322">
        <f t="shared" si="60"/>
        <v>0</v>
      </c>
    </row>
    <row r="324" spans="1:19">
      <c r="A324" s="155"/>
      <c r="B324" s="57"/>
      <c r="C324" s="24">
        <f t="shared" si="50"/>
        <v>1</v>
      </c>
      <c r="D324" s="676"/>
      <c r="E324" s="24">
        <f t="shared" si="51"/>
        <v>0</v>
      </c>
      <c r="F324" s="676"/>
      <c r="G324" s="24">
        <f t="shared" si="52"/>
        <v>0.1</v>
      </c>
      <c r="H324" s="676"/>
      <c r="I324" s="24">
        <f t="shared" si="53"/>
        <v>1</v>
      </c>
      <c r="J324" s="676"/>
      <c r="K324" s="24">
        <f t="shared" si="54"/>
        <v>1</v>
      </c>
      <c r="L324" s="676"/>
      <c r="M324" s="24">
        <f t="shared" si="55"/>
        <v>0</v>
      </c>
      <c r="N324" s="676"/>
      <c r="O324" s="24">
        <f t="shared" si="56"/>
        <v>0</v>
      </c>
      <c r="P324" s="676"/>
      <c r="Q324" s="24">
        <f t="shared" si="57"/>
        <v>1</v>
      </c>
      <c r="R324" s="672">
        <f t="shared" si="58"/>
        <v>0</v>
      </c>
      <c r="S324" s="322">
        <f t="shared" si="60"/>
        <v>0</v>
      </c>
    </row>
    <row r="325" spans="1:19">
      <c r="A325" s="155"/>
      <c r="B325" s="57"/>
      <c r="C325" s="24">
        <f t="shared" si="50"/>
        <v>1</v>
      </c>
      <c r="D325" s="676"/>
      <c r="E325" s="24">
        <f t="shared" si="51"/>
        <v>0</v>
      </c>
      <c r="F325" s="676"/>
      <c r="G325" s="24">
        <f t="shared" si="52"/>
        <v>0.1</v>
      </c>
      <c r="H325" s="676"/>
      <c r="I325" s="24">
        <f t="shared" si="53"/>
        <v>1</v>
      </c>
      <c r="J325" s="676"/>
      <c r="K325" s="24">
        <f t="shared" si="54"/>
        <v>1</v>
      </c>
      <c r="L325" s="676"/>
      <c r="M325" s="24">
        <f t="shared" si="55"/>
        <v>0</v>
      </c>
      <c r="N325" s="676"/>
      <c r="O325" s="24">
        <f t="shared" si="56"/>
        <v>0</v>
      </c>
      <c r="P325" s="676"/>
      <c r="Q325" s="24">
        <f t="shared" si="57"/>
        <v>1</v>
      </c>
      <c r="R325" s="672">
        <f t="shared" si="58"/>
        <v>0</v>
      </c>
      <c r="S325" s="322">
        <f t="shared" si="60"/>
        <v>0</v>
      </c>
    </row>
    <row r="326" spans="1:19">
      <c r="A326" s="155"/>
      <c r="B326" s="57"/>
      <c r="C326" s="24">
        <f t="shared" si="50"/>
        <v>1</v>
      </c>
      <c r="D326" s="676"/>
      <c r="E326" s="24">
        <f t="shared" si="51"/>
        <v>0</v>
      </c>
      <c r="F326" s="676"/>
      <c r="G326" s="24">
        <f t="shared" si="52"/>
        <v>0.1</v>
      </c>
      <c r="H326" s="676"/>
      <c r="I326" s="24">
        <f t="shared" si="53"/>
        <v>1</v>
      </c>
      <c r="J326" s="676"/>
      <c r="K326" s="24">
        <f t="shared" si="54"/>
        <v>1</v>
      </c>
      <c r="L326" s="676"/>
      <c r="M326" s="24">
        <f t="shared" si="55"/>
        <v>0</v>
      </c>
      <c r="N326" s="676"/>
      <c r="O326" s="24">
        <f t="shared" si="56"/>
        <v>0</v>
      </c>
      <c r="P326" s="676"/>
      <c r="Q326" s="24">
        <f t="shared" si="57"/>
        <v>1</v>
      </c>
      <c r="R326" s="672">
        <f t="shared" si="58"/>
        <v>0</v>
      </c>
      <c r="S326" s="322">
        <f t="shared" si="60"/>
        <v>0</v>
      </c>
    </row>
    <row r="327" spans="1:19">
      <c r="A327" s="155"/>
      <c r="B327" s="57"/>
      <c r="C327" s="24">
        <f t="shared" si="50"/>
        <v>1</v>
      </c>
      <c r="D327" s="676"/>
      <c r="E327" s="24">
        <f t="shared" si="51"/>
        <v>0</v>
      </c>
      <c r="F327" s="676"/>
      <c r="G327" s="24">
        <f t="shared" si="52"/>
        <v>0.1</v>
      </c>
      <c r="H327" s="676"/>
      <c r="I327" s="24">
        <f t="shared" si="53"/>
        <v>1</v>
      </c>
      <c r="J327" s="676"/>
      <c r="K327" s="24">
        <f t="shared" si="54"/>
        <v>1</v>
      </c>
      <c r="L327" s="676"/>
      <c r="M327" s="24">
        <f t="shared" si="55"/>
        <v>0</v>
      </c>
      <c r="N327" s="676"/>
      <c r="O327" s="24">
        <f t="shared" si="56"/>
        <v>0</v>
      </c>
      <c r="P327" s="676"/>
      <c r="Q327" s="24">
        <f t="shared" si="57"/>
        <v>1</v>
      </c>
      <c r="R327" s="672">
        <f t="shared" si="58"/>
        <v>0</v>
      </c>
      <c r="S327" s="322">
        <f t="shared" si="60"/>
        <v>0</v>
      </c>
    </row>
    <row r="328" spans="1:19">
      <c r="A328" s="155"/>
      <c r="B328" s="57"/>
      <c r="C328" s="24">
        <f t="shared" si="50"/>
        <v>1</v>
      </c>
      <c r="D328" s="676"/>
      <c r="E328" s="24">
        <f t="shared" si="51"/>
        <v>0</v>
      </c>
      <c r="F328" s="676"/>
      <c r="G328" s="24">
        <f t="shared" si="52"/>
        <v>0.1</v>
      </c>
      <c r="H328" s="676"/>
      <c r="I328" s="24">
        <f t="shared" si="53"/>
        <v>1</v>
      </c>
      <c r="J328" s="676"/>
      <c r="K328" s="24">
        <f t="shared" si="54"/>
        <v>1</v>
      </c>
      <c r="L328" s="676"/>
      <c r="M328" s="24">
        <f t="shared" si="55"/>
        <v>0</v>
      </c>
      <c r="N328" s="676"/>
      <c r="O328" s="24">
        <f t="shared" si="56"/>
        <v>0</v>
      </c>
      <c r="P328" s="676"/>
      <c r="Q328" s="24">
        <f t="shared" si="57"/>
        <v>1</v>
      </c>
      <c r="R328" s="672">
        <f t="shared" si="58"/>
        <v>0</v>
      </c>
      <c r="S328" s="322">
        <f t="shared" si="60"/>
        <v>0</v>
      </c>
    </row>
    <row r="329" spans="1:19">
      <c r="A329" s="155"/>
      <c r="B329" s="57"/>
      <c r="C329" s="24">
        <f t="shared" si="50"/>
        <v>1</v>
      </c>
      <c r="D329" s="676"/>
      <c r="E329" s="24">
        <f t="shared" si="51"/>
        <v>0</v>
      </c>
      <c r="F329" s="676"/>
      <c r="G329" s="24">
        <f t="shared" si="52"/>
        <v>0.1</v>
      </c>
      <c r="H329" s="676"/>
      <c r="I329" s="24">
        <f t="shared" si="53"/>
        <v>1</v>
      </c>
      <c r="J329" s="676"/>
      <c r="K329" s="24">
        <f t="shared" si="54"/>
        <v>1</v>
      </c>
      <c r="L329" s="676"/>
      <c r="M329" s="24">
        <f t="shared" si="55"/>
        <v>0</v>
      </c>
      <c r="N329" s="676"/>
      <c r="O329" s="24">
        <f t="shared" si="56"/>
        <v>0</v>
      </c>
      <c r="P329" s="676"/>
      <c r="Q329" s="24">
        <f t="shared" si="57"/>
        <v>1</v>
      </c>
      <c r="R329" s="672">
        <f t="shared" si="58"/>
        <v>0</v>
      </c>
      <c r="S329" s="322">
        <f t="shared" si="60"/>
        <v>0</v>
      </c>
    </row>
    <row r="330" spans="1:19">
      <c r="A330" s="155"/>
      <c r="B330" s="57"/>
      <c r="C330" s="24">
        <f t="shared" si="50"/>
        <v>1</v>
      </c>
      <c r="D330" s="676"/>
      <c r="E330" s="24">
        <f t="shared" si="51"/>
        <v>0</v>
      </c>
      <c r="F330" s="676"/>
      <c r="G330" s="24">
        <f t="shared" si="52"/>
        <v>0.1</v>
      </c>
      <c r="H330" s="676"/>
      <c r="I330" s="24">
        <f t="shared" si="53"/>
        <v>1</v>
      </c>
      <c r="J330" s="676"/>
      <c r="K330" s="24">
        <f t="shared" si="54"/>
        <v>1</v>
      </c>
      <c r="L330" s="676"/>
      <c r="M330" s="24">
        <f t="shared" si="55"/>
        <v>0</v>
      </c>
      <c r="N330" s="676"/>
      <c r="O330" s="24">
        <f t="shared" si="56"/>
        <v>0</v>
      </c>
      <c r="P330" s="676"/>
      <c r="Q330" s="24">
        <f t="shared" si="57"/>
        <v>1</v>
      </c>
      <c r="R330" s="672">
        <f t="shared" si="58"/>
        <v>0</v>
      </c>
      <c r="S330" s="322">
        <f t="shared" si="60"/>
        <v>0</v>
      </c>
    </row>
    <row r="331" spans="1:19">
      <c r="A331" s="155"/>
      <c r="B331" s="57"/>
      <c r="C331" s="24">
        <f t="shared" si="50"/>
        <v>1</v>
      </c>
      <c r="D331" s="676"/>
      <c r="E331" s="24">
        <f t="shared" si="51"/>
        <v>0</v>
      </c>
      <c r="F331" s="676"/>
      <c r="G331" s="24">
        <f t="shared" si="52"/>
        <v>0.1</v>
      </c>
      <c r="H331" s="676"/>
      <c r="I331" s="24">
        <f t="shared" si="53"/>
        <v>1</v>
      </c>
      <c r="J331" s="676"/>
      <c r="K331" s="24">
        <f t="shared" si="54"/>
        <v>1</v>
      </c>
      <c r="L331" s="676"/>
      <c r="M331" s="24">
        <f t="shared" si="55"/>
        <v>0</v>
      </c>
      <c r="N331" s="676"/>
      <c r="O331" s="24">
        <f t="shared" si="56"/>
        <v>0</v>
      </c>
      <c r="P331" s="676"/>
      <c r="Q331" s="24">
        <f t="shared" si="57"/>
        <v>1</v>
      </c>
      <c r="R331" s="672">
        <f t="shared" si="58"/>
        <v>0</v>
      </c>
      <c r="S331" s="322">
        <f t="shared" si="60"/>
        <v>0</v>
      </c>
    </row>
    <row r="332" spans="1:19">
      <c r="A332" s="155"/>
      <c r="B332" s="57"/>
      <c r="C332" s="24">
        <f t="shared" si="50"/>
        <v>1</v>
      </c>
      <c r="D332" s="676"/>
      <c r="E332" s="24">
        <f t="shared" si="51"/>
        <v>0</v>
      </c>
      <c r="F332" s="676"/>
      <c r="G332" s="24">
        <f t="shared" si="52"/>
        <v>0.1</v>
      </c>
      <c r="H332" s="676"/>
      <c r="I332" s="24">
        <f t="shared" si="53"/>
        <v>1</v>
      </c>
      <c r="J332" s="676"/>
      <c r="K332" s="24">
        <f t="shared" si="54"/>
        <v>1</v>
      </c>
      <c r="L332" s="676"/>
      <c r="M332" s="24">
        <f t="shared" si="55"/>
        <v>0</v>
      </c>
      <c r="N332" s="676"/>
      <c r="O332" s="24">
        <f t="shared" si="56"/>
        <v>0</v>
      </c>
      <c r="P332" s="676"/>
      <c r="Q332" s="24">
        <f t="shared" si="57"/>
        <v>1</v>
      </c>
      <c r="R332" s="672">
        <f t="shared" si="58"/>
        <v>0</v>
      </c>
      <c r="S332" s="322">
        <f t="shared" si="60"/>
        <v>0</v>
      </c>
    </row>
    <row r="333" spans="1:19">
      <c r="A333" s="155"/>
      <c r="B333" s="57"/>
      <c r="C333" s="24">
        <f t="shared" si="50"/>
        <v>1</v>
      </c>
      <c r="D333" s="676"/>
      <c r="E333" s="24">
        <f t="shared" si="51"/>
        <v>0</v>
      </c>
      <c r="F333" s="676"/>
      <c r="G333" s="24">
        <f t="shared" si="52"/>
        <v>0.1</v>
      </c>
      <c r="H333" s="676"/>
      <c r="I333" s="24">
        <f t="shared" si="53"/>
        <v>1</v>
      </c>
      <c r="J333" s="676"/>
      <c r="K333" s="24">
        <f t="shared" si="54"/>
        <v>1</v>
      </c>
      <c r="L333" s="676"/>
      <c r="M333" s="24">
        <f t="shared" si="55"/>
        <v>0</v>
      </c>
      <c r="N333" s="676"/>
      <c r="O333" s="24">
        <f t="shared" si="56"/>
        <v>0</v>
      </c>
      <c r="P333" s="676"/>
      <c r="Q333" s="24">
        <f t="shared" si="57"/>
        <v>1</v>
      </c>
      <c r="R333" s="672">
        <f t="shared" si="58"/>
        <v>0</v>
      </c>
      <c r="S333" s="322">
        <f t="shared" si="60"/>
        <v>0</v>
      </c>
    </row>
    <row r="334" spans="1:19">
      <c r="A334" s="155"/>
      <c r="B334" s="57"/>
      <c r="C334" s="24">
        <f t="shared" si="50"/>
        <v>1</v>
      </c>
      <c r="D334" s="676"/>
      <c r="E334" s="24">
        <f t="shared" si="51"/>
        <v>0</v>
      </c>
      <c r="F334" s="676"/>
      <c r="G334" s="24">
        <f t="shared" si="52"/>
        <v>0.1</v>
      </c>
      <c r="H334" s="676"/>
      <c r="I334" s="24">
        <f t="shared" si="53"/>
        <v>1</v>
      </c>
      <c r="J334" s="676"/>
      <c r="K334" s="24">
        <f t="shared" si="54"/>
        <v>1</v>
      </c>
      <c r="L334" s="676"/>
      <c r="M334" s="24">
        <f t="shared" si="55"/>
        <v>0</v>
      </c>
      <c r="N334" s="676"/>
      <c r="O334" s="24">
        <f t="shared" si="56"/>
        <v>0</v>
      </c>
      <c r="P334" s="676"/>
      <c r="Q334" s="24">
        <f t="shared" si="57"/>
        <v>1</v>
      </c>
      <c r="R334" s="672">
        <f t="shared" si="58"/>
        <v>0</v>
      </c>
      <c r="S334" s="322">
        <f t="shared" si="60"/>
        <v>0</v>
      </c>
    </row>
    <row r="335" spans="1:19">
      <c r="A335" s="155"/>
      <c r="B335" s="57"/>
      <c r="C335" s="24">
        <f t="shared" si="50"/>
        <v>1</v>
      </c>
      <c r="D335" s="676"/>
      <c r="E335" s="24">
        <f t="shared" si="51"/>
        <v>0</v>
      </c>
      <c r="F335" s="676"/>
      <c r="G335" s="24">
        <f t="shared" si="52"/>
        <v>0.1</v>
      </c>
      <c r="H335" s="676"/>
      <c r="I335" s="24">
        <f t="shared" si="53"/>
        <v>1</v>
      </c>
      <c r="J335" s="676"/>
      <c r="K335" s="24">
        <f t="shared" si="54"/>
        <v>1</v>
      </c>
      <c r="L335" s="676"/>
      <c r="M335" s="24">
        <f t="shared" si="55"/>
        <v>0</v>
      </c>
      <c r="N335" s="676"/>
      <c r="O335" s="24">
        <f t="shared" si="56"/>
        <v>0</v>
      </c>
      <c r="P335" s="676"/>
      <c r="Q335" s="24">
        <f t="shared" si="57"/>
        <v>1</v>
      </c>
      <c r="R335" s="672">
        <f t="shared" si="58"/>
        <v>0</v>
      </c>
      <c r="S335" s="322">
        <f t="shared" si="60"/>
        <v>0</v>
      </c>
    </row>
    <row r="336" spans="1:19">
      <c r="A336" s="155"/>
      <c r="B336" s="57"/>
      <c r="C336" s="24">
        <f t="shared" si="50"/>
        <v>1</v>
      </c>
      <c r="D336" s="676"/>
      <c r="E336" s="24">
        <f t="shared" si="51"/>
        <v>0</v>
      </c>
      <c r="F336" s="676"/>
      <c r="G336" s="24">
        <f t="shared" si="52"/>
        <v>0.1</v>
      </c>
      <c r="H336" s="676"/>
      <c r="I336" s="24">
        <f t="shared" si="53"/>
        <v>1</v>
      </c>
      <c r="J336" s="676"/>
      <c r="K336" s="24">
        <f t="shared" si="54"/>
        <v>1</v>
      </c>
      <c r="L336" s="676"/>
      <c r="M336" s="24">
        <f t="shared" si="55"/>
        <v>0</v>
      </c>
      <c r="N336" s="676"/>
      <c r="O336" s="24">
        <f t="shared" si="56"/>
        <v>0</v>
      </c>
      <c r="P336" s="676"/>
      <c r="Q336" s="24">
        <f t="shared" si="57"/>
        <v>1</v>
      </c>
      <c r="R336" s="672">
        <f t="shared" si="58"/>
        <v>0</v>
      </c>
      <c r="S336" s="322">
        <f t="shared" si="60"/>
        <v>0</v>
      </c>
    </row>
    <row r="337" spans="1:19">
      <c r="A337" s="155"/>
      <c r="B337" s="57"/>
      <c r="C337" s="24">
        <f t="shared" si="50"/>
        <v>1</v>
      </c>
      <c r="D337" s="676"/>
      <c r="E337" s="24">
        <f t="shared" si="51"/>
        <v>0</v>
      </c>
      <c r="F337" s="676"/>
      <c r="G337" s="24">
        <f t="shared" si="52"/>
        <v>0.1</v>
      </c>
      <c r="H337" s="676"/>
      <c r="I337" s="24">
        <f t="shared" si="53"/>
        <v>1</v>
      </c>
      <c r="J337" s="676"/>
      <c r="K337" s="24">
        <f t="shared" si="54"/>
        <v>1</v>
      </c>
      <c r="L337" s="676"/>
      <c r="M337" s="24">
        <f t="shared" si="55"/>
        <v>0</v>
      </c>
      <c r="N337" s="676"/>
      <c r="O337" s="24">
        <f t="shared" si="56"/>
        <v>0</v>
      </c>
      <c r="P337" s="676"/>
      <c r="Q337" s="24">
        <f t="shared" si="57"/>
        <v>1</v>
      </c>
      <c r="R337" s="672">
        <f t="shared" si="58"/>
        <v>0</v>
      </c>
      <c r="S337" s="322">
        <f t="shared" si="60"/>
        <v>0</v>
      </c>
    </row>
    <row r="338" spans="1:19">
      <c r="A338" s="155"/>
      <c r="B338" s="57"/>
      <c r="C338" s="24">
        <f t="shared" si="50"/>
        <v>1</v>
      </c>
      <c r="D338" s="676"/>
      <c r="E338" s="24">
        <f t="shared" si="51"/>
        <v>0</v>
      </c>
      <c r="F338" s="676"/>
      <c r="G338" s="24">
        <f t="shared" si="52"/>
        <v>0.1</v>
      </c>
      <c r="H338" s="676"/>
      <c r="I338" s="24">
        <f t="shared" si="53"/>
        <v>1</v>
      </c>
      <c r="J338" s="676"/>
      <c r="K338" s="24">
        <f t="shared" si="54"/>
        <v>1</v>
      </c>
      <c r="L338" s="676"/>
      <c r="M338" s="24">
        <f t="shared" si="55"/>
        <v>0</v>
      </c>
      <c r="N338" s="676"/>
      <c r="O338" s="24">
        <f t="shared" si="56"/>
        <v>0</v>
      </c>
      <c r="P338" s="676"/>
      <c r="Q338" s="24">
        <f t="shared" si="57"/>
        <v>1</v>
      </c>
      <c r="R338" s="672">
        <f t="shared" si="58"/>
        <v>0</v>
      </c>
      <c r="S338" s="322">
        <f t="shared" si="60"/>
        <v>0</v>
      </c>
    </row>
    <row r="339" spans="1:19">
      <c r="A339" s="155"/>
      <c r="B339" s="57"/>
      <c r="C339" s="24">
        <f t="shared" si="50"/>
        <v>1</v>
      </c>
      <c r="D339" s="676"/>
      <c r="E339" s="24">
        <f t="shared" si="51"/>
        <v>0</v>
      </c>
      <c r="F339" s="676"/>
      <c r="G339" s="24">
        <f t="shared" si="52"/>
        <v>0.1</v>
      </c>
      <c r="H339" s="676"/>
      <c r="I339" s="24">
        <f t="shared" si="53"/>
        <v>1</v>
      </c>
      <c r="J339" s="676"/>
      <c r="K339" s="24">
        <f t="shared" si="54"/>
        <v>1</v>
      </c>
      <c r="L339" s="676"/>
      <c r="M339" s="24">
        <f t="shared" si="55"/>
        <v>0</v>
      </c>
      <c r="N339" s="676"/>
      <c r="O339" s="24">
        <f t="shared" si="56"/>
        <v>0</v>
      </c>
      <c r="P339" s="676"/>
      <c r="Q339" s="24">
        <f t="shared" si="57"/>
        <v>1</v>
      </c>
      <c r="R339" s="672">
        <f t="shared" si="58"/>
        <v>0</v>
      </c>
      <c r="S339" s="322">
        <f t="shared" si="60"/>
        <v>0</v>
      </c>
    </row>
    <row r="340" spans="1:19">
      <c r="A340" s="155"/>
      <c r="B340" s="57"/>
      <c r="C340" s="24">
        <f t="shared" si="50"/>
        <v>1</v>
      </c>
      <c r="D340" s="676"/>
      <c r="E340" s="24">
        <f t="shared" si="51"/>
        <v>0</v>
      </c>
      <c r="F340" s="676"/>
      <c r="G340" s="24">
        <f t="shared" si="52"/>
        <v>0.1</v>
      </c>
      <c r="H340" s="676"/>
      <c r="I340" s="24">
        <f t="shared" si="53"/>
        <v>1</v>
      </c>
      <c r="J340" s="676"/>
      <c r="K340" s="24">
        <f t="shared" si="54"/>
        <v>1</v>
      </c>
      <c r="L340" s="676"/>
      <c r="M340" s="24">
        <f t="shared" si="55"/>
        <v>0</v>
      </c>
      <c r="N340" s="676"/>
      <c r="O340" s="24">
        <f t="shared" si="56"/>
        <v>0</v>
      </c>
      <c r="P340" s="676"/>
      <c r="Q340" s="24">
        <f t="shared" si="57"/>
        <v>1</v>
      </c>
      <c r="R340" s="672">
        <f t="shared" si="58"/>
        <v>0</v>
      </c>
      <c r="S340" s="322">
        <f t="shared" si="60"/>
        <v>0</v>
      </c>
    </row>
    <row r="341" spans="1:19">
      <c r="A341" s="155"/>
      <c r="B341" s="57"/>
      <c r="C341" s="24">
        <f t="shared" si="50"/>
        <v>1</v>
      </c>
      <c r="D341" s="676"/>
      <c r="E341" s="24">
        <f t="shared" si="51"/>
        <v>0</v>
      </c>
      <c r="F341" s="676"/>
      <c r="G341" s="24">
        <f t="shared" si="52"/>
        <v>0.1</v>
      </c>
      <c r="H341" s="676"/>
      <c r="I341" s="24">
        <f t="shared" si="53"/>
        <v>1</v>
      </c>
      <c r="J341" s="676"/>
      <c r="K341" s="24">
        <f t="shared" si="54"/>
        <v>1</v>
      </c>
      <c r="L341" s="676"/>
      <c r="M341" s="24">
        <f t="shared" si="55"/>
        <v>0</v>
      </c>
      <c r="N341" s="676"/>
      <c r="O341" s="24">
        <f t="shared" si="56"/>
        <v>0</v>
      </c>
      <c r="P341" s="676"/>
      <c r="Q341" s="24">
        <f t="shared" si="57"/>
        <v>1</v>
      </c>
      <c r="R341" s="672">
        <f t="shared" si="58"/>
        <v>0</v>
      </c>
      <c r="S341" s="322">
        <f t="shared" si="60"/>
        <v>0</v>
      </c>
    </row>
    <row r="342" spans="1:19">
      <c r="A342" s="155"/>
      <c r="B342" s="57"/>
      <c r="C342" s="24">
        <f t="shared" si="50"/>
        <v>1</v>
      </c>
      <c r="D342" s="676"/>
      <c r="E342" s="24">
        <f t="shared" si="51"/>
        <v>0</v>
      </c>
      <c r="F342" s="676"/>
      <c r="G342" s="24">
        <f t="shared" si="52"/>
        <v>0.1</v>
      </c>
      <c r="H342" s="676"/>
      <c r="I342" s="24">
        <f t="shared" si="53"/>
        <v>1</v>
      </c>
      <c r="J342" s="676"/>
      <c r="K342" s="24">
        <f t="shared" si="54"/>
        <v>1</v>
      </c>
      <c r="L342" s="676"/>
      <c r="M342" s="24">
        <f t="shared" si="55"/>
        <v>0</v>
      </c>
      <c r="N342" s="676"/>
      <c r="O342" s="24">
        <f t="shared" si="56"/>
        <v>0</v>
      </c>
      <c r="P342" s="676"/>
      <c r="Q342" s="24">
        <f t="shared" si="57"/>
        <v>1</v>
      </c>
      <c r="R342" s="672">
        <f t="shared" si="58"/>
        <v>0</v>
      </c>
      <c r="S342" s="322">
        <f t="shared" si="60"/>
        <v>0</v>
      </c>
    </row>
    <row r="343" spans="1:19">
      <c r="A343" s="155"/>
      <c r="B343" s="57"/>
      <c r="C343" s="24">
        <f t="shared" si="50"/>
        <v>1</v>
      </c>
      <c r="D343" s="676"/>
      <c r="E343" s="24">
        <f t="shared" si="51"/>
        <v>0</v>
      </c>
      <c r="F343" s="676"/>
      <c r="G343" s="24">
        <f t="shared" si="52"/>
        <v>0.1</v>
      </c>
      <c r="H343" s="676"/>
      <c r="I343" s="24">
        <f t="shared" si="53"/>
        <v>1</v>
      </c>
      <c r="J343" s="676"/>
      <c r="K343" s="24">
        <f t="shared" si="54"/>
        <v>1</v>
      </c>
      <c r="L343" s="676"/>
      <c r="M343" s="24">
        <f t="shared" si="55"/>
        <v>0</v>
      </c>
      <c r="N343" s="676"/>
      <c r="O343" s="24">
        <f t="shared" si="56"/>
        <v>0</v>
      </c>
      <c r="P343" s="676"/>
      <c r="Q343" s="24">
        <f t="shared" si="57"/>
        <v>1</v>
      </c>
      <c r="R343" s="672">
        <f t="shared" si="58"/>
        <v>0</v>
      </c>
      <c r="S343" s="322">
        <f t="shared" si="60"/>
        <v>0</v>
      </c>
    </row>
    <row r="344" spans="1:19">
      <c r="A344" s="155"/>
      <c r="B344" s="57"/>
      <c r="C344" s="24">
        <f t="shared" si="50"/>
        <v>1</v>
      </c>
      <c r="D344" s="676"/>
      <c r="E344" s="24">
        <f t="shared" si="51"/>
        <v>0</v>
      </c>
      <c r="F344" s="676"/>
      <c r="G344" s="24">
        <f t="shared" si="52"/>
        <v>0.1</v>
      </c>
      <c r="H344" s="676"/>
      <c r="I344" s="24">
        <f t="shared" si="53"/>
        <v>1</v>
      </c>
      <c r="J344" s="676"/>
      <c r="K344" s="24">
        <f t="shared" si="54"/>
        <v>1</v>
      </c>
      <c r="L344" s="676"/>
      <c r="M344" s="24">
        <f t="shared" si="55"/>
        <v>0</v>
      </c>
      <c r="N344" s="676"/>
      <c r="O344" s="24">
        <f t="shared" si="56"/>
        <v>0</v>
      </c>
      <c r="P344" s="676"/>
      <c r="Q344" s="24">
        <f t="shared" si="57"/>
        <v>1</v>
      </c>
      <c r="R344" s="672">
        <f t="shared" si="58"/>
        <v>0</v>
      </c>
      <c r="S344" s="322">
        <f t="shared" si="60"/>
        <v>0</v>
      </c>
    </row>
    <row r="345" spans="1:19">
      <c r="A345" s="155"/>
      <c r="B345" s="57"/>
      <c r="C345" s="24">
        <f t="shared" si="50"/>
        <v>1</v>
      </c>
      <c r="D345" s="676"/>
      <c r="E345" s="24">
        <f t="shared" si="51"/>
        <v>0</v>
      </c>
      <c r="F345" s="676"/>
      <c r="G345" s="24">
        <f t="shared" si="52"/>
        <v>0.1</v>
      </c>
      <c r="H345" s="676"/>
      <c r="I345" s="24">
        <f t="shared" si="53"/>
        <v>1</v>
      </c>
      <c r="J345" s="676"/>
      <c r="K345" s="24">
        <f t="shared" si="54"/>
        <v>1</v>
      </c>
      <c r="L345" s="676"/>
      <c r="M345" s="24">
        <f t="shared" si="55"/>
        <v>0</v>
      </c>
      <c r="N345" s="676"/>
      <c r="O345" s="24">
        <f t="shared" si="56"/>
        <v>0</v>
      </c>
      <c r="P345" s="676"/>
      <c r="Q345" s="24">
        <f t="shared" si="57"/>
        <v>1</v>
      </c>
      <c r="R345" s="672">
        <f t="shared" si="58"/>
        <v>0</v>
      </c>
      <c r="S345" s="322">
        <f t="shared" si="60"/>
        <v>0</v>
      </c>
    </row>
    <row r="346" spans="1:19">
      <c r="A346" s="155"/>
      <c r="B346" s="57"/>
      <c r="C346" s="24">
        <f t="shared" ref="C346:C409" si="61">IF(B346="",1,(LOOKUP(B346,$3:$3,$4:$4)-LOOKUP($B$24,$3:$3,$4:$4)+100)/100)</f>
        <v>1</v>
      </c>
      <c r="D346" s="676"/>
      <c r="E346" s="24">
        <f t="shared" ref="E346:E409" si="62">(SUMIF($5:$5,D346,$6:$6)-SUMIF($5:$5,$D$24,$6:$6)+100)/100</f>
        <v>0</v>
      </c>
      <c r="F346" s="676"/>
      <c r="G346" s="24">
        <f t="shared" ref="G346:G409" si="63">(SUMIF($7:$7,F346,$8:$8)-SUMIF($7:$7,$F$24,$8:$8)+100)/100</f>
        <v>0.1</v>
      </c>
      <c r="H346" s="676"/>
      <c r="I346" s="24">
        <f t="shared" ref="I346:I409" si="64">(SUMIF($9:$9,H346,$10:$10)-SUMIF($9:$9,$H$24,$10:$10)+100)/100</f>
        <v>1</v>
      </c>
      <c r="J346" s="676"/>
      <c r="K346" s="24">
        <f t="shared" ref="K346:K409" si="65">(SUMIF($11:$11,J346,$12:$12)-SUMIF($11:$11,$J$24,$12:$12)+100)/100</f>
        <v>1</v>
      </c>
      <c r="L346" s="676"/>
      <c r="M346" s="24">
        <f t="shared" ref="M346:M409" si="66">(SUMIF($13:$13,L346,$14:$14)-SUMIF($13:$13,$L$24,$14:$14)+100)/100</f>
        <v>0</v>
      </c>
      <c r="N346" s="676"/>
      <c r="O346" s="24">
        <f t="shared" ref="O346:O409" si="67">(SUMIF($15:$15,N346,$16:$16)-SUMIF($15:$15,$N$24,$16:$16)+100)/100</f>
        <v>0</v>
      </c>
      <c r="P346" s="676"/>
      <c r="Q346" s="24">
        <f t="shared" ref="Q346:Q409" si="68">(SUMIF($17:$17,P346,$18:$18)-SUMIF($17:$17,$P$24,$18:$18)+100)/100</f>
        <v>1</v>
      </c>
      <c r="R346" s="672">
        <f t="shared" ref="R346:R409" si="69">IF(B346="",0,ROUND($R$24*C346*E346*G346*I346*K346*M346*O346*Q346,0))</f>
        <v>0</v>
      </c>
      <c r="S346" s="322">
        <f t="shared" si="60"/>
        <v>0</v>
      </c>
    </row>
    <row r="347" spans="1:19">
      <c r="A347" s="155"/>
      <c r="B347" s="57"/>
      <c r="C347" s="24">
        <f t="shared" si="61"/>
        <v>1</v>
      </c>
      <c r="D347" s="676"/>
      <c r="E347" s="24">
        <f t="shared" si="62"/>
        <v>0</v>
      </c>
      <c r="F347" s="676"/>
      <c r="G347" s="24">
        <f t="shared" si="63"/>
        <v>0.1</v>
      </c>
      <c r="H347" s="676"/>
      <c r="I347" s="24">
        <f t="shared" si="64"/>
        <v>1</v>
      </c>
      <c r="J347" s="676"/>
      <c r="K347" s="24">
        <f t="shared" si="65"/>
        <v>1</v>
      </c>
      <c r="L347" s="676"/>
      <c r="M347" s="24">
        <f t="shared" si="66"/>
        <v>0</v>
      </c>
      <c r="N347" s="676"/>
      <c r="O347" s="24">
        <f t="shared" si="67"/>
        <v>0</v>
      </c>
      <c r="P347" s="676"/>
      <c r="Q347" s="24">
        <f t="shared" si="68"/>
        <v>1</v>
      </c>
      <c r="R347" s="672">
        <f t="shared" si="69"/>
        <v>0</v>
      </c>
      <c r="S347" s="322">
        <f t="shared" si="60"/>
        <v>0</v>
      </c>
    </row>
    <row r="348" spans="1:19">
      <c r="A348" s="155"/>
      <c r="B348" s="57"/>
      <c r="C348" s="24">
        <f t="shared" si="61"/>
        <v>1</v>
      </c>
      <c r="D348" s="676"/>
      <c r="E348" s="24">
        <f t="shared" si="62"/>
        <v>0</v>
      </c>
      <c r="F348" s="676"/>
      <c r="G348" s="24">
        <f t="shared" si="63"/>
        <v>0.1</v>
      </c>
      <c r="H348" s="676"/>
      <c r="I348" s="24">
        <f t="shared" si="64"/>
        <v>1</v>
      </c>
      <c r="J348" s="676"/>
      <c r="K348" s="24">
        <f t="shared" si="65"/>
        <v>1</v>
      </c>
      <c r="L348" s="676"/>
      <c r="M348" s="24">
        <f t="shared" si="66"/>
        <v>0</v>
      </c>
      <c r="N348" s="676"/>
      <c r="O348" s="24">
        <f t="shared" si="67"/>
        <v>0</v>
      </c>
      <c r="P348" s="676"/>
      <c r="Q348" s="24">
        <f t="shared" si="68"/>
        <v>1</v>
      </c>
      <c r="R348" s="672">
        <f t="shared" si="69"/>
        <v>0</v>
      </c>
      <c r="S348" s="322">
        <f t="shared" si="60"/>
        <v>0</v>
      </c>
    </row>
    <row r="349" spans="1:19">
      <c r="A349" s="155"/>
      <c r="B349" s="57"/>
      <c r="C349" s="24">
        <f t="shared" si="61"/>
        <v>1</v>
      </c>
      <c r="D349" s="676"/>
      <c r="E349" s="24">
        <f t="shared" si="62"/>
        <v>0</v>
      </c>
      <c r="F349" s="676"/>
      <c r="G349" s="24">
        <f t="shared" si="63"/>
        <v>0.1</v>
      </c>
      <c r="H349" s="676"/>
      <c r="I349" s="24">
        <f t="shared" si="64"/>
        <v>1</v>
      </c>
      <c r="J349" s="676"/>
      <c r="K349" s="24">
        <f t="shared" si="65"/>
        <v>1</v>
      </c>
      <c r="L349" s="676"/>
      <c r="M349" s="24">
        <f t="shared" si="66"/>
        <v>0</v>
      </c>
      <c r="N349" s="676"/>
      <c r="O349" s="24">
        <f t="shared" si="67"/>
        <v>0</v>
      </c>
      <c r="P349" s="676"/>
      <c r="Q349" s="24">
        <f t="shared" si="68"/>
        <v>1</v>
      </c>
      <c r="R349" s="672">
        <f t="shared" si="69"/>
        <v>0</v>
      </c>
      <c r="S349" s="322">
        <f t="shared" si="60"/>
        <v>0</v>
      </c>
    </row>
    <row r="350" spans="1:19">
      <c r="A350" s="155"/>
      <c r="B350" s="57"/>
      <c r="C350" s="24">
        <f t="shared" si="61"/>
        <v>1</v>
      </c>
      <c r="D350" s="676"/>
      <c r="E350" s="24">
        <f t="shared" si="62"/>
        <v>0</v>
      </c>
      <c r="F350" s="676"/>
      <c r="G350" s="24">
        <f t="shared" si="63"/>
        <v>0.1</v>
      </c>
      <c r="H350" s="676"/>
      <c r="I350" s="24">
        <f t="shared" si="64"/>
        <v>1</v>
      </c>
      <c r="J350" s="676"/>
      <c r="K350" s="24">
        <f t="shared" si="65"/>
        <v>1</v>
      </c>
      <c r="L350" s="676"/>
      <c r="M350" s="24">
        <f t="shared" si="66"/>
        <v>0</v>
      </c>
      <c r="N350" s="676"/>
      <c r="O350" s="24">
        <f t="shared" si="67"/>
        <v>0</v>
      </c>
      <c r="P350" s="676"/>
      <c r="Q350" s="24">
        <f t="shared" si="68"/>
        <v>1</v>
      </c>
      <c r="R350" s="672">
        <f t="shared" si="69"/>
        <v>0</v>
      </c>
      <c r="S350" s="322">
        <f t="shared" si="60"/>
        <v>0</v>
      </c>
    </row>
    <row r="351" spans="1:19">
      <c r="A351" s="155"/>
      <c r="B351" s="57"/>
      <c r="C351" s="24">
        <f t="shared" si="61"/>
        <v>1</v>
      </c>
      <c r="D351" s="676"/>
      <c r="E351" s="24">
        <f t="shared" si="62"/>
        <v>0</v>
      </c>
      <c r="F351" s="676"/>
      <c r="G351" s="24">
        <f t="shared" si="63"/>
        <v>0.1</v>
      </c>
      <c r="H351" s="676"/>
      <c r="I351" s="24">
        <f t="shared" si="64"/>
        <v>1</v>
      </c>
      <c r="J351" s="676"/>
      <c r="K351" s="24">
        <f t="shared" si="65"/>
        <v>1</v>
      </c>
      <c r="L351" s="676"/>
      <c r="M351" s="24">
        <f t="shared" si="66"/>
        <v>0</v>
      </c>
      <c r="N351" s="676"/>
      <c r="O351" s="24">
        <f t="shared" si="67"/>
        <v>0</v>
      </c>
      <c r="P351" s="676"/>
      <c r="Q351" s="24">
        <f t="shared" si="68"/>
        <v>1</v>
      </c>
      <c r="R351" s="672">
        <f t="shared" si="69"/>
        <v>0</v>
      </c>
      <c r="S351" s="322">
        <f t="shared" si="60"/>
        <v>0</v>
      </c>
    </row>
    <row r="352" spans="1:19">
      <c r="A352" s="155"/>
      <c r="B352" s="57"/>
      <c r="C352" s="24">
        <f t="shared" si="61"/>
        <v>1</v>
      </c>
      <c r="D352" s="676"/>
      <c r="E352" s="24">
        <f t="shared" si="62"/>
        <v>0</v>
      </c>
      <c r="F352" s="676"/>
      <c r="G352" s="24">
        <f t="shared" si="63"/>
        <v>0.1</v>
      </c>
      <c r="H352" s="676"/>
      <c r="I352" s="24">
        <f t="shared" si="64"/>
        <v>1</v>
      </c>
      <c r="J352" s="676"/>
      <c r="K352" s="24">
        <f t="shared" si="65"/>
        <v>1</v>
      </c>
      <c r="L352" s="676"/>
      <c r="M352" s="24">
        <f t="shared" si="66"/>
        <v>0</v>
      </c>
      <c r="N352" s="676"/>
      <c r="O352" s="24">
        <f t="shared" si="67"/>
        <v>0</v>
      </c>
      <c r="P352" s="676"/>
      <c r="Q352" s="24">
        <f t="shared" si="68"/>
        <v>1</v>
      </c>
      <c r="R352" s="672">
        <f t="shared" si="69"/>
        <v>0</v>
      </c>
      <c r="S352" s="322">
        <f t="shared" si="60"/>
        <v>0</v>
      </c>
    </row>
    <row r="353" spans="1:19">
      <c r="A353" s="155"/>
      <c r="B353" s="57"/>
      <c r="C353" s="24">
        <f t="shared" si="61"/>
        <v>1</v>
      </c>
      <c r="D353" s="676"/>
      <c r="E353" s="24">
        <f t="shared" si="62"/>
        <v>0</v>
      </c>
      <c r="F353" s="676"/>
      <c r="G353" s="24">
        <f t="shared" si="63"/>
        <v>0.1</v>
      </c>
      <c r="H353" s="676"/>
      <c r="I353" s="24">
        <f t="shared" si="64"/>
        <v>1</v>
      </c>
      <c r="J353" s="676"/>
      <c r="K353" s="24">
        <f t="shared" si="65"/>
        <v>1</v>
      </c>
      <c r="L353" s="676"/>
      <c r="M353" s="24">
        <f t="shared" si="66"/>
        <v>0</v>
      </c>
      <c r="N353" s="676"/>
      <c r="O353" s="24">
        <f t="shared" si="67"/>
        <v>0</v>
      </c>
      <c r="P353" s="676"/>
      <c r="Q353" s="24">
        <f t="shared" si="68"/>
        <v>1</v>
      </c>
      <c r="R353" s="672">
        <f t="shared" si="69"/>
        <v>0</v>
      </c>
      <c r="S353" s="322">
        <f t="shared" si="60"/>
        <v>0</v>
      </c>
    </row>
    <row r="354" spans="1:19">
      <c r="A354" s="155"/>
      <c r="B354" s="57"/>
      <c r="C354" s="24">
        <f t="shared" si="61"/>
        <v>1</v>
      </c>
      <c r="D354" s="676"/>
      <c r="E354" s="24">
        <f t="shared" si="62"/>
        <v>0</v>
      </c>
      <c r="F354" s="676"/>
      <c r="G354" s="24">
        <f t="shared" si="63"/>
        <v>0.1</v>
      </c>
      <c r="H354" s="676"/>
      <c r="I354" s="24">
        <f t="shared" si="64"/>
        <v>1</v>
      </c>
      <c r="J354" s="676"/>
      <c r="K354" s="24">
        <f t="shared" si="65"/>
        <v>1</v>
      </c>
      <c r="L354" s="676"/>
      <c r="M354" s="24">
        <f t="shared" si="66"/>
        <v>0</v>
      </c>
      <c r="N354" s="676"/>
      <c r="O354" s="24">
        <f t="shared" si="67"/>
        <v>0</v>
      </c>
      <c r="P354" s="676"/>
      <c r="Q354" s="24">
        <f t="shared" si="68"/>
        <v>1</v>
      </c>
      <c r="R354" s="672">
        <f t="shared" si="69"/>
        <v>0</v>
      </c>
      <c r="S354" s="322">
        <f t="shared" si="60"/>
        <v>0</v>
      </c>
    </row>
    <row r="355" spans="1:19">
      <c r="A355" s="155"/>
      <c r="B355" s="57"/>
      <c r="C355" s="24">
        <f t="shared" si="61"/>
        <v>1</v>
      </c>
      <c r="D355" s="676"/>
      <c r="E355" s="24">
        <f t="shared" si="62"/>
        <v>0</v>
      </c>
      <c r="F355" s="676"/>
      <c r="G355" s="24">
        <f t="shared" si="63"/>
        <v>0.1</v>
      </c>
      <c r="H355" s="676"/>
      <c r="I355" s="24">
        <f t="shared" si="64"/>
        <v>1</v>
      </c>
      <c r="J355" s="676"/>
      <c r="K355" s="24">
        <f t="shared" si="65"/>
        <v>1</v>
      </c>
      <c r="L355" s="676"/>
      <c r="M355" s="24">
        <f t="shared" si="66"/>
        <v>0</v>
      </c>
      <c r="N355" s="676"/>
      <c r="O355" s="24">
        <f t="shared" si="67"/>
        <v>0</v>
      </c>
      <c r="P355" s="676"/>
      <c r="Q355" s="24">
        <f t="shared" si="68"/>
        <v>1</v>
      </c>
      <c r="R355" s="672">
        <f t="shared" si="69"/>
        <v>0</v>
      </c>
      <c r="S355" s="322">
        <f t="shared" si="60"/>
        <v>0</v>
      </c>
    </row>
    <row r="356" spans="1:19">
      <c r="A356" s="155"/>
      <c r="B356" s="57"/>
      <c r="C356" s="24">
        <f t="shared" si="61"/>
        <v>1</v>
      </c>
      <c r="D356" s="676"/>
      <c r="E356" s="24">
        <f t="shared" si="62"/>
        <v>0</v>
      </c>
      <c r="F356" s="676"/>
      <c r="G356" s="24">
        <f t="shared" si="63"/>
        <v>0.1</v>
      </c>
      <c r="H356" s="676"/>
      <c r="I356" s="24">
        <f t="shared" si="64"/>
        <v>1</v>
      </c>
      <c r="J356" s="676"/>
      <c r="K356" s="24">
        <f t="shared" si="65"/>
        <v>1</v>
      </c>
      <c r="L356" s="676"/>
      <c r="M356" s="24">
        <f t="shared" si="66"/>
        <v>0</v>
      </c>
      <c r="N356" s="676"/>
      <c r="O356" s="24">
        <f t="shared" si="67"/>
        <v>0</v>
      </c>
      <c r="P356" s="676"/>
      <c r="Q356" s="24">
        <f t="shared" si="68"/>
        <v>1</v>
      </c>
      <c r="R356" s="672">
        <f t="shared" si="69"/>
        <v>0</v>
      </c>
      <c r="S356" s="322">
        <f t="shared" si="60"/>
        <v>0</v>
      </c>
    </row>
    <row r="357" spans="1:19">
      <c r="A357" s="155"/>
      <c r="B357" s="57"/>
      <c r="C357" s="24">
        <f t="shared" si="61"/>
        <v>1</v>
      </c>
      <c r="D357" s="676"/>
      <c r="E357" s="24">
        <f t="shared" si="62"/>
        <v>0</v>
      </c>
      <c r="F357" s="676"/>
      <c r="G357" s="24">
        <f t="shared" si="63"/>
        <v>0.1</v>
      </c>
      <c r="H357" s="676"/>
      <c r="I357" s="24">
        <f t="shared" si="64"/>
        <v>1</v>
      </c>
      <c r="J357" s="676"/>
      <c r="K357" s="24">
        <f t="shared" si="65"/>
        <v>1</v>
      </c>
      <c r="L357" s="676"/>
      <c r="M357" s="24">
        <f t="shared" si="66"/>
        <v>0</v>
      </c>
      <c r="N357" s="676"/>
      <c r="O357" s="24">
        <f t="shared" si="67"/>
        <v>0</v>
      </c>
      <c r="P357" s="676"/>
      <c r="Q357" s="24">
        <f t="shared" si="68"/>
        <v>1</v>
      </c>
      <c r="R357" s="672">
        <f t="shared" si="69"/>
        <v>0</v>
      </c>
      <c r="S357" s="322">
        <f t="shared" si="60"/>
        <v>0</v>
      </c>
    </row>
    <row r="358" spans="1:19">
      <c r="A358" s="155"/>
      <c r="B358" s="57"/>
      <c r="C358" s="24">
        <f t="shared" si="61"/>
        <v>1</v>
      </c>
      <c r="D358" s="676"/>
      <c r="E358" s="24">
        <f t="shared" si="62"/>
        <v>0</v>
      </c>
      <c r="F358" s="676"/>
      <c r="G358" s="24">
        <f t="shared" si="63"/>
        <v>0.1</v>
      </c>
      <c r="H358" s="676"/>
      <c r="I358" s="24">
        <f t="shared" si="64"/>
        <v>1</v>
      </c>
      <c r="J358" s="676"/>
      <c r="K358" s="24">
        <f t="shared" si="65"/>
        <v>1</v>
      </c>
      <c r="L358" s="676"/>
      <c r="M358" s="24">
        <f t="shared" si="66"/>
        <v>0</v>
      </c>
      <c r="N358" s="676"/>
      <c r="O358" s="24">
        <f t="shared" si="67"/>
        <v>0</v>
      </c>
      <c r="P358" s="676"/>
      <c r="Q358" s="24">
        <f t="shared" si="68"/>
        <v>1</v>
      </c>
      <c r="R358" s="672">
        <f t="shared" si="69"/>
        <v>0</v>
      </c>
      <c r="S358" s="322">
        <f t="shared" si="60"/>
        <v>0</v>
      </c>
    </row>
    <row r="359" spans="1:19">
      <c r="A359" s="155"/>
      <c r="B359" s="57"/>
      <c r="C359" s="24">
        <f t="shared" si="61"/>
        <v>1</v>
      </c>
      <c r="D359" s="676"/>
      <c r="E359" s="24">
        <f t="shared" si="62"/>
        <v>0</v>
      </c>
      <c r="F359" s="676"/>
      <c r="G359" s="24">
        <f t="shared" si="63"/>
        <v>0.1</v>
      </c>
      <c r="H359" s="676"/>
      <c r="I359" s="24">
        <f t="shared" si="64"/>
        <v>1</v>
      </c>
      <c r="J359" s="676"/>
      <c r="K359" s="24">
        <f t="shared" si="65"/>
        <v>1</v>
      </c>
      <c r="L359" s="676"/>
      <c r="M359" s="24">
        <f t="shared" si="66"/>
        <v>0</v>
      </c>
      <c r="N359" s="676"/>
      <c r="O359" s="24">
        <f t="shared" si="67"/>
        <v>0</v>
      </c>
      <c r="P359" s="676"/>
      <c r="Q359" s="24">
        <f t="shared" si="68"/>
        <v>1</v>
      </c>
      <c r="R359" s="672">
        <f t="shared" si="69"/>
        <v>0</v>
      </c>
      <c r="S359" s="322">
        <f t="shared" si="60"/>
        <v>0</v>
      </c>
    </row>
    <row r="360" spans="1:19">
      <c r="A360" s="155"/>
      <c r="B360" s="57"/>
      <c r="C360" s="24">
        <f t="shared" si="61"/>
        <v>1</v>
      </c>
      <c r="D360" s="676"/>
      <c r="E360" s="24">
        <f t="shared" si="62"/>
        <v>0</v>
      </c>
      <c r="F360" s="676"/>
      <c r="G360" s="24">
        <f t="shared" si="63"/>
        <v>0.1</v>
      </c>
      <c r="H360" s="676"/>
      <c r="I360" s="24">
        <f t="shared" si="64"/>
        <v>1</v>
      </c>
      <c r="J360" s="676"/>
      <c r="K360" s="24">
        <f t="shared" si="65"/>
        <v>1</v>
      </c>
      <c r="L360" s="676"/>
      <c r="M360" s="24">
        <f t="shared" si="66"/>
        <v>0</v>
      </c>
      <c r="N360" s="676"/>
      <c r="O360" s="24">
        <f t="shared" si="67"/>
        <v>0</v>
      </c>
      <c r="P360" s="676"/>
      <c r="Q360" s="24">
        <f t="shared" si="68"/>
        <v>1</v>
      </c>
      <c r="R360" s="672">
        <f t="shared" si="69"/>
        <v>0</v>
      </c>
      <c r="S360" s="322">
        <f t="shared" si="60"/>
        <v>0</v>
      </c>
    </row>
    <row r="361" spans="1:19">
      <c r="A361" s="155"/>
      <c r="B361" s="57"/>
      <c r="C361" s="24">
        <f t="shared" si="61"/>
        <v>1</v>
      </c>
      <c r="D361" s="676"/>
      <c r="E361" s="24">
        <f t="shared" si="62"/>
        <v>0</v>
      </c>
      <c r="F361" s="676"/>
      <c r="G361" s="24">
        <f t="shared" si="63"/>
        <v>0.1</v>
      </c>
      <c r="H361" s="676"/>
      <c r="I361" s="24">
        <f t="shared" si="64"/>
        <v>1</v>
      </c>
      <c r="J361" s="676"/>
      <c r="K361" s="24">
        <f t="shared" si="65"/>
        <v>1</v>
      </c>
      <c r="L361" s="676"/>
      <c r="M361" s="24">
        <f t="shared" si="66"/>
        <v>0</v>
      </c>
      <c r="N361" s="676"/>
      <c r="O361" s="24">
        <f t="shared" si="67"/>
        <v>0</v>
      </c>
      <c r="P361" s="676"/>
      <c r="Q361" s="24">
        <f t="shared" si="68"/>
        <v>1</v>
      </c>
      <c r="R361" s="672">
        <f t="shared" si="69"/>
        <v>0</v>
      </c>
      <c r="S361" s="322">
        <f t="shared" si="60"/>
        <v>0</v>
      </c>
    </row>
    <row r="362" spans="1:19">
      <c r="A362" s="155"/>
      <c r="B362" s="57"/>
      <c r="C362" s="24">
        <f t="shared" si="61"/>
        <v>1</v>
      </c>
      <c r="D362" s="676"/>
      <c r="E362" s="24">
        <f t="shared" si="62"/>
        <v>0</v>
      </c>
      <c r="F362" s="676"/>
      <c r="G362" s="24">
        <f t="shared" si="63"/>
        <v>0.1</v>
      </c>
      <c r="H362" s="676"/>
      <c r="I362" s="24">
        <f t="shared" si="64"/>
        <v>1</v>
      </c>
      <c r="J362" s="676"/>
      <c r="K362" s="24">
        <f t="shared" si="65"/>
        <v>1</v>
      </c>
      <c r="L362" s="676"/>
      <c r="M362" s="24">
        <f t="shared" si="66"/>
        <v>0</v>
      </c>
      <c r="N362" s="676"/>
      <c r="O362" s="24">
        <f t="shared" si="67"/>
        <v>0</v>
      </c>
      <c r="P362" s="676"/>
      <c r="Q362" s="24">
        <f t="shared" si="68"/>
        <v>1</v>
      </c>
      <c r="R362" s="672">
        <f t="shared" si="69"/>
        <v>0</v>
      </c>
      <c r="S362" s="322">
        <f t="shared" si="60"/>
        <v>0</v>
      </c>
    </row>
    <row r="363" spans="1:19">
      <c r="A363" s="155"/>
      <c r="B363" s="57"/>
      <c r="C363" s="24">
        <f t="shared" si="61"/>
        <v>1</v>
      </c>
      <c r="D363" s="676"/>
      <c r="E363" s="24">
        <f t="shared" si="62"/>
        <v>0</v>
      </c>
      <c r="F363" s="676"/>
      <c r="G363" s="24">
        <f t="shared" si="63"/>
        <v>0.1</v>
      </c>
      <c r="H363" s="676"/>
      <c r="I363" s="24">
        <f t="shared" si="64"/>
        <v>1</v>
      </c>
      <c r="J363" s="676"/>
      <c r="K363" s="24">
        <f t="shared" si="65"/>
        <v>1</v>
      </c>
      <c r="L363" s="676"/>
      <c r="M363" s="24">
        <f t="shared" si="66"/>
        <v>0</v>
      </c>
      <c r="N363" s="676"/>
      <c r="O363" s="24">
        <f t="shared" si="67"/>
        <v>0</v>
      </c>
      <c r="P363" s="676"/>
      <c r="Q363" s="24">
        <f t="shared" si="68"/>
        <v>1</v>
      </c>
      <c r="R363" s="672">
        <f t="shared" si="69"/>
        <v>0</v>
      </c>
      <c r="S363" s="322">
        <f t="shared" si="60"/>
        <v>0</v>
      </c>
    </row>
    <row r="364" spans="1:19">
      <c r="A364" s="155"/>
      <c r="B364" s="57"/>
      <c r="C364" s="24">
        <f t="shared" si="61"/>
        <v>1</v>
      </c>
      <c r="D364" s="676"/>
      <c r="E364" s="24">
        <f t="shared" si="62"/>
        <v>0</v>
      </c>
      <c r="F364" s="676"/>
      <c r="G364" s="24">
        <f t="shared" si="63"/>
        <v>0.1</v>
      </c>
      <c r="H364" s="676"/>
      <c r="I364" s="24">
        <f t="shared" si="64"/>
        <v>1</v>
      </c>
      <c r="J364" s="676"/>
      <c r="K364" s="24">
        <f t="shared" si="65"/>
        <v>1</v>
      </c>
      <c r="L364" s="676"/>
      <c r="M364" s="24">
        <f t="shared" si="66"/>
        <v>0</v>
      </c>
      <c r="N364" s="676"/>
      <c r="O364" s="24">
        <f t="shared" si="67"/>
        <v>0</v>
      </c>
      <c r="P364" s="676"/>
      <c r="Q364" s="24">
        <f t="shared" si="68"/>
        <v>1</v>
      </c>
      <c r="R364" s="672">
        <f t="shared" si="69"/>
        <v>0</v>
      </c>
      <c r="S364" s="322">
        <f t="shared" si="60"/>
        <v>0</v>
      </c>
    </row>
    <row r="365" spans="1:19">
      <c r="A365" s="155"/>
      <c r="B365" s="57"/>
      <c r="C365" s="24">
        <f t="shared" si="61"/>
        <v>1</v>
      </c>
      <c r="D365" s="676"/>
      <c r="E365" s="24">
        <f t="shared" si="62"/>
        <v>0</v>
      </c>
      <c r="F365" s="676"/>
      <c r="G365" s="24">
        <f t="shared" si="63"/>
        <v>0.1</v>
      </c>
      <c r="H365" s="676"/>
      <c r="I365" s="24">
        <f t="shared" si="64"/>
        <v>1</v>
      </c>
      <c r="J365" s="676"/>
      <c r="K365" s="24">
        <f t="shared" si="65"/>
        <v>1</v>
      </c>
      <c r="L365" s="676"/>
      <c r="M365" s="24">
        <f t="shared" si="66"/>
        <v>0</v>
      </c>
      <c r="N365" s="676"/>
      <c r="O365" s="24">
        <f t="shared" si="67"/>
        <v>0</v>
      </c>
      <c r="P365" s="676"/>
      <c r="Q365" s="24">
        <f t="shared" si="68"/>
        <v>1</v>
      </c>
      <c r="R365" s="672">
        <f t="shared" si="69"/>
        <v>0</v>
      </c>
      <c r="S365" s="322">
        <f t="shared" si="60"/>
        <v>0</v>
      </c>
    </row>
    <row r="366" spans="1:19">
      <c r="A366" s="155"/>
      <c r="B366" s="57"/>
      <c r="C366" s="24">
        <f t="shared" si="61"/>
        <v>1</v>
      </c>
      <c r="D366" s="676"/>
      <c r="E366" s="24">
        <f t="shared" si="62"/>
        <v>0</v>
      </c>
      <c r="F366" s="676"/>
      <c r="G366" s="24">
        <f t="shared" si="63"/>
        <v>0.1</v>
      </c>
      <c r="H366" s="676"/>
      <c r="I366" s="24">
        <f t="shared" si="64"/>
        <v>1</v>
      </c>
      <c r="J366" s="676"/>
      <c r="K366" s="24">
        <f t="shared" si="65"/>
        <v>1</v>
      </c>
      <c r="L366" s="676"/>
      <c r="M366" s="24">
        <f t="shared" si="66"/>
        <v>0</v>
      </c>
      <c r="N366" s="676"/>
      <c r="O366" s="24">
        <f t="shared" si="67"/>
        <v>0</v>
      </c>
      <c r="P366" s="676"/>
      <c r="Q366" s="24">
        <f t="shared" si="68"/>
        <v>1</v>
      </c>
      <c r="R366" s="672">
        <f t="shared" si="69"/>
        <v>0</v>
      </c>
      <c r="S366" s="322">
        <f t="shared" si="60"/>
        <v>0</v>
      </c>
    </row>
    <row r="367" spans="1:19">
      <c r="A367" s="155"/>
      <c r="B367" s="57"/>
      <c r="C367" s="24">
        <f t="shared" si="61"/>
        <v>1</v>
      </c>
      <c r="D367" s="676"/>
      <c r="E367" s="24">
        <f t="shared" si="62"/>
        <v>0</v>
      </c>
      <c r="F367" s="676"/>
      <c r="G367" s="24">
        <f t="shared" si="63"/>
        <v>0.1</v>
      </c>
      <c r="H367" s="676"/>
      <c r="I367" s="24">
        <f t="shared" si="64"/>
        <v>1</v>
      </c>
      <c r="J367" s="676"/>
      <c r="K367" s="24">
        <f t="shared" si="65"/>
        <v>1</v>
      </c>
      <c r="L367" s="676"/>
      <c r="M367" s="24">
        <f t="shared" si="66"/>
        <v>0</v>
      </c>
      <c r="N367" s="676"/>
      <c r="O367" s="24">
        <f t="shared" si="67"/>
        <v>0</v>
      </c>
      <c r="P367" s="676"/>
      <c r="Q367" s="24">
        <f t="shared" si="68"/>
        <v>1</v>
      </c>
      <c r="R367" s="672">
        <f t="shared" si="69"/>
        <v>0</v>
      </c>
      <c r="S367" s="322">
        <f t="shared" si="60"/>
        <v>0</v>
      </c>
    </row>
    <row r="368" spans="1:19">
      <c r="A368" s="155"/>
      <c r="B368" s="57"/>
      <c r="C368" s="24">
        <f t="shared" si="61"/>
        <v>1</v>
      </c>
      <c r="D368" s="676"/>
      <c r="E368" s="24">
        <f t="shared" si="62"/>
        <v>0</v>
      </c>
      <c r="F368" s="676"/>
      <c r="G368" s="24">
        <f t="shared" si="63"/>
        <v>0.1</v>
      </c>
      <c r="H368" s="676"/>
      <c r="I368" s="24">
        <f t="shared" si="64"/>
        <v>1</v>
      </c>
      <c r="J368" s="676"/>
      <c r="K368" s="24">
        <f t="shared" si="65"/>
        <v>1</v>
      </c>
      <c r="L368" s="676"/>
      <c r="M368" s="24">
        <f t="shared" si="66"/>
        <v>0</v>
      </c>
      <c r="N368" s="676"/>
      <c r="O368" s="24">
        <f t="shared" si="67"/>
        <v>0</v>
      </c>
      <c r="P368" s="676"/>
      <c r="Q368" s="24">
        <f t="shared" si="68"/>
        <v>1</v>
      </c>
      <c r="R368" s="672">
        <f t="shared" si="69"/>
        <v>0</v>
      </c>
      <c r="S368" s="322">
        <f t="shared" si="60"/>
        <v>0</v>
      </c>
    </row>
    <row r="369" spans="1:19">
      <c r="A369" s="155"/>
      <c r="B369" s="57"/>
      <c r="C369" s="24">
        <f t="shared" si="61"/>
        <v>1</v>
      </c>
      <c r="D369" s="676"/>
      <c r="E369" s="24">
        <f t="shared" si="62"/>
        <v>0</v>
      </c>
      <c r="F369" s="676"/>
      <c r="G369" s="24">
        <f t="shared" si="63"/>
        <v>0.1</v>
      </c>
      <c r="H369" s="676"/>
      <c r="I369" s="24">
        <f t="shared" si="64"/>
        <v>1</v>
      </c>
      <c r="J369" s="676"/>
      <c r="K369" s="24">
        <f t="shared" si="65"/>
        <v>1</v>
      </c>
      <c r="L369" s="676"/>
      <c r="M369" s="24">
        <f t="shared" si="66"/>
        <v>0</v>
      </c>
      <c r="N369" s="676"/>
      <c r="O369" s="24">
        <f t="shared" si="67"/>
        <v>0</v>
      </c>
      <c r="P369" s="676"/>
      <c r="Q369" s="24">
        <f t="shared" si="68"/>
        <v>1</v>
      </c>
      <c r="R369" s="672">
        <f t="shared" si="69"/>
        <v>0</v>
      </c>
      <c r="S369" s="322">
        <f t="shared" si="60"/>
        <v>0</v>
      </c>
    </row>
    <row r="370" spans="1:19">
      <c r="A370" s="155"/>
      <c r="B370" s="57"/>
      <c r="C370" s="24">
        <f t="shared" si="61"/>
        <v>1</v>
      </c>
      <c r="D370" s="676"/>
      <c r="E370" s="24">
        <f t="shared" si="62"/>
        <v>0</v>
      </c>
      <c r="F370" s="676"/>
      <c r="G370" s="24">
        <f t="shared" si="63"/>
        <v>0.1</v>
      </c>
      <c r="H370" s="676"/>
      <c r="I370" s="24">
        <f t="shared" si="64"/>
        <v>1</v>
      </c>
      <c r="J370" s="676"/>
      <c r="K370" s="24">
        <f t="shared" si="65"/>
        <v>1</v>
      </c>
      <c r="L370" s="676"/>
      <c r="M370" s="24">
        <f t="shared" si="66"/>
        <v>0</v>
      </c>
      <c r="N370" s="676"/>
      <c r="O370" s="24">
        <f t="shared" si="67"/>
        <v>0</v>
      </c>
      <c r="P370" s="676"/>
      <c r="Q370" s="24">
        <f t="shared" si="68"/>
        <v>1</v>
      </c>
      <c r="R370" s="672">
        <f t="shared" si="69"/>
        <v>0</v>
      </c>
      <c r="S370" s="322">
        <f t="shared" si="60"/>
        <v>0</v>
      </c>
    </row>
    <row r="371" spans="1:19">
      <c r="A371" s="155"/>
      <c r="B371" s="57"/>
      <c r="C371" s="24">
        <f t="shared" si="61"/>
        <v>1</v>
      </c>
      <c r="D371" s="676"/>
      <c r="E371" s="24">
        <f t="shared" si="62"/>
        <v>0</v>
      </c>
      <c r="F371" s="676"/>
      <c r="G371" s="24">
        <f t="shared" si="63"/>
        <v>0.1</v>
      </c>
      <c r="H371" s="676"/>
      <c r="I371" s="24">
        <f t="shared" si="64"/>
        <v>1</v>
      </c>
      <c r="J371" s="676"/>
      <c r="K371" s="24">
        <f t="shared" si="65"/>
        <v>1</v>
      </c>
      <c r="L371" s="676"/>
      <c r="M371" s="24">
        <f t="shared" si="66"/>
        <v>0</v>
      </c>
      <c r="N371" s="676"/>
      <c r="O371" s="24">
        <f t="shared" si="67"/>
        <v>0</v>
      </c>
      <c r="P371" s="676"/>
      <c r="Q371" s="24">
        <f t="shared" si="68"/>
        <v>1</v>
      </c>
      <c r="R371" s="672">
        <f t="shared" si="69"/>
        <v>0</v>
      </c>
      <c r="S371" s="322">
        <f t="shared" si="60"/>
        <v>0</v>
      </c>
    </row>
    <row r="372" spans="1:19">
      <c r="A372" s="155"/>
      <c r="B372" s="57"/>
      <c r="C372" s="24">
        <f t="shared" si="61"/>
        <v>1</v>
      </c>
      <c r="D372" s="676"/>
      <c r="E372" s="24">
        <f t="shared" si="62"/>
        <v>0</v>
      </c>
      <c r="F372" s="676"/>
      <c r="G372" s="24">
        <f t="shared" si="63"/>
        <v>0.1</v>
      </c>
      <c r="H372" s="676"/>
      <c r="I372" s="24">
        <f t="shared" si="64"/>
        <v>1</v>
      </c>
      <c r="J372" s="676"/>
      <c r="K372" s="24">
        <f t="shared" si="65"/>
        <v>1</v>
      </c>
      <c r="L372" s="676"/>
      <c r="M372" s="24">
        <f t="shared" si="66"/>
        <v>0</v>
      </c>
      <c r="N372" s="676"/>
      <c r="O372" s="24">
        <f t="shared" si="67"/>
        <v>0</v>
      </c>
      <c r="P372" s="676"/>
      <c r="Q372" s="24">
        <f t="shared" si="68"/>
        <v>1</v>
      </c>
      <c r="R372" s="672">
        <f t="shared" si="69"/>
        <v>0</v>
      </c>
      <c r="S372" s="322">
        <f t="shared" si="60"/>
        <v>0</v>
      </c>
    </row>
    <row r="373" spans="1:19">
      <c r="A373" s="155"/>
      <c r="B373" s="57"/>
      <c r="C373" s="24">
        <f t="shared" si="61"/>
        <v>1</v>
      </c>
      <c r="D373" s="676"/>
      <c r="E373" s="24">
        <f t="shared" si="62"/>
        <v>0</v>
      </c>
      <c r="F373" s="676"/>
      <c r="G373" s="24">
        <f t="shared" si="63"/>
        <v>0.1</v>
      </c>
      <c r="H373" s="676"/>
      <c r="I373" s="24">
        <f t="shared" si="64"/>
        <v>1</v>
      </c>
      <c r="J373" s="676"/>
      <c r="K373" s="24">
        <f t="shared" si="65"/>
        <v>1</v>
      </c>
      <c r="L373" s="676"/>
      <c r="M373" s="24">
        <f t="shared" si="66"/>
        <v>0</v>
      </c>
      <c r="N373" s="676"/>
      <c r="O373" s="24">
        <f t="shared" si="67"/>
        <v>0</v>
      </c>
      <c r="P373" s="676"/>
      <c r="Q373" s="24">
        <f t="shared" si="68"/>
        <v>1</v>
      </c>
      <c r="R373" s="672">
        <f t="shared" si="69"/>
        <v>0</v>
      </c>
      <c r="S373" s="322">
        <f t="shared" si="60"/>
        <v>0</v>
      </c>
    </row>
    <row r="374" spans="1:19">
      <c r="A374" s="155"/>
      <c r="B374" s="57"/>
      <c r="C374" s="24">
        <f t="shared" si="61"/>
        <v>1</v>
      </c>
      <c r="D374" s="676"/>
      <c r="E374" s="24">
        <f t="shared" si="62"/>
        <v>0</v>
      </c>
      <c r="F374" s="676"/>
      <c r="G374" s="24">
        <f t="shared" si="63"/>
        <v>0.1</v>
      </c>
      <c r="H374" s="676"/>
      <c r="I374" s="24">
        <f t="shared" si="64"/>
        <v>1</v>
      </c>
      <c r="J374" s="676"/>
      <c r="K374" s="24">
        <f t="shared" si="65"/>
        <v>1</v>
      </c>
      <c r="L374" s="676"/>
      <c r="M374" s="24">
        <f t="shared" si="66"/>
        <v>0</v>
      </c>
      <c r="N374" s="676"/>
      <c r="O374" s="24">
        <f t="shared" si="67"/>
        <v>0</v>
      </c>
      <c r="P374" s="676"/>
      <c r="Q374" s="24">
        <f t="shared" si="68"/>
        <v>1</v>
      </c>
      <c r="R374" s="672">
        <f t="shared" si="69"/>
        <v>0</v>
      </c>
      <c r="S374" s="322">
        <f t="shared" si="60"/>
        <v>0</v>
      </c>
    </row>
    <row r="375" spans="1:19">
      <c r="A375" s="155"/>
      <c r="B375" s="57"/>
      <c r="C375" s="24">
        <f t="shared" si="61"/>
        <v>1</v>
      </c>
      <c r="D375" s="676"/>
      <c r="E375" s="24">
        <f t="shared" si="62"/>
        <v>0</v>
      </c>
      <c r="F375" s="676"/>
      <c r="G375" s="24">
        <f t="shared" si="63"/>
        <v>0.1</v>
      </c>
      <c r="H375" s="676"/>
      <c r="I375" s="24">
        <f t="shared" si="64"/>
        <v>1</v>
      </c>
      <c r="J375" s="676"/>
      <c r="K375" s="24">
        <f t="shared" si="65"/>
        <v>1</v>
      </c>
      <c r="L375" s="676"/>
      <c r="M375" s="24">
        <f t="shared" si="66"/>
        <v>0</v>
      </c>
      <c r="N375" s="676"/>
      <c r="O375" s="24">
        <f t="shared" si="67"/>
        <v>0</v>
      </c>
      <c r="P375" s="676"/>
      <c r="Q375" s="24">
        <f t="shared" si="68"/>
        <v>1</v>
      </c>
      <c r="R375" s="672">
        <f t="shared" si="69"/>
        <v>0</v>
      </c>
      <c r="S375" s="322">
        <f t="shared" si="60"/>
        <v>0</v>
      </c>
    </row>
    <row r="376" spans="1:19">
      <c r="A376" s="155"/>
      <c r="B376" s="57"/>
      <c r="C376" s="24">
        <f t="shared" si="61"/>
        <v>1</v>
      </c>
      <c r="D376" s="676"/>
      <c r="E376" s="24">
        <f t="shared" si="62"/>
        <v>0</v>
      </c>
      <c r="F376" s="676"/>
      <c r="G376" s="24">
        <f t="shared" si="63"/>
        <v>0.1</v>
      </c>
      <c r="H376" s="676"/>
      <c r="I376" s="24">
        <f t="shared" si="64"/>
        <v>1</v>
      </c>
      <c r="J376" s="676"/>
      <c r="K376" s="24">
        <f t="shared" si="65"/>
        <v>1</v>
      </c>
      <c r="L376" s="676"/>
      <c r="M376" s="24">
        <f t="shared" si="66"/>
        <v>0</v>
      </c>
      <c r="N376" s="676"/>
      <c r="O376" s="24">
        <f t="shared" si="67"/>
        <v>0</v>
      </c>
      <c r="P376" s="676"/>
      <c r="Q376" s="24">
        <f t="shared" si="68"/>
        <v>1</v>
      </c>
      <c r="R376" s="672">
        <f t="shared" si="69"/>
        <v>0</v>
      </c>
      <c r="S376" s="322">
        <f t="shared" si="60"/>
        <v>0</v>
      </c>
    </row>
    <row r="377" spans="1:19">
      <c r="A377" s="155"/>
      <c r="B377" s="57"/>
      <c r="C377" s="24">
        <f t="shared" si="61"/>
        <v>1</v>
      </c>
      <c r="D377" s="676"/>
      <c r="E377" s="24">
        <f t="shared" si="62"/>
        <v>0</v>
      </c>
      <c r="F377" s="676"/>
      <c r="G377" s="24">
        <f t="shared" si="63"/>
        <v>0.1</v>
      </c>
      <c r="H377" s="676"/>
      <c r="I377" s="24">
        <f t="shared" si="64"/>
        <v>1</v>
      </c>
      <c r="J377" s="676"/>
      <c r="K377" s="24">
        <f t="shared" si="65"/>
        <v>1</v>
      </c>
      <c r="L377" s="676"/>
      <c r="M377" s="24">
        <f t="shared" si="66"/>
        <v>0</v>
      </c>
      <c r="N377" s="676"/>
      <c r="O377" s="24">
        <f t="shared" si="67"/>
        <v>0</v>
      </c>
      <c r="P377" s="676"/>
      <c r="Q377" s="24">
        <f t="shared" si="68"/>
        <v>1</v>
      </c>
      <c r="R377" s="672">
        <f t="shared" si="69"/>
        <v>0</v>
      </c>
      <c r="S377" s="322">
        <f t="shared" si="60"/>
        <v>0</v>
      </c>
    </row>
    <row r="378" spans="1:19">
      <c r="A378" s="155"/>
      <c r="B378" s="57"/>
      <c r="C378" s="24">
        <f t="shared" si="61"/>
        <v>1</v>
      </c>
      <c r="D378" s="676"/>
      <c r="E378" s="24">
        <f t="shared" si="62"/>
        <v>0</v>
      </c>
      <c r="F378" s="676"/>
      <c r="G378" s="24">
        <f t="shared" si="63"/>
        <v>0.1</v>
      </c>
      <c r="H378" s="676"/>
      <c r="I378" s="24">
        <f t="shared" si="64"/>
        <v>1</v>
      </c>
      <c r="J378" s="676"/>
      <c r="K378" s="24">
        <f t="shared" si="65"/>
        <v>1</v>
      </c>
      <c r="L378" s="676"/>
      <c r="M378" s="24">
        <f t="shared" si="66"/>
        <v>0</v>
      </c>
      <c r="N378" s="676"/>
      <c r="O378" s="24">
        <f t="shared" si="67"/>
        <v>0</v>
      </c>
      <c r="P378" s="676"/>
      <c r="Q378" s="24">
        <f t="shared" si="68"/>
        <v>1</v>
      </c>
      <c r="R378" s="672">
        <f t="shared" si="69"/>
        <v>0</v>
      </c>
      <c r="S378" s="322">
        <f t="shared" si="60"/>
        <v>0</v>
      </c>
    </row>
    <row r="379" spans="1:19">
      <c r="A379" s="155"/>
      <c r="B379" s="57"/>
      <c r="C379" s="24">
        <f t="shared" si="61"/>
        <v>1</v>
      </c>
      <c r="D379" s="676"/>
      <c r="E379" s="24">
        <f t="shared" si="62"/>
        <v>0</v>
      </c>
      <c r="F379" s="676"/>
      <c r="G379" s="24">
        <f t="shared" si="63"/>
        <v>0.1</v>
      </c>
      <c r="H379" s="676"/>
      <c r="I379" s="24">
        <f t="shared" si="64"/>
        <v>1</v>
      </c>
      <c r="J379" s="676"/>
      <c r="K379" s="24">
        <f t="shared" si="65"/>
        <v>1</v>
      </c>
      <c r="L379" s="676"/>
      <c r="M379" s="24">
        <f t="shared" si="66"/>
        <v>0</v>
      </c>
      <c r="N379" s="676"/>
      <c r="O379" s="24">
        <f t="shared" si="67"/>
        <v>0</v>
      </c>
      <c r="P379" s="676"/>
      <c r="Q379" s="24">
        <f t="shared" si="68"/>
        <v>1</v>
      </c>
      <c r="R379" s="672">
        <f t="shared" si="69"/>
        <v>0</v>
      </c>
      <c r="S379" s="322">
        <f t="shared" si="60"/>
        <v>0</v>
      </c>
    </row>
    <row r="380" spans="1:19">
      <c r="A380" s="155"/>
      <c r="B380" s="57"/>
      <c r="C380" s="24">
        <f t="shared" si="61"/>
        <v>1</v>
      </c>
      <c r="D380" s="676"/>
      <c r="E380" s="24">
        <f t="shared" si="62"/>
        <v>0</v>
      </c>
      <c r="F380" s="676"/>
      <c r="G380" s="24">
        <f t="shared" si="63"/>
        <v>0.1</v>
      </c>
      <c r="H380" s="676"/>
      <c r="I380" s="24">
        <f t="shared" si="64"/>
        <v>1</v>
      </c>
      <c r="J380" s="676"/>
      <c r="K380" s="24">
        <f t="shared" si="65"/>
        <v>1</v>
      </c>
      <c r="L380" s="676"/>
      <c r="M380" s="24">
        <f t="shared" si="66"/>
        <v>0</v>
      </c>
      <c r="N380" s="676"/>
      <c r="O380" s="24">
        <f t="shared" si="67"/>
        <v>0</v>
      </c>
      <c r="P380" s="676"/>
      <c r="Q380" s="24">
        <f t="shared" si="68"/>
        <v>1</v>
      </c>
      <c r="R380" s="672">
        <f t="shared" si="69"/>
        <v>0</v>
      </c>
      <c r="S380" s="322">
        <f t="shared" si="60"/>
        <v>0</v>
      </c>
    </row>
    <row r="381" spans="1:19">
      <c r="A381" s="155"/>
      <c r="B381" s="57"/>
      <c r="C381" s="24">
        <f t="shared" si="61"/>
        <v>1</v>
      </c>
      <c r="D381" s="676"/>
      <c r="E381" s="24">
        <f t="shared" si="62"/>
        <v>0</v>
      </c>
      <c r="F381" s="676"/>
      <c r="G381" s="24">
        <f t="shared" si="63"/>
        <v>0.1</v>
      </c>
      <c r="H381" s="676"/>
      <c r="I381" s="24">
        <f t="shared" si="64"/>
        <v>1</v>
      </c>
      <c r="J381" s="676"/>
      <c r="K381" s="24">
        <f t="shared" si="65"/>
        <v>1</v>
      </c>
      <c r="L381" s="676"/>
      <c r="M381" s="24">
        <f t="shared" si="66"/>
        <v>0</v>
      </c>
      <c r="N381" s="676"/>
      <c r="O381" s="24">
        <f t="shared" si="67"/>
        <v>0</v>
      </c>
      <c r="P381" s="676"/>
      <c r="Q381" s="24">
        <f t="shared" si="68"/>
        <v>1</v>
      </c>
      <c r="R381" s="672">
        <f t="shared" si="69"/>
        <v>0</v>
      </c>
      <c r="S381" s="322">
        <f t="shared" si="60"/>
        <v>0</v>
      </c>
    </row>
    <row r="382" spans="1:19">
      <c r="A382" s="155"/>
      <c r="B382" s="57"/>
      <c r="C382" s="24">
        <f t="shared" si="61"/>
        <v>1</v>
      </c>
      <c r="D382" s="676"/>
      <c r="E382" s="24">
        <f t="shared" si="62"/>
        <v>0</v>
      </c>
      <c r="F382" s="676"/>
      <c r="G382" s="24">
        <f t="shared" si="63"/>
        <v>0.1</v>
      </c>
      <c r="H382" s="676"/>
      <c r="I382" s="24">
        <f t="shared" si="64"/>
        <v>1</v>
      </c>
      <c r="J382" s="676"/>
      <c r="K382" s="24">
        <f t="shared" si="65"/>
        <v>1</v>
      </c>
      <c r="L382" s="676"/>
      <c r="M382" s="24">
        <f t="shared" si="66"/>
        <v>0</v>
      </c>
      <c r="N382" s="676"/>
      <c r="O382" s="24">
        <f t="shared" si="67"/>
        <v>0</v>
      </c>
      <c r="P382" s="676"/>
      <c r="Q382" s="24">
        <f t="shared" si="68"/>
        <v>1</v>
      </c>
      <c r="R382" s="672">
        <f t="shared" si="69"/>
        <v>0</v>
      </c>
      <c r="S382" s="322">
        <f t="shared" si="60"/>
        <v>0</v>
      </c>
    </row>
    <row r="383" spans="1:19">
      <c r="A383" s="155"/>
      <c r="B383" s="57"/>
      <c r="C383" s="24">
        <f t="shared" si="61"/>
        <v>1</v>
      </c>
      <c r="D383" s="676"/>
      <c r="E383" s="24">
        <f t="shared" si="62"/>
        <v>0</v>
      </c>
      <c r="F383" s="676"/>
      <c r="G383" s="24">
        <f t="shared" si="63"/>
        <v>0.1</v>
      </c>
      <c r="H383" s="676"/>
      <c r="I383" s="24">
        <f t="shared" si="64"/>
        <v>1</v>
      </c>
      <c r="J383" s="676"/>
      <c r="K383" s="24">
        <f t="shared" si="65"/>
        <v>1</v>
      </c>
      <c r="L383" s="676"/>
      <c r="M383" s="24">
        <f t="shared" si="66"/>
        <v>0</v>
      </c>
      <c r="N383" s="676"/>
      <c r="O383" s="24">
        <f t="shared" si="67"/>
        <v>0</v>
      </c>
      <c r="P383" s="676"/>
      <c r="Q383" s="24">
        <f t="shared" si="68"/>
        <v>1</v>
      </c>
      <c r="R383" s="672">
        <f t="shared" si="69"/>
        <v>0</v>
      </c>
      <c r="S383" s="322">
        <f t="shared" si="60"/>
        <v>0</v>
      </c>
    </row>
    <row r="384" spans="1:19">
      <c r="A384" s="155"/>
      <c r="B384" s="57"/>
      <c r="C384" s="24">
        <f t="shared" si="61"/>
        <v>1</v>
      </c>
      <c r="D384" s="676"/>
      <c r="E384" s="24">
        <f t="shared" si="62"/>
        <v>0</v>
      </c>
      <c r="F384" s="676"/>
      <c r="G384" s="24">
        <f t="shared" si="63"/>
        <v>0.1</v>
      </c>
      <c r="H384" s="676"/>
      <c r="I384" s="24">
        <f t="shared" si="64"/>
        <v>1</v>
      </c>
      <c r="J384" s="676"/>
      <c r="K384" s="24">
        <f t="shared" si="65"/>
        <v>1</v>
      </c>
      <c r="L384" s="676"/>
      <c r="M384" s="24">
        <f t="shared" si="66"/>
        <v>0</v>
      </c>
      <c r="N384" s="676"/>
      <c r="O384" s="24">
        <f t="shared" si="67"/>
        <v>0</v>
      </c>
      <c r="P384" s="676"/>
      <c r="Q384" s="24">
        <f t="shared" si="68"/>
        <v>1</v>
      </c>
      <c r="R384" s="672">
        <f t="shared" si="69"/>
        <v>0</v>
      </c>
      <c r="S384" s="322">
        <f t="shared" si="60"/>
        <v>0</v>
      </c>
    </row>
    <row r="385" spans="1:19">
      <c r="A385" s="155"/>
      <c r="B385" s="57"/>
      <c r="C385" s="24">
        <f t="shared" si="61"/>
        <v>1</v>
      </c>
      <c r="D385" s="676"/>
      <c r="E385" s="24">
        <f t="shared" si="62"/>
        <v>0</v>
      </c>
      <c r="F385" s="676"/>
      <c r="G385" s="24">
        <f t="shared" si="63"/>
        <v>0.1</v>
      </c>
      <c r="H385" s="676"/>
      <c r="I385" s="24">
        <f t="shared" si="64"/>
        <v>1</v>
      </c>
      <c r="J385" s="676"/>
      <c r="K385" s="24">
        <f t="shared" si="65"/>
        <v>1</v>
      </c>
      <c r="L385" s="676"/>
      <c r="M385" s="24">
        <f t="shared" si="66"/>
        <v>0</v>
      </c>
      <c r="N385" s="676"/>
      <c r="O385" s="24">
        <f t="shared" si="67"/>
        <v>0</v>
      </c>
      <c r="P385" s="676"/>
      <c r="Q385" s="24">
        <f t="shared" si="68"/>
        <v>1</v>
      </c>
      <c r="R385" s="672">
        <f t="shared" si="69"/>
        <v>0</v>
      </c>
      <c r="S385" s="322">
        <f t="shared" ref="S385:S422" si="70">ROUND(R385*B385/10000,0)</f>
        <v>0</v>
      </c>
    </row>
    <row r="386" spans="1:19">
      <c r="A386" s="155"/>
      <c r="B386" s="57"/>
      <c r="C386" s="24">
        <f t="shared" si="61"/>
        <v>1</v>
      </c>
      <c r="D386" s="676"/>
      <c r="E386" s="24">
        <f t="shared" si="62"/>
        <v>0</v>
      </c>
      <c r="F386" s="676"/>
      <c r="G386" s="24">
        <f t="shared" si="63"/>
        <v>0.1</v>
      </c>
      <c r="H386" s="676"/>
      <c r="I386" s="24">
        <f t="shared" si="64"/>
        <v>1</v>
      </c>
      <c r="J386" s="676"/>
      <c r="K386" s="24">
        <f t="shared" si="65"/>
        <v>1</v>
      </c>
      <c r="L386" s="676"/>
      <c r="M386" s="24">
        <f t="shared" si="66"/>
        <v>0</v>
      </c>
      <c r="N386" s="676"/>
      <c r="O386" s="24">
        <f t="shared" si="67"/>
        <v>0</v>
      </c>
      <c r="P386" s="676"/>
      <c r="Q386" s="24">
        <f t="shared" si="68"/>
        <v>1</v>
      </c>
      <c r="R386" s="672">
        <f t="shared" si="69"/>
        <v>0</v>
      </c>
      <c r="S386" s="322">
        <f t="shared" si="70"/>
        <v>0</v>
      </c>
    </row>
    <row r="387" spans="1:19">
      <c r="A387" s="155"/>
      <c r="B387" s="57"/>
      <c r="C387" s="24">
        <f t="shared" si="61"/>
        <v>1</v>
      </c>
      <c r="D387" s="676"/>
      <c r="E387" s="24">
        <f t="shared" si="62"/>
        <v>0</v>
      </c>
      <c r="F387" s="676"/>
      <c r="G387" s="24">
        <f t="shared" si="63"/>
        <v>0.1</v>
      </c>
      <c r="H387" s="676"/>
      <c r="I387" s="24">
        <f t="shared" si="64"/>
        <v>1</v>
      </c>
      <c r="J387" s="676"/>
      <c r="K387" s="24">
        <f t="shared" si="65"/>
        <v>1</v>
      </c>
      <c r="L387" s="676"/>
      <c r="M387" s="24">
        <f t="shared" si="66"/>
        <v>0</v>
      </c>
      <c r="N387" s="676"/>
      <c r="O387" s="24">
        <f t="shared" si="67"/>
        <v>0</v>
      </c>
      <c r="P387" s="676"/>
      <c r="Q387" s="24">
        <f t="shared" si="68"/>
        <v>1</v>
      </c>
      <c r="R387" s="672">
        <f t="shared" si="69"/>
        <v>0</v>
      </c>
      <c r="S387" s="322">
        <f t="shared" si="70"/>
        <v>0</v>
      </c>
    </row>
    <row r="388" spans="1:19">
      <c r="A388" s="155"/>
      <c r="B388" s="57"/>
      <c r="C388" s="24">
        <f t="shared" si="61"/>
        <v>1</v>
      </c>
      <c r="D388" s="676"/>
      <c r="E388" s="24">
        <f t="shared" si="62"/>
        <v>0</v>
      </c>
      <c r="F388" s="676"/>
      <c r="G388" s="24">
        <f t="shared" si="63"/>
        <v>0.1</v>
      </c>
      <c r="H388" s="676"/>
      <c r="I388" s="24">
        <f t="shared" si="64"/>
        <v>1</v>
      </c>
      <c r="J388" s="676"/>
      <c r="K388" s="24">
        <f t="shared" si="65"/>
        <v>1</v>
      </c>
      <c r="L388" s="676"/>
      <c r="M388" s="24">
        <f t="shared" si="66"/>
        <v>0</v>
      </c>
      <c r="N388" s="676"/>
      <c r="O388" s="24">
        <f t="shared" si="67"/>
        <v>0</v>
      </c>
      <c r="P388" s="676"/>
      <c r="Q388" s="24">
        <f t="shared" si="68"/>
        <v>1</v>
      </c>
      <c r="R388" s="672">
        <f t="shared" si="69"/>
        <v>0</v>
      </c>
      <c r="S388" s="322">
        <f t="shared" si="70"/>
        <v>0</v>
      </c>
    </row>
    <row r="389" spans="1:19">
      <c r="A389" s="155"/>
      <c r="B389" s="57"/>
      <c r="C389" s="24">
        <f t="shared" si="61"/>
        <v>1</v>
      </c>
      <c r="D389" s="676"/>
      <c r="E389" s="24">
        <f t="shared" si="62"/>
        <v>0</v>
      </c>
      <c r="F389" s="676"/>
      <c r="G389" s="24">
        <f t="shared" si="63"/>
        <v>0.1</v>
      </c>
      <c r="H389" s="676"/>
      <c r="I389" s="24">
        <f t="shared" si="64"/>
        <v>1</v>
      </c>
      <c r="J389" s="676"/>
      <c r="K389" s="24">
        <f t="shared" si="65"/>
        <v>1</v>
      </c>
      <c r="L389" s="676"/>
      <c r="M389" s="24">
        <f t="shared" si="66"/>
        <v>0</v>
      </c>
      <c r="N389" s="676"/>
      <c r="O389" s="24">
        <f t="shared" si="67"/>
        <v>0</v>
      </c>
      <c r="P389" s="676"/>
      <c r="Q389" s="24">
        <f t="shared" si="68"/>
        <v>1</v>
      </c>
      <c r="R389" s="672">
        <f t="shared" si="69"/>
        <v>0</v>
      </c>
      <c r="S389" s="322">
        <f t="shared" si="70"/>
        <v>0</v>
      </c>
    </row>
    <row r="390" spans="1:19">
      <c r="A390" s="155"/>
      <c r="B390" s="57"/>
      <c r="C390" s="24">
        <f t="shared" si="61"/>
        <v>1</v>
      </c>
      <c r="D390" s="676"/>
      <c r="E390" s="24">
        <f t="shared" si="62"/>
        <v>0</v>
      </c>
      <c r="F390" s="676"/>
      <c r="G390" s="24">
        <f t="shared" si="63"/>
        <v>0.1</v>
      </c>
      <c r="H390" s="676"/>
      <c r="I390" s="24">
        <f t="shared" si="64"/>
        <v>1</v>
      </c>
      <c r="J390" s="676"/>
      <c r="K390" s="24">
        <f t="shared" si="65"/>
        <v>1</v>
      </c>
      <c r="L390" s="676"/>
      <c r="M390" s="24">
        <f t="shared" si="66"/>
        <v>0</v>
      </c>
      <c r="N390" s="676"/>
      <c r="O390" s="24">
        <f t="shared" si="67"/>
        <v>0</v>
      </c>
      <c r="P390" s="676"/>
      <c r="Q390" s="24">
        <f t="shared" si="68"/>
        <v>1</v>
      </c>
      <c r="R390" s="672">
        <f t="shared" si="69"/>
        <v>0</v>
      </c>
      <c r="S390" s="322">
        <f t="shared" si="70"/>
        <v>0</v>
      </c>
    </row>
    <row r="391" spans="1:19">
      <c r="A391" s="155"/>
      <c r="B391" s="57"/>
      <c r="C391" s="24">
        <f t="shared" si="61"/>
        <v>1</v>
      </c>
      <c r="D391" s="676"/>
      <c r="E391" s="24">
        <f t="shared" si="62"/>
        <v>0</v>
      </c>
      <c r="F391" s="676"/>
      <c r="G391" s="24">
        <f t="shared" si="63"/>
        <v>0.1</v>
      </c>
      <c r="H391" s="676"/>
      <c r="I391" s="24">
        <f t="shared" si="64"/>
        <v>1</v>
      </c>
      <c r="J391" s="676"/>
      <c r="K391" s="24">
        <f t="shared" si="65"/>
        <v>1</v>
      </c>
      <c r="L391" s="676"/>
      <c r="M391" s="24">
        <f t="shared" si="66"/>
        <v>0</v>
      </c>
      <c r="N391" s="676"/>
      <c r="O391" s="24">
        <f t="shared" si="67"/>
        <v>0</v>
      </c>
      <c r="P391" s="676"/>
      <c r="Q391" s="24">
        <f t="shared" si="68"/>
        <v>1</v>
      </c>
      <c r="R391" s="672">
        <f t="shared" si="69"/>
        <v>0</v>
      </c>
      <c r="S391" s="322">
        <f t="shared" si="70"/>
        <v>0</v>
      </c>
    </row>
    <row r="392" spans="1:19">
      <c r="A392" s="155"/>
      <c r="B392" s="57"/>
      <c r="C392" s="24">
        <f t="shared" si="61"/>
        <v>1</v>
      </c>
      <c r="D392" s="676"/>
      <c r="E392" s="24">
        <f t="shared" si="62"/>
        <v>0</v>
      </c>
      <c r="F392" s="676"/>
      <c r="G392" s="24">
        <f t="shared" si="63"/>
        <v>0.1</v>
      </c>
      <c r="H392" s="676"/>
      <c r="I392" s="24">
        <f t="shared" si="64"/>
        <v>1</v>
      </c>
      <c r="J392" s="676"/>
      <c r="K392" s="24">
        <f t="shared" si="65"/>
        <v>1</v>
      </c>
      <c r="L392" s="676"/>
      <c r="M392" s="24">
        <f t="shared" si="66"/>
        <v>0</v>
      </c>
      <c r="N392" s="676"/>
      <c r="O392" s="24">
        <f t="shared" si="67"/>
        <v>0</v>
      </c>
      <c r="P392" s="676"/>
      <c r="Q392" s="24">
        <f t="shared" si="68"/>
        <v>1</v>
      </c>
      <c r="R392" s="672">
        <f t="shared" si="69"/>
        <v>0</v>
      </c>
      <c r="S392" s="322">
        <f t="shared" si="70"/>
        <v>0</v>
      </c>
    </row>
    <row r="393" spans="1:19">
      <c r="A393" s="155"/>
      <c r="B393" s="57"/>
      <c r="C393" s="24">
        <f t="shared" si="61"/>
        <v>1</v>
      </c>
      <c r="D393" s="676"/>
      <c r="E393" s="24">
        <f t="shared" si="62"/>
        <v>0</v>
      </c>
      <c r="F393" s="676"/>
      <c r="G393" s="24">
        <f t="shared" si="63"/>
        <v>0.1</v>
      </c>
      <c r="H393" s="676"/>
      <c r="I393" s="24">
        <f t="shared" si="64"/>
        <v>1</v>
      </c>
      <c r="J393" s="676"/>
      <c r="K393" s="24">
        <f t="shared" si="65"/>
        <v>1</v>
      </c>
      <c r="L393" s="676"/>
      <c r="M393" s="24">
        <f t="shared" si="66"/>
        <v>0</v>
      </c>
      <c r="N393" s="676"/>
      <c r="O393" s="24">
        <f t="shared" si="67"/>
        <v>0</v>
      </c>
      <c r="P393" s="676"/>
      <c r="Q393" s="24">
        <f t="shared" si="68"/>
        <v>1</v>
      </c>
      <c r="R393" s="672">
        <f t="shared" si="69"/>
        <v>0</v>
      </c>
      <c r="S393" s="322">
        <f t="shared" si="70"/>
        <v>0</v>
      </c>
    </row>
    <row r="394" spans="1:19">
      <c r="A394" s="155"/>
      <c r="B394" s="57"/>
      <c r="C394" s="24">
        <f t="shared" si="61"/>
        <v>1</v>
      </c>
      <c r="D394" s="676"/>
      <c r="E394" s="24">
        <f t="shared" si="62"/>
        <v>0</v>
      </c>
      <c r="F394" s="676"/>
      <c r="G394" s="24">
        <f t="shared" si="63"/>
        <v>0.1</v>
      </c>
      <c r="H394" s="676"/>
      <c r="I394" s="24">
        <f t="shared" si="64"/>
        <v>1</v>
      </c>
      <c r="J394" s="676"/>
      <c r="K394" s="24">
        <f t="shared" si="65"/>
        <v>1</v>
      </c>
      <c r="L394" s="676"/>
      <c r="M394" s="24">
        <f t="shared" si="66"/>
        <v>0</v>
      </c>
      <c r="N394" s="676"/>
      <c r="O394" s="24">
        <f t="shared" si="67"/>
        <v>0</v>
      </c>
      <c r="P394" s="676"/>
      <c r="Q394" s="24">
        <f t="shared" si="68"/>
        <v>1</v>
      </c>
      <c r="R394" s="672">
        <f t="shared" si="69"/>
        <v>0</v>
      </c>
      <c r="S394" s="322">
        <f t="shared" si="70"/>
        <v>0</v>
      </c>
    </row>
    <row r="395" spans="1:19">
      <c r="A395" s="155"/>
      <c r="B395" s="57"/>
      <c r="C395" s="24">
        <f t="shared" si="61"/>
        <v>1</v>
      </c>
      <c r="D395" s="676"/>
      <c r="E395" s="24">
        <f t="shared" si="62"/>
        <v>0</v>
      </c>
      <c r="F395" s="676"/>
      <c r="G395" s="24">
        <f t="shared" si="63"/>
        <v>0.1</v>
      </c>
      <c r="H395" s="676"/>
      <c r="I395" s="24">
        <f t="shared" si="64"/>
        <v>1</v>
      </c>
      <c r="J395" s="676"/>
      <c r="K395" s="24">
        <f t="shared" si="65"/>
        <v>1</v>
      </c>
      <c r="L395" s="676"/>
      <c r="M395" s="24">
        <f t="shared" si="66"/>
        <v>0</v>
      </c>
      <c r="N395" s="676"/>
      <c r="O395" s="24">
        <f t="shared" si="67"/>
        <v>0</v>
      </c>
      <c r="P395" s="676"/>
      <c r="Q395" s="24">
        <f t="shared" si="68"/>
        <v>1</v>
      </c>
      <c r="R395" s="672">
        <f t="shared" si="69"/>
        <v>0</v>
      </c>
      <c r="S395" s="322">
        <f t="shared" si="70"/>
        <v>0</v>
      </c>
    </row>
    <row r="396" spans="1:19">
      <c r="A396" s="155"/>
      <c r="B396" s="57"/>
      <c r="C396" s="24">
        <f t="shared" si="61"/>
        <v>1</v>
      </c>
      <c r="D396" s="676"/>
      <c r="E396" s="24">
        <f t="shared" si="62"/>
        <v>0</v>
      </c>
      <c r="F396" s="676"/>
      <c r="G396" s="24">
        <f t="shared" si="63"/>
        <v>0.1</v>
      </c>
      <c r="H396" s="676"/>
      <c r="I396" s="24">
        <f t="shared" si="64"/>
        <v>1</v>
      </c>
      <c r="J396" s="676"/>
      <c r="K396" s="24">
        <f t="shared" si="65"/>
        <v>1</v>
      </c>
      <c r="L396" s="676"/>
      <c r="M396" s="24">
        <f t="shared" si="66"/>
        <v>0</v>
      </c>
      <c r="N396" s="676"/>
      <c r="O396" s="24">
        <f t="shared" si="67"/>
        <v>0</v>
      </c>
      <c r="P396" s="676"/>
      <c r="Q396" s="24">
        <f t="shared" si="68"/>
        <v>1</v>
      </c>
      <c r="R396" s="672">
        <f t="shared" si="69"/>
        <v>0</v>
      </c>
      <c r="S396" s="322">
        <f t="shared" si="70"/>
        <v>0</v>
      </c>
    </row>
    <row r="397" spans="1:19">
      <c r="A397" s="155"/>
      <c r="B397" s="57"/>
      <c r="C397" s="24">
        <f t="shared" si="61"/>
        <v>1</v>
      </c>
      <c r="D397" s="676"/>
      <c r="E397" s="24">
        <f t="shared" si="62"/>
        <v>0</v>
      </c>
      <c r="F397" s="676"/>
      <c r="G397" s="24">
        <f t="shared" si="63"/>
        <v>0.1</v>
      </c>
      <c r="H397" s="676"/>
      <c r="I397" s="24">
        <f t="shared" si="64"/>
        <v>1</v>
      </c>
      <c r="J397" s="676"/>
      <c r="K397" s="24">
        <f t="shared" si="65"/>
        <v>1</v>
      </c>
      <c r="L397" s="676"/>
      <c r="M397" s="24">
        <f t="shared" si="66"/>
        <v>0</v>
      </c>
      <c r="N397" s="676"/>
      <c r="O397" s="24">
        <f t="shared" si="67"/>
        <v>0</v>
      </c>
      <c r="P397" s="676"/>
      <c r="Q397" s="24">
        <f t="shared" si="68"/>
        <v>1</v>
      </c>
      <c r="R397" s="672">
        <f t="shared" si="69"/>
        <v>0</v>
      </c>
      <c r="S397" s="322">
        <f t="shared" si="70"/>
        <v>0</v>
      </c>
    </row>
    <row r="398" spans="1:19">
      <c r="A398" s="155"/>
      <c r="B398" s="57"/>
      <c r="C398" s="24">
        <f t="shared" si="61"/>
        <v>1</v>
      </c>
      <c r="D398" s="676"/>
      <c r="E398" s="24">
        <f t="shared" si="62"/>
        <v>0</v>
      </c>
      <c r="F398" s="676"/>
      <c r="G398" s="24">
        <f t="shared" si="63"/>
        <v>0.1</v>
      </c>
      <c r="H398" s="676"/>
      <c r="I398" s="24">
        <f t="shared" si="64"/>
        <v>1</v>
      </c>
      <c r="J398" s="676"/>
      <c r="K398" s="24">
        <f t="shared" si="65"/>
        <v>1</v>
      </c>
      <c r="L398" s="676"/>
      <c r="M398" s="24">
        <f t="shared" si="66"/>
        <v>0</v>
      </c>
      <c r="N398" s="676"/>
      <c r="O398" s="24">
        <f t="shared" si="67"/>
        <v>0</v>
      </c>
      <c r="P398" s="676"/>
      <c r="Q398" s="24">
        <f t="shared" si="68"/>
        <v>1</v>
      </c>
      <c r="R398" s="672">
        <f t="shared" si="69"/>
        <v>0</v>
      </c>
      <c r="S398" s="322">
        <f t="shared" si="70"/>
        <v>0</v>
      </c>
    </row>
    <row r="399" spans="1:19">
      <c r="A399" s="155"/>
      <c r="B399" s="57"/>
      <c r="C399" s="24">
        <f t="shared" si="61"/>
        <v>1</v>
      </c>
      <c r="D399" s="676"/>
      <c r="E399" s="24">
        <f t="shared" si="62"/>
        <v>0</v>
      </c>
      <c r="F399" s="676"/>
      <c r="G399" s="24">
        <f t="shared" si="63"/>
        <v>0.1</v>
      </c>
      <c r="H399" s="676"/>
      <c r="I399" s="24">
        <f t="shared" si="64"/>
        <v>1</v>
      </c>
      <c r="J399" s="676"/>
      <c r="K399" s="24">
        <f t="shared" si="65"/>
        <v>1</v>
      </c>
      <c r="L399" s="676"/>
      <c r="M399" s="24">
        <f t="shared" si="66"/>
        <v>0</v>
      </c>
      <c r="N399" s="676"/>
      <c r="O399" s="24">
        <f t="shared" si="67"/>
        <v>0</v>
      </c>
      <c r="P399" s="676"/>
      <c r="Q399" s="24">
        <f t="shared" si="68"/>
        <v>1</v>
      </c>
      <c r="R399" s="672">
        <f t="shared" si="69"/>
        <v>0</v>
      </c>
      <c r="S399" s="322">
        <f t="shared" si="70"/>
        <v>0</v>
      </c>
    </row>
    <row r="400" spans="1:19">
      <c r="A400" s="155"/>
      <c r="B400" s="57"/>
      <c r="C400" s="24">
        <f t="shared" si="61"/>
        <v>1</v>
      </c>
      <c r="D400" s="676"/>
      <c r="E400" s="24">
        <f t="shared" si="62"/>
        <v>0</v>
      </c>
      <c r="F400" s="676"/>
      <c r="G400" s="24">
        <f t="shared" si="63"/>
        <v>0.1</v>
      </c>
      <c r="H400" s="676"/>
      <c r="I400" s="24">
        <f t="shared" si="64"/>
        <v>1</v>
      </c>
      <c r="J400" s="676"/>
      <c r="K400" s="24">
        <f t="shared" si="65"/>
        <v>1</v>
      </c>
      <c r="L400" s="676"/>
      <c r="M400" s="24">
        <f t="shared" si="66"/>
        <v>0</v>
      </c>
      <c r="N400" s="676"/>
      <c r="O400" s="24">
        <f t="shared" si="67"/>
        <v>0</v>
      </c>
      <c r="P400" s="676"/>
      <c r="Q400" s="24">
        <f t="shared" si="68"/>
        <v>1</v>
      </c>
      <c r="R400" s="672">
        <f t="shared" si="69"/>
        <v>0</v>
      </c>
      <c r="S400" s="322">
        <f t="shared" si="70"/>
        <v>0</v>
      </c>
    </row>
    <row r="401" spans="1:19">
      <c r="A401" s="155"/>
      <c r="B401" s="57"/>
      <c r="C401" s="24">
        <f t="shared" si="61"/>
        <v>1</v>
      </c>
      <c r="D401" s="676"/>
      <c r="E401" s="24">
        <f t="shared" si="62"/>
        <v>0</v>
      </c>
      <c r="F401" s="676"/>
      <c r="G401" s="24">
        <f t="shared" si="63"/>
        <v>0.1</v>
      </c>
      <c r="H401" s="676"/>
      <c r="I401" s="24">
        <f t="shared" si="64"/>
        <v>1</v>
      </c>
      <c r="J401" s="676"/>
      <c r="K401" s="24">
        <f t="shared" si="65"/>
        <v>1</v>
      </c>
      <c r="L401" s="676"/>
      <c r="M401" s="24">
        <f t="shared" si="66"/>
        <v>0</v>
      </c>
      <c r="N401" s="676"/>
      <c r="O401" s="24">
        <f t="shared" si="67"/>
        <v>0</v>
      </c>
      <c r="P401" s="676"/>
      <c r="Q401" s="24">
        <f t="shared" si="68"/>
        <v>1</v>
      </c>
      <c r="R401" s="672">
        <f t="shared" si="69"/>
        <v>0</v>
      </c>
      <c r="S401" s="322">
        <f t="shared" si="70"/>
        <v>0</v>
      </c>
    </row>
    <row r="402" spans="1:19">
      <c r="A402" s="155"/>
      <c r="B402" s="57"/>
      <c r="C402" s="24">
        <f t="shared" si="61"/>
        <v>1</v>
      </c>
      <c r="D402" s="676"/>
      <c r="E402" s="24">
        <f t="shared" si="62"/>
        <v>0</v>
      </c>
      <c r="F402" s="676"/>
      <c r="G402" s="24">
        <f t="shared" si="63"/>
        <v>0.1</v>
      </c>
      <c r="H402" s="676"/>
      <c r="I402" s="24">
        <f t="shared" si="64"/>
        <v>1</v>
      </c>
      <c r="J402" s="676"/>
      <c r="K402" s="24">
        <f t="shared" si="65"/>
        <v>1</v>
      </c>
      <c r="L402" s="676"/>
      <c r="M402" s="24">
        <f t="shared" si="66"/>
        <v>0</v>
      </c>
      <c r="N402" s="676"/>
      <c r="O402" s="24">
        <f t="shared" si="67"/>
        <v>0</v>
      </c>
      <c r="P402" s="676"/>
      <c r="Q402" s="24">
        <f t="shared" si="68"/>
        <v>1</v>
      </c>
      <c r="R402" s="672">
        <f t="shared" si="69"/>
        <v>0</v>
      </c>
      <c r="S402" s="322">
        <f t="shared" si="70"/>
        <v>0</v>
      </c>
    </row>
    <row r="403" spans="1:19">
      <c r="A403" s="155"/>
      <c r="B403" s="57"/>
      <c r="C403" s="24">
        <f t="shared" si="61"/>
        <v>1</v>
      </c>
      <c r="D403" s="676"/>
      <c r="E403" s="24">
        <f t="shared" si="62"/>
        <v>0</v>
      </c>
      <c r="F403" s="676"/>
      <c r="G403" s="24">
        <f t="shared" si="63"/>
        <v>0.1</v>
      </c>
      <c r="H403" s="676"/>
      <c r="I403" s="24">
        <f t="shared" si="64"/>
        <v>1</v>
      </c>
      <c r="J403" s="676"/>
      <c r="K403" s="24">
        <f t="shared" si="65"/>
        <v>1</v>
      </c>
      <c r="L403" s="676"/>
      <c r="M403" s="24">
        <f t="shared" si="66"/>
        <v>0</v>
      </c>
      <c r="N403" s="676"/>
      <c r="O403" s="24">
        <f t="shared" si="67"/>
        <v>0</v>
      </c>
      <c r="P403" s="676"/>
      <c r="Q403" s="24">
        <f t="shared" si="68"/>
        <v>1</v>
      </c>
      <c r="R403" s="672">
        <f t="shared" si="69"/>
        <v>0</v>
      </c>
      <c r="S403" s="322">
        <f t="shared" si="70"/>
        <v>0</v>
      </c>
    </row>
    <row r="404" spans="1:19">
      <c r="A404" s="155"/>
      <c r="B404" s="57"/>
      <c r="C404" s="24">
        <f t="shared" si="61"/>
        <v>1</v>
      </c>
      <c r="D404" s="676"/>
      <c r="E404" s="24">
        <f t="shared" si="62"/>
        <v>0</v>
      </c>
      <c r="F404" s="676"/>
      <c r="G404" s="24">
        <f t="shared" si="63"/>
        <v>0.1</v>
      </c>
      <c r="H404" s="676"/>
      <c r="I404" s="24">
        <f t="shared" si="64"/>
        <v>1</v>
      </c>
      <c r="J404" s="676"/>
      <c r="K404" s="24">
        <f t="shared" si="65"/>
        <v>1</v>
      </c>
      <c r="L404" s="676"/>
      <c r="M404" s="24">
        <f t="shared" si="66"/>
        <v>0</v>
      </c>
      <c r="N404" s="676"/>
      <c r="O404" s="24">
        <f t="shared" si="67"/>
        <v>0</v>
      </c>
      <c r="P404" s="676"/>
      <c r="Q404" s="24">
        <f t="shared" si="68"/>
        <v>1</v>
      </c>
      <c r="R404" s="672">
        <f t="shared" si="69"/>
        <v>0</v>
      </c>
      <c r="S404" s="322">
        <f t="shared" si="70"/>
        <v>0</v>
      </c>
    </row>
    <row r="405" spans="1:19">
      <c r="A405" s="155"/>
      <c r="B405" s="57"/>
      <c r="C405" s="24">
        <f t="shared" si="61"/>
        <v>1</v>
      </c>
      <c r="D405" s="676"/>
      <c r="E405" s="24">
        <f t="shared" si="62"/>
        <v>0</v>
      </c>
      <c r="F405" s="676"/>
      <c r="G405" s="24">
        <f t="shared" si="63"/>
        <v>0.1</v>
      </c>
      <c r="H405" s="676"/>
      <c r="I405" s="24">
        <f t="shared" si="64"/>
        <v>1</v>
      </c>
      <c r="J405" s="676"/>
      <c r="K405" s="24">
        <f t="shared" si="65"/>
        <v>1</v>
      </c>
      <c r="L405" s="676"/>
      <c r="M405" s="24">
        <f t="shared" si="66"/>
        <v>0</v>
      </c>
      <c r="N405" s="676"/>
      <c r="O405" s="24">
        <f t="shared" si="67"/>
        <v>0</v>
      </c>
      <c r="P405" s="676"/>
      <c r="Q405" s="24">
        <f t="shared" si="68"/>
        <v>1</v>
      </c>
      <c r="R405" s="672">
        <f t="shared" si="69"/>
        <v>0</v>
      </c>
      <c r="S405" s="322">
        <f t="shared" si="70"/>
        <v>0</v>
      </c>
    </row>
    <row r="406" spans="1:19">
      <c r="A406" s="155"/>
      <c r="B406" s="57"/>
      <c r="C406" s="24">
        <f t="shared" si="61"/>
        <v>1</v>
      </c>
      <c r="D406" s="676"/>
      <c r="E406" s="24">
        <f t="shared" si="62"/>
        <v>0</v>
      </c>
      <c r="F406" s="676"/>
      <c r="G406" s="24">
        <f t="shared" si="63"/>
        <v>0.1</v>
      </c>
      <c r="H406" s="676"/>
      <c r="I406" s="24">
        <f t="shared" si="64"/>
        <v>1</v>
      </c>
      <c r="J406" s="676"/>
      <c r="K406" s="24">
        <f t="shared" si="65"/>
        <v>1</v>
      </c>
      <c r="L406" s="676"/>
      <c r="M406" s="24">
        <f t="shared" si="66"/>
        <v>0</v>
      </c>
      <c r="N406" s="676"/>
      <c r="O406" s="24">
        <f t="shared" si="67"/>
        <v>0</v>
      </c>
      <c r="P406" s="676"/>
      <c r="Q406" s="24">
        <f t="shared" si="68"/>
        <v>1</v>
      </c>
      <c r="R406" s="672">
        <f t="shared" si="69"/>
        <v>0</v>
      </c>
      <c r="S406" s="322">
        <f t="shared" si="70"/>
        <v>0</v>
      </c>
    </row>
    <row r="407" spans="1:19">
      <c r="A407" s="155"/>
      <c r="B407" s="57"/>
      <c r="C407" s="24">
        <f t="shared" si="61"/>
        <v>1</v>
      </c>
      <c r="D407" s="676"/>
      <c r="E407" s="24">
        <f t="shared" si="62"/>
        <v>0</v>
      </c>
      <c r="F407" s="676"/>
      <c r="G407" s="24">
        <f t="shared" si="63"/>
        <v>0.1</v>
      </c>
      <c r="H407" s="676"/>
      <c r="I407" s="24">
        <f t="shared" si="64"/>
        <v>1</v>
      </c>
      <c r="J407" s="676"/>
      <c r="K407" s="24">
        <f t="shared" si="65"/>
        <v>1</v>
      </c>
      <c r="L407" s="676"/>
      <c r="M407" s="24">
        <f t="shared" si="66"/>
        <v>0</v>
      </c>
      <c r="N407" s="676"/>
      <c r="O407" s="24">
        <f t="shared" si="67"/>
        <v>0</v>
      </c>
      <c r="P407" s="676"/>
      <c r="Q407" s="24">
        <f t="shared" si="68"/>
        <v>1</v>
      </c>
      <c r="R407" s="672">
        <f t="shared" si="69"/>
        <v>0</v>
      </c>
      <c r="S407" s="322">
        <f t="shared" si="70"/>
        <v>0</v>
      </c>
    </row>
    <row r="408" spans="1:19">
      <c r="A408" s="155"/>
      <c r="B408" s="57"/>
      <c r="C408" s="24">
        <f t="shared" si="61"/>
        <v>1</v>
      </c>
      <c r="D408" s="676"/>
      <c r="E408" s="24">
        <f t="shared" si="62"/>
        <v>0</v>
      </c>
      <c r="F408" s="676"/>
      <c r="G408" s="24">
        <f t="shared" si="63"/>
        <v>0.1</v>
      </c>
      <c r="H408" s="676"/>
      <c r="I408" s="24">
        <f t="shared" si="64"/>
        <v>1</v>
      </c>
      <c r="J408" s="676"/>
      <c r="K408" s="24">
        <f t="shared" si="65"/>
        <v>1</v>
      </c>
      <c r="L408" s="676"/>
      <c r="M408" s="24">
        <f t="shared" si="66"/>
        <v>0</v>
      </c>
      <c r="N408" s="676"/>
      <c r="O408" s="24">
        <f t="shared" si="67"/>
        <v>0</v>
      </c>
      <c r="P408" s="676"/>
      <c r="Q408" s="24">
        <f t="shared" si="68"/>
        <v>1</v>
      </c>
      <c r="R408" s="672">
        <f t="shared" si="69"/>
        <v>0</v>
      </c>
      <c r="S408" s="322">
        <f t="shared" si="70"/>
        <v>0</v>
      </c>
    </row>
    <row r="409" spans="1:19">
      <c r="A409" s="155"/>
      <c r="B409" s="57"/>
      <c r="C409" s="24">
        <f t="shared" si="61"/>
        <v>1</v>
      </c>
      <c r="D409" s="676"/>
      <c r="E409" s="24">
        <f t="shared" si="62"/>
        <v>0</v>
      </c>
      <c r="F409" s="676"/>
      <c r="G409" s="24">
        <f t="shared" si="63"/>
        <v>0.1</v>
      </c>
      <c r="H409" s="676"/>
      <c r="I409" s="24">
        <f t="shared" si="64"/>
        <v>1</v>
      </c>
      <c r="J409" s="676"/>
      <c r="K409" s="24">
        <f t="shared" si="65"/>
        <v>1</v>
      </c>
      <c r="L409" s="676"/>
      <c r="M409" s="24">
        <f t="shared" si="66"/>
        <v>0</v>
      </c>
      <c r="N409" s="676"/>
      <c r="O409" s="24">
        <f t="shared" si="67"/>
        <v>0</v>
      </c>
      <c r="P409" s="676"/>
      <c r="Q409" s="24">
        <f t="shared" si="68"/>
        <v>1</v>
      </c>
      <c r="R409" s="672">
        <f t="shared" si="69"/>
        <v>0</v>
      </c>
      <c r="S409" s="322">
        <f t="shared" si="70"/>
        <v>0</v>
      </c>
    </row>
    <row r="410" spans="1:19">
      <c r="A410" s="155"/>
      <c r="B410" s="57"/>
      <c r="C410" s="24">
        <f t="shared" ref="C410:C473" si="71">IF(B410="",1,(LOOKUP(B410,$3:$3,$4:$4)-LOOKUP($B$24,$3:$3,$4:$4)+100)/100)</f>
        <v>1</v>
      </c>
      <c r="D410" s="676"/>
      <c r="E410" s="24">
        <f t="shared" ref="E410:E473" si="72">(SUMIF($5:$5,D410,$6:$6)-SUMIF($5:$5,$D$24,$6:$6)+100)/100</f>
        <v>0</v>
      </c>
      <c r="F410" s="676"/>
      <c r="G410" s="24">
        <f t="shared" ref="G410:G473" si="73">(SUMIF($7:$7,F410,$8:$8)-SUMIF($7:$7,$F$24,$8:$8)+100)/100</f>
        <v>0.1</v>
      </c>
      <c r="H410" s="676"/>
      <c r="I410" s="24">
        <f t="shared" ref="I410:I473" si="74">(SUMIF($9:$9,H410,$10:$10)-SUMIF($9:$9,$H$24,$10:$10)+100)/100</f>
        <v>1</v>
      </c>
      <c r="J410" s="676"/>
      <c r="K410" s="24">
        <f t="shared" ref="K410:K473" si="75">(SUMIF($11:$11,J410,$12:$12)-SUMIF($11:$11,$J$24,$12:$12)+100)/100</f>
        <v>1</v>
      </c>
      <c r="L410" s="676"/>
      <c r="M410" s="24">
        <f t="shared" ref="M410:M473" si="76">(SUMIF($13:$13,L410,$14:$14)-SUMIF($13:$13,$L$24,$14:$14)+100)/100</f>
        <v>0</v>
      </c>
      <c r="N410" s="676"/>
      <c r="O410" s="24">
        <f t="shared" ref="O410:O473" si="77">(SUMIF($15:$15,N410,$16:$16)-SUMIF($15:$15,$N$24,$16:$16)+100)/100</f>
        <v>0</v>
      </c>
      <c r="P410" s="676"/>
      <c r="Q410" s="24">
        <f t="shared" ref="Q410:Q473" si="78">(SUMIF($17:$17,P410,$18:$18)-SUMIF($17:$17,$P$24,$18:$18)+100)/100</f>
        <v>1</v>
      </c>
      <c r="R410" s="672">
        <f t="shared" ref="R410:R473" si="79">IF(B410="",0,ROUND($R$24*C410*E410*G410*I410*K410*M410*O410*Q410,0))</f>
        <v>0</v>
      </c>
      <c r="S410" s="322">
        <f t="shared" si="70"/>
        <v>0</v>
      </c>
    </row>
    <row r="411" spans="1:19">
      <c r="A411" s="155"/>
      <c r="B411" s="57"/>
      <c r="C411" s="24">
        <f t="shared" si="71"/>
        <v>1</v>
      </c>
      <c r="D411" s="676"/>
      <c r="E411" s="24">
        <f t="shared" si="72"/>
        <v>0</v>
      </c>
      <c r="F411" s="676"/>
      <c r="G411" s="24">
        <f t="shared" si="73"/>
        <v>0.1</v>
      </c>
      <c r="H411" s="676"/>
      <c r="I411" s="24">
        <f t="shared" si="74"/>
        <v>1</v>
      </c>
      <c r="J411" s="676"/>
      <c r="K411" s="24">
        <f t="shared" si="75"/>
        <v>1</v>
      </c>
      <c r="L411" s="676"/>
      <c r="M411" s="24">
        <f t="shared" si="76"/>
        <v>0</v>
      </c>
      <c r="N411" s="676"/>
      <c r="O411" s="24">
        <f t="shared" si="77"/>
        <v>0</v>
      </c>
      <c r="P411" s="676"/>
      <c r="Q411" s="24">
        <f t="shared" si="78"/>
        <v>1</v>
      </c>
      <c r="R411" s="672">
        <f t="shared" si="79"/>
        <v>0</v>
      </c>
      <c r="S411" s="322">
        <f t="shared" si="70"/>
        <v>0</v>
      </c>
    </row>
    <row r="412" spans="1:19">
      <c r="A412" s="155"/>
      <c r="B412" s="57"/>
      <c r="C412" s="24">
        <f t="shared" si="71"/>
        <v>1</v>
      </c>
      <c r="D412" s="676"/>
      <c r="E412" s="24">
        <f t="shared" si="72"/>
        <v>0</v>
      </c>
      <c r="F412" s="676"/>
      <c r="G412" s="24">
        <f t="shared" si="73"/>
        <v>0.1</v>
      </c>
      <c r="H412" s="676"/>
      <c r="I412" s="24">
        <f t="shared" si="74"/>
        <v>1</v>
      </c>
      <c r="J412" s="676"/>
      <c r="K412" s="24">
        <f t="shared" si="75"/>
        <v>1</v>
      </c>
      <c r="L412" s="676"/>
      <c r="M412" s="24">
        <f t="shared" si="76"/>
        <v>0</v>
      </c>
      <c r="N412" s="676"/>
      <c r="O412" s="24">
        <f t="shared" si="77"/>
        <v>0</v>
      </c>
      <c r="P412" s="676"/>
      <c r="Q412" s="24">
        <f t="shared" si="78"/>
        <v>1</v>
      </c>
      <c r="R412" s="672">
        <f t="shared" si="79"/>
        <v>0</v>
      </c>
      <c r="S412" s="322">
        <f t="shared" si="70"/>
        <v>0</v>
      </c>
    </row>
    <row r="413" spans="1:19">
      <c r="A413" s="155"/>
      <c r="B413" s="57"/>
      <c r="C413" s="24">
        <f t="shared" si="71"/>
        <v>1</v>
      </c>
      <c r="D413" s="676"/>
      <c r="E413" s="24">
        <f t="shared" si="72"/>
        <v>0</v>
      </c>
      <c r="F413" s="676"/>
      <c r="G413" s="24">
        <f t="shared" si="73"/>
        <v>0.1</v>
      </c>
      <c r="H413" s="676"/>
      <c r="I413" s="24">
        <f t="shared" si="74"/>
        <v>1</v>
      </c>
      <c r="J413" s="676"/>
      <c r="K413" s="24">
        <f t="shared" si="75"/>
        <v>1</v>
      </c>
      <c r="L413" s="676"/>
      <c r="M413" s="24">
        <f t="shared" si="76"/>
        <v>0</v>
      </c>
      <c r="N413" s="676"/>
      <c r="O413" s="24">
        <f t="shared" si="77"/>
        <v>0</v>
      </c>
      <c r="P413" s="676"/>
      <c r="Q413" s="24">
        <f t="shared" si="78"/>
        <v>1</v>
      </c>
      <c r="R413" s="672">
        <f t="shared" si="79"/>
        <v>0</v>
      </c>
      <c r="S413" s="322">
        <f t="shared" si="70"/>
        <v>0</v>
      </c>
    </row>
    <row r="414" spans="1:19">
      <c r="A414" s="155"/>
      <c r="B414" s="57"/>
      <c r="C414" s="24">
        <f t="shared" si="71"/>
        <v>1</v>
      </c>
      <c r="D414" s="676"/>
      <c r="E414" s="24">
        <f t="shared" si="72"/>
        <v>0</v>
      </c>
      <c r="F414" s="676"/>
      <c r="G414" s="24">
        <f t="shared" si="73"/>
        <v>0.1</v>
      </c>
      <c r="H414" s="676"/>
      <c r="I414" s="24">
        <f t="shared" si="74"/>
        <v>1</v>
      </c>
      <c r="J414" s="676"/>
      <c r="K414" s="24">
        <f t="shared" si="75"/>
        <v>1</v>
      </c>
      <c r="L414" s="676"/>
      <c r="M414" s="24">
        <f t="shared" si="76"/>
        <v>0</v>
      </c>
      <c r="N414" s="676"/>
      <c r="O414" s="24">
        <f t="shared" si="77"/>
        <v>0</v>
      </c>
      <c r="P414" s="676"/>
      <c r="Q414" s="24">
        <f t="shared" si="78"/>
        <v>1</v>
      </c>
      <c r="R414" s="672">
        <f t="shared" si="79"/>
        <v>0</v>
      </c>
      <c r="S414" s="322">
        <f t="shared" si="70"/>
        <v>0</v>
      </c>
    </row>
    <row r="415" spans="1:19">
      <c r="A415" s="155"/>
      <c r="B415" s="57"/>
      <c r="C415" s="24">
        <f t="shared" si="71"/>
        <v>1</v>
      </c>
      <c r="D415" s="676"/>
      <c r="E415" s="24">
        <f t="shared" si="72"/>
        <v>0</v>
      </c>
      <c r="F415" s="676"/>
      <c r="G415" s="24">
        <f t="shared" si="73"/>
        <v>0.1</v>
      </c>
      <c r="H415" s="676"/>
      <c r="I415" s="24">
        <f t="shared" si="74"/>
        <v>1</v>
      </c>
      <c r="J415" s="676"/>
      <c r="K415" s="24">
        <f t="shared" si="75"/>
        <v>1</v>
      </c>
      <c r="L415" s="676"/>
      <c r="M415" s="24">
        <f t="shared" si="76"/>
        <v>0</v>
      </c>
      <c r="N415" s="676"/>
      <c r="O415" s="24">
        <f t="shared" si="77"/>
        <v>0</v>
      </c>
      <c r="P415" s="676"/>
      <c r="Q415" s="24">
        <f t="shared" si="78"/>
        <v>1</v>
      </c>
      <c r="R415" s="672">
        <f t="shared" si="79"/>
        <v>0</v>
      </c>
      <c r="S415" s="322">
        <f t="shared" si="70"/>
        <v>0</v>
      </c>
    </row>
    <row r="416" spans="1:19">
      <c r="A416" s="155"/>
      <c r="B416" s="57"/>
      <c r="C416" s="24">
        <f t="shared" si="71"/>
        <v>1</v>
      </c>
      <c r="D416" s="676"/>
      <c r="E416" s="24">
        <f t="shared" si="72"/>
        <v>0</v>
      </c>
      <c r="F416" s="676"/>
      <c r="G416" s="24">
        <f t="shared" si="73"/>
        <v>0.1</v>
      </c>
      <c r="H416" s="676"/>
      <c r="I416" s="24">
        <f t="shared" si="74"/>
        <v>1</v>
      </c>
      <c r="J416" s="676"/>
      <c r="K416" s="24">
        <f t="shared" si="75"/>
        <v>1</v>
      </c>
      <c r="L416" s="676"/>
      <c r="M416" s="24">
        <f t="shared" si="76"/>
        <v>0</v>
      </c>
      <c r="N416" s="676"/>
      <c r="O416" s="24">
        <f t="shared" si="77"/>
        <v>0</v>
      </c>
      <c r="P416" s="676"/>
      <c r="Q416" s="24">
        <f t="shared" si="78"/>
        <v>1</v>
      </c>
      <c r="R416" s="672">
        <f t="shared" si="79"/>
        <v>0</v>
      </c>
      <c r="S416" s="322">
        <f t="shared" si="70"/>
        <v>0</v>
      </c>
    </row>
    <row r="417" spans="1:19">
      <c r="A417" s="155"/>
      <c r="B417" s="57"/>
      <c r="C417" s="24">
        <f t="shared" si="71"/>
        <v>1</v>
      </c>
      <c r="D417" s="676"/>
      <c r="E417" s="24">
        <f t="shared" si="72"/>
        <v>0</v>
      </c>
      <c r="F417" s="676"/>
      <c r="G417" s="24">
        <f t="shared" si="73"/>
        <v>0.1</v>
      </c>
      <c r="H417" s="676"/>
      <c r="I417" s="24">
        <f t="shared" si="74"/>
        <v>1</v>
      </c>
      <c r="J417" s="676"/>
      <c r="K417" s="24">
        <f t="shared" si="75"/>
        <v>1</v>
      </c>
      <c r="L417" s="676"/>
      <c r="M417" s="24">
        <f t="shared" si="76"/>
        <v>0</v>
      </c>
      <c r="N417" s="676"/>
      <c r="O417" s="24">
        <f t="shared" si="77"/>
        <v>0</v>
      </c>
      <c r="P417" s="676"/>
      <c r="Q417" s="24">
        <f t="shared" si="78"/>
        <v>1</v>
      </c>
      <c r="R417" s="672">
        <f t="shared" si="79"/>
        <v>0</v>
      </c>
      <c r="S417" s="322">
        <f t="shared" si="70"/>
        <v>0</v>
      </c>
    </row>
    <row r="418" spans="1:19">
      <c r="A418" s="155"/>
      <c r="B418" s="57"/>
      <c r="C418" s="24">
        <f t="shared" si="71"/>
        <v>1</v>
      </c>
      <c r="D418" s="676"/>
      <c r="E418" s="24">
        <f t="shared" si="72"/>
        <v>0</v>
      </c>
      <c r="F418" s="676"/>
      <c r="G418" s="24">
        <f t="shared" si="73"/>
        <v>0.1</v>
      </c>
      <c r="H418" s="676"/>
      <c r="I418" s="24">
        <f t="shared" si="74"/>
        <v>1</v>
      </c>
      <c r="J418" s="676"/>
      <c r="K418" s="24">
        <f t="shared" si="75"/>
        <v>1</v>
      </c>
      <c r="L418" s="676"/>
      <c r="M418" s="24">
        <f t="shared" si="76"/>
        <v>0</v>
      </c>
      <c r="N418" s="676"/>
      <c r="O418" s="24">
        <f t="shared" si="77"/>
        <v>0</v>
      </c>
      <c r="P418" s="676"/>
      <c r="Q418" s="24">
        <f t="shared" si="78"/>
        <v>1</v>
      </c>
      <c r="R418" s="672">
        <f t="shared" si="79"/>
        <v>0</v>
      </c>
      <c r="S418" s="322">
        <f t="shared" si="70"/>
        <v>0</v>
      </c>
    </row>
    <row r="419" spans="1:19">
      <c r="A419" s="155"/>
      <c r="B419" s="57"/>
      <c r="C419" s="24">
        <f t="shared" si="71"/>
        <v>1</v>
      </c>
      <c r="D419" s="676"/>
      <c r="E419" s="24">
        <f t="shared" si="72"/>
        <v>0</v>
      </c>
      <c r="F419" s="676"/>
      <c r="G419" s="24">
        <f t="shared" si="73"/>
        <v>0.1</v>
      </c>
      <c r="H419" s="676"/>
      <c r="I419" s="24">
        <f t="shared" si="74"/>
        <v>1</v>
      </c>
      <c r="J419" s="676"/>
      <c r="K419" s="24">
        <f t="shared" si="75"/>
        <v>1</v>
      </c>
      <c r="L419" s="676"/>
      <c r="M419" s="24">
        <f t="shared" si="76"/>
        <v>0</v>
      </c>
      <c r="N419" s="676"/>
      <c r="O419" s="24">
        <f t="shared" si="77"/>
        <v>0</v>
      </c>
      <c r="P419" s="676"/>
      <c r="Q419" s="24">
        <f t="shared" si="78"/>
        <v>1</v>
      </c>
      <c r="R419" s="672">
        <f t="shared" si="79"/>
        <v>0</v>
      </c>
      <c r="S419" s="322">
        <f t="shared" si="70"/>
        <v>0</v>
      </c>
    </row>
    <row r="420" spans="1:19">
      <c r="A420" s="155"/>
      <c r="B420" s="57"/>
      <c r="C420" s="24">
        <f t="shared" si="71"/>
        <v>1</v>
      </c>
      <c r="D420" s="676"/>
      <c r="E420" s="24">
        <f t="shared" si="72"/>
        <v>0</v>
      </c>
      <c r="F420" s="676"/>
      <c r="G420" s="24">
        <f t="shared" si="73"/>
        <v>0.1</v>
      </c>
      <c r="H420" s="676"/>
      <c r="I420" s="24">
        <f t="shared" si="74"/>
        <v>1</v>
      </c>
      <c r="J420" s="676"/>
      <c r="K420" s="24">
        <f t="shared" si="75"/>
        <v>1</v>
      </c>
      <c r="L420" s="676"/>
      <c r="M420" s="24">
        <f t="shared" si="76"/>
        <v>0</v>
      </c>
      <c r="N420" s="676"/>
      <c r="O420" s="24">
        <f t="shared" si="77"/>
        <v>0</v>
      </c>
      <c r="P420" s="676"/>
      <c r="Q420" s="24">
        <f t="shared" si="78"/>
        <v>1</v>
      </c>
      <c r="R420" s="672">
        <f t="shared" si="79"/>
        <v>0</v>
      </c>
      <c r="S420" s="322">
        <f t="shared" si="70"/>
        <v>0</v>
      </c>
    </row>
    <row r="421" spans="1:19">
      <c r="A421" s="155"/>
      <c r="B421" s="57"/>
      <c r="C421" s="24">
        <f t="shared" si="71"/>
        <v>1</v>
      </c>
      <c r="D421" s="676"/>
      <c r="E421" s="24">
        <f t="shared" si="72"/>
        <v>0</v>
      </c>
      <c r="F421" s="676"/>
      <c r="G421" s="24">
        <f t="shared" si="73"/>
        <v>0.1</v>
      </c>
      <c r="H421" s="676"/>
      <c r="I421" s="24">
        <f t="shared" si="74"/>
        <v>1</v>
      </c>
      <c r="J421" s="676"/>
      <c r="K421" s="24">
        <f t="shared" si="75"/>
        <v>1</v>
      </c>
      <c r="L421" s="676"/>
      <c r="M421" s="24">
        <f t="shared" si="76"/>
        <v>0</v>
      </c>
      <c r="N421" s="676"/>
      <c r="O421" s="24">
        <f t="shared" si="77"/>
        <v>0</v>
      </c>
      <c r="P421" s="676"/>
      <c r="Q421" s="24">
        <f t="shared" si="78"/>
        <v>1</v>
      </c>
      <c r="R421" s="672">
        <f t="shared" si="79"/>
        <v>0</v>
      </c>
      <c r="S421" s="322">
        <f t="shared" si="70"/>
        <v>0</v>
      </c>
    </row>
    <row r="422" spans="1:19">
      <c r="A422" s="155"/>
      <c r="B422" s="57"/>
      <c r="C422" s="24">
        <f t="shared" si="71"/>
        <v>1</v>
      </c>
      <c r="D422" s="676"/>
      <c r="E422" s="24">
        <f t="shared" si="72"/>
        <v>0</v>
      </c>
      <c r="F422" s="676"/>
      <c r="G422" s="24">
        <f t="shared" si="73"/>
        <v>0.1</v>
      </c>
      <c r="H422" s="676"/>
      <c r="I422" s="24">
        <f t="shared" si="74"/>
        <v>1</v>
      </c>
      <c r="J422" s="676"/>
      <c r="K422" s="24">
        <f t="shared" si="75"/>
        <v>1</v>
      </c>
      <c r="L422" s="676"/>
      <c r="M422" s="24">
        <f t="shared" si="76"/>
        <v>0</v>
      </c>
      <c r="N422" s="676"/>
      <c r="O422" s="24">
        <f t="shared" si="77"/>
        <v>0</v>
      </c>
      <c r="P422" s="676"/>
      <c r="Q422" s="24">
        <f t="shared" si="78"/>
        <v>1</v>
      </c>
      <c r="R422" s="672">
        <f t="shared" si="79"/>
        <v>0</v>
      </c>
      <c r="S422" s="322">
        <f t="shared" si="70"/>
        <v>0</v>
      </c>
    </row>
    <row r="423" spans="1:19">
      <c r="A423" s="155"/>
      <c r="B423" s="57"/>
      <c r="C423" s="24">
        <f t="shared" si="71"/>
        <v>1</v>
      </c>
      <c r="D423" s="676"/>
      <c r="E423" s="24">
        <f t="shared" si="72"/>
        <v>0</v>
      </c>
      <c r="F423" s="676"/>
      <c r="G423" s="24">
        <f t="shared" si="73"/>
        <v>0.1</v>
      </c>
      <c r="H423" s="676"/>
      <c r="I423" s="24">
        <f t="shared" si="74"/>
        <v>1</v>
      </c>
      <c r="J423" s="676"/>
      <c r="K423" s="24">
        <f t="shared" si="75"/>
        <v>1</v>
      </c>
      <c r="L423" s="676"/>
      <c r="M423" s="24">
        <f t="shared" si="76"/>
        <v>0</v>
      </c>
      <c r="N423" s="676"/>
      <c r="O423" s="24">
        <f t="shared" si="77"/>
        <v>0</v>
      </c>
      <c r="P423" s="676"/>
      <c r="Q423" s="24">
        <f t="shared" si="78"/>
        <v>1</v>
      </c>
      <c r="R423" s="672">
        <f t="shared" si="79"/>
        <v>0</v>
      </c>
      <c r="S423" s="322">
        <f t="shared" ref="S423:S467" si="80">ROUND(R423*B423/10000,0)</f>
        <v>0</v>
      </c>
    </row>
    <row r="424" spans="1:19">
      <c r="A424" s="155"/>
      <c r="B424" s="57"/>
      <c r="C424" s="24">
        <f t="shared" si="71"/>
        <v>1</v>
      </c>
      <c r="D424" s="676"/>
      <c r="E424" s="24">
        <f t="shared" si="72"/>
        <v>0</v>
      </c>
      <c r="F424" s="676"/>
      <c r="G424" s="24">
        <f t="shared" si="73"/>
        <v>0.1</v>
      </c>
      <c r="H424" s="676"/>
      <c r="I424" s="24">
        <f t="shared" si="74"/>
        <v>1</v>
      </c>
      <c r="J424" s="676"/>
      <c r="K424" s="24">
        <f t="shared" si="75"/>
        <v>1</v>
      </c>
      <c r="L424" s="676"/>
      <c r="M424" s="24">
        <f t="shared" si="76"/>
        <v>0</v>
      </c>
      <c r="N424" s="676"/>
      <c r="O424" s="24">
        <f t="shared" si="77"/>
        <v>0</v>
      </c>
      <c r="P424" s="676"/>
      <c r="Q424" s="24">
        <f t="shared" si="78"/>
        <v>1</v>
      </c>
      <c r="R424" s="672">
        <f t="shared" si="79"/>
        <v>0</v>
      </c>
      <c r="S424" s="322">
        <f t="shared" si="80"/>
        <v>0</v>
      </c>
    </row>
    <row r="425" spans="1:19">
      <c r="A425" s="155"/>
      <c r="B425" s="57"/>
      <c r="C425" s="24">
        <f t="shared" si="71"/>
        <v>1</v>
      </c>
      <c r="D425" s="676"/>
      <c r="E425" s="24">
        <f t="shared" si="72"/>
        <v>0</v>
      </c>
      <c r="F425" s="676"/>
      <c r="G425" s="24">
        <f t="shared" si="73"/>
        <v>0.1</v>
      </c>
      <c r="H425" s="676"/>
      <c r="I425" s="24">
        <f t="shared" si="74"/>
        <v>1</v>
      </c>
      <c r="J425" s="676"/>
      <c r="K425" s="24">
        <f t="shared" si="75"/>
        <v>1</v>
      </c>
      <c r="L425" s="676"/>
      <c r="M425" s="24">
        <f t="shared" si="76"/>
        <v>0</v>
      </c>
      <c r="N425" s="676"/>
      <c r="O425" s="24">
        <f t="shared" si="77"/>
        <v>0</v>
      </c>
      <c r="P425" s="676"/>
      <c r="Q425" s="24">
        <f t="shared" si="78"/>
        <v>1</v>
      </c>
      <c r="R425" s="672">
        <f t="shared" si="79"/>
        <v>0</v>
      </c>
      <c r="S425" s="322">
        <f t="shared" si="80"/>
        <v>0</v>
      </c>
    </row>
    <row r="426" spans="1:19">
      <c r="A426" s="155"/>
      <c r="B426" s="57"/>
      <c r="C426" s="24">
        <f t="shared" si="71"/>
        <v>1</v>
      </c>
      <c r="D426" s="676"/>
      <c r="E426" s="24">
        <f t="shared" si="72"/>
        <v>0</v>
      </c>
      <c r="F426" s="676"/>
      <c r="G426" s="24">
        <f t="shared" si="73"/>
        <v>0.1</v>
      </c>
      <c r="H426" s="676"/>
      <c r="I426" s="24">
        <f t="shared" si="74"/>
        <v>1</v>
      </c>
      <c r="J426" s="676"/>
      <c r="K426" s="24">
        <f t="shared" si="75"/>
        <v>1</v>
      </c>
      <c r="L426" s="676"/>
      <c r="M426" s="24">
        <f t="shared" si="76"/>
        <v>0</v>
      </c>
      <c r="N426" s="676"/>
      <c r="O426" s="24">
        <f t="shared" si="77"/>
        <v>0</v>
      </c>
      <c r="P426" s="676"/>
      <c r="Q426" s="24">
        <f t="shared" si="78"/>
        <v>1</v>
      </c>
      <c r="R426" s="672">
        <f t="shared" si="79"/>
        <v>0</v>
      </c>
      <c r="S426" s="322">
        <f t="shared" si="80"/>
        <v>0</v>
      </c>
    </row>
    <row r="427" spans="1:19">
      <c r="A427" s="155"/>
      <c r="B427" s="57"/>
      <c r="C427" s="24">
        <f t="shared" si="71"/>
        <v>1</v>
      </c>
      <c r="D427" s="676"/>
      <c r="E427" s="24">
        <f t="shared" si="72"/>
        <v>0</v>
      </c>
      <c r="F427" s="676"/>
      <c r="G427" s="24">
        <f t="shared" si="73"/>
        <v>0.1</v>
      </c>
      <c r="H427" s="676"/>
      <c r="I427" s="24">
        <f t="shared" si="74"/>
        <v>1</v>
      </c>
      <c r="J427" s="676"/>
      <c r="K427" s="24">
        <f t="shared" si="75"/>
        <v>1</v>
      </c>
      <c r="L427" s="676"/>
      <c r="M427" s="24">
        <f t="shared" si="76"/>
        <v>0</v>
      </c>
      <c r="N427" s="676"/>
      <c r="O427" s="24">
        <f t="shared" si="77"/>
        <v>0</v>
      </c>
      <c r="P427" s="676"/>
      <c r="Q427" s="24">
        <f t="shared" si="78"/>
        <v>1</v>
      </c>
      <c r="R427" s="672">
        <f t="shared" si="79"/>
        <v>0</v>
      </c>
      <c r="S427" s="322">
        <f t="shared" si="80"/>
        <v>0</v>
      </c>
    </row>
    <row r="428" spans="1:19">
      <c r="A428" s="155"/>
      <c r="B428" s="57"/>
      <c r="C428" s="24">
        <f t="shared" si="71"/>
        <v>1</v>
      </c>
      <c r="D428" s="676"/>
      <c r="E428" s="24">
        <f t="shared" si="72"/>
        <v>0</v>
      </c>
      <c r="F428" s="676"/>
      <c r="G428" s="24">
        <f t="shared" si="73"/>
        <v>0.1</v>
      </c>
      <c r="H428" s="676"/>
      <c r="I428" s="24">
        <f t="shared" si="74"/>
        <v>1</v>
      </c>
      <c r="J428" s="676"/>
      <c r="K428" s="24">
        <f t="shared" si="75"/>
        <v>1</v>
      </c>
      <c r="L428" s="676"/>
      <c r="M428" s="24">
        <f t="shared" si="76"/>
        <v>0</v>
      </c>
      <c r="N428" s="676"/>
      <c r="O428" s="24">
        <f t="shared" si="77"/>
        <v>0</v>
      </c>
      <c r="P428" s="676"/>
      <c r="Q428" s="24">
        <f t="shared" si="78"/>
        <v>1</v>
      </c>
      <c r="R428" s="672">
        <f t="shared" si="79"/>
        <v>0</v>
      </c>
      <c r="S428" s="322">
        <f t="shared" si="80"/>
        <v>0</v>
      </c>
    </row>
    <row r="429" spans="1:19">
      <c r="A429" s="155"/>
      <c r="B429" s="57"/>
      <c r="C429" s="24">
        <f t="shared" si="71"/>
        <v>1</v>
      </c>
      <c r="D429" s="676"/>
      <c r="E429" s="24">
        <f t="shared" si="72"/>
        <v>0</v>
      </c>
      <c r="F429" s="676"/>
      <c r="G429" s="24">
        <f t="shared" si="73"/>
        <v>0.1</v>
      </c>
      <c r="H429" s="676"/>
      <c r="I429" s="24">
        <f t="shared" si="74"/>
        <v>1</v>
      </c>
      <c r="J429" s="676"/>
      <c r="K429" s="24">
        <f t="shared" si="75"/>
        <v>1</v>
      </c>
      <c r="L429" s="676"/>
      <c r="M429" s="24">
        <f t="shared" si="76"/>
        <v>0</v>
      </c>
      <c r="N429" s="676"/>
      <c r="O429" s="24">
        <f t="shared" si="77"/>
        <v>0</v>
      </c>
      <c r="P429" s="676"/>
      <c r="Q429" s="24">
        <f t="shared" si="78"/>
        <v>1</v>
      </c>
      <c r="R429" s="672">
        <f t="shared" si="79"/>
        <v>0</v>
      </c>
      <c r="S429" s="322">
        <f t="shared" si="80"/>
        <v>0</v>
      </c>
    </row>
    <row r="430" spans="1:19">
      <c r="A430" s="155"/>
      <c r="B430" s="57"/>
      <c r="C430" s="24">
        <f t="shared" si="71"/>
        <v>1</v>
      </c>
      <c r="D430" s="676"/>
      <c r="E430" s="24">
        <f t="shared" si="72"/>
        <v>0</v>
      </c>
      <c r="F430" s="676"/>
      <c r="G430" s="24">
        <f t="shared" si="73"/>
        <v>0.1</v>
      </c>
      <c r="H430" s="676"/>
      <c r="I430" s="24">
        <f t="shared" si="74"/>
        <v>1</v>
      </c>
      <c r="J430" s="676"/>
      <c r="K430" s="24">
        <f t="shared" si="75"/>
        <v>1</v>
      </c>
      <c r="L430" s="676"/>
      <c r="M430" s="24">
        <f t="shared" si="76"/>
        <v>0</v>
      </c>
      <c r="N430" s="676"/>
      <c r="O430" s="24">
        <f t="shared" si="77"/>
        <v>0</v>
      </c>
      <c r="P430" s="676"/>
      <c r="Q430" s="24">
        <f t="shared" si="78"/>
        <v>1</v>
      </c>
      <c r="R430" s="672">
        <f t="shared" si="79"/>
        <v>0</v>
      </c>
      <c r="S430" s="322">
        <f t="shared" si="80"/>
        <v>0</v>
      </c>
    </row>
    <row r="431" spans="1:19">
      <c r="A431" s="155"/>
      <c r="B431" s="57"/>
      <c r="C431" s="24">
        <f t="shared" si="71"/>
        <v>1</v>
      </c>
      <c r="D431" s="676"/>
      <c r="E431" s="24">
        <f t="shared" si="72"/>
        <v>0</v>
      </c>
      <c r="F431" s="676"/>
      <c r="G431" s="24">
        <f t="shared" si="73"/>
        <v>0.1</v>
      </c>
      <c r="H431" s="676"/>
      <c r="I431" s="24">
        <f t="shared" si="74"/>
        <v>1</v>
      </c>
      <c r="J431" s="676"/>
      <c r="K431" s="24">
        <f t="shared" si="75"/>
        <v>1</v>
      </c>
      <c r="L431" s="676"/>
      <c r="M431" s="24">
        <f t="shared" si="76"/>
        <v>0</v>
      </c>
      <c r="N431" s="676"/>
      <c r="O431" s="24">
        <f t="shared" si="77"/>
        <v>0</v>
      </c>
      <c r="P431" s="676"/>
      <c r="Q431" s="24">
        <f t="shared" si="78"/>
        <v>1</v>
      </c>
      <c r="R431" s="672">
        <f t="shared" si="79"/>
        <v>0</v>
      </c>
      <c r="S431" s="322">
        <f t="shared" si="80"/>
        <v>0</v>
      </c>
    </row>
    <row r="432" spans="1:19">
      <c r="A432" s="155"/>
      <c r="B432" s="57"/>
      <c r="C432" s="24">
        <f t="shared" si="71"/>
        <v>1</v>
      </c>
      <c r="D432" s="676"/>
      <c r="E432" s="24">
        <f t="shared" si="72"/>
        <v>0</v>
      </c>
      <c r="F432" s="676"/>
      <c r="G432" s="24">
        <f t="shared" si="73"/>
        <v>0.1</v>
      </c>
      <c r="H432" s="676"/>
      <c r="I432" s="24">
        <f t="shared" si="74"/>
        <v>1</v>
      </c>
      <c r="J432" s="676"/>
      <c r="K432" s="24">
        <f t="shared" si="75"/>
        <v>1</v>
      </c>
      <c r="L432" s="676"/>
      <c r="M432" s="24">
        <f t="shared" si="76"/>
        <v>0</v>
      </c>
      <c r="N432" s="676"/>
      <c r="O432" s="24">
        <f t="shared" si="77"/>
        <v>0</v>
      </c>
      <c r="P432" s="676"/>
      <c r="Q432" s="24">
        <f t="shared" si="78"/>
        <v>1</v>
      </c>
      <c r="R432" s="672">
        <f t="shared" si="79"/>
        <v>0</v>
      </c>
      <c r="S432" s="322">
        <f t="shared" si="80"/>
        <v>0</v>
      </c>
    </row>
    <row r="433" spans="1:19">
      <c r="A433" s="155"/>
      <c r="B433" s="57"/>
      <c r="C433" s="24">
        <f t="shared" si="71"/>
        <v>1</v>
      </c>
      <c r="D433" s="676"/>
      <c r="E433" s="24">
        <f t="shared" si="72"/>
        <v>0</v>
      </c>
      <c r="F433" s="676"/>
      <c r="G433" s="24">
        <f t="shared" si="73"/>
        <v>0.1</v>
      </c>
      <c r="H433" s="676"/>
      <c r="I433" s="24">
        <f t="shared" si="74"/>
        <v>1</v>
      </c>
      <c r="J433" s="676"/>
      <c r="K433" s="24">
        <f t="shared" si="75"/>
        <v>1</v>
      </c>
      <c r="L433" s="676"/>
      <c r="M433" s="24">
        <f t="shared" si="76"/>
        <v>0</v>
      </c>
      <c r="N433" s="676"/>
      <c r="O433" s="24">
        <f t="shared" si="77"/>
        <v>0</v>
      </c>
      <c r="P433" s="676"/>
      <c r="Q433" s="24">
        <f t="shared" si="78"/>
        <v>1</v>
      </c>
      <c r="R433" s="672">
        <f t="shared" si="79"/>
        <v>0</v>
      </c>
      <c r="S433" s="322">
        <f t="shared" si="80"/>
        <v>0</v>
      </c>
    </row>
    <row r="434" spans="1:19">
      <c r="A434" s="155"/>
      <c r="B434" s="57"/>
      <c r="C434" s="24">
        <f t="shared" si="71"/>
        <v>1</v>
      </c>
      <c r="D434" s="676"/>
      <c r="E434" s="24">
        <f t="shared" si="72"/>
        <v>0</v>
      </c>
      <c r="F434" s="676"/>
      <c r="G434" s="24">
        <f t="shared" si="73"/>
        <v>0.1</v>
      </c>
      <c r="H434" s="676"/>
      <c r="I434" s="24">
        <f t="shared" si="74"/>
        <v>1</v>
      </c>
      <c r="J434" s="676"/>
      <c r="K434" s="24">
        <f t="shared" si="75"/>
        <v>1</v>
      </c>
      <c r="L434" s="676"/>
      <c r="M434" s="24">
        <f t="shared" si="76"/>
        <v>0</v>
      </c>
      <c r="N434" s="676"/>
      <c r="O434" s="24">
        <f t="shared" si="77"/>
        <v>0</v>
      </c>
      <c r="P434" s="676"/>
      <c r="Q434" s="24">
        <f t="shared" si="78"/>
        <v>1</v>
      </c>
      <c r="R434" s="672">
        <f t="shared" si="79"/>
        <v>0</v>
      </c>
      <c r="S434" s="322">
        <f t="shared" si="80"/>
        <v>0</v>
      </c>
    </row>
    <row r="435" spans="1:19">
      <c r="A435" s="155"/>
      <c r="B435" s="57"/>
      <c r="C435" s="24">
        <f t="shared" si="71"/>
        <v>1</v>
      </c>
      <c r="D435" s="676"/>
      <c r="E435" s="24">
        <f t="shared" si="72"/>
        <v>0</v>
      </c>
      <c r="F435" s="676"/>
      <c r="G435" s="24">
        <f t="shared" si="73"/>
        <v>0.1</v>
      </c>
      <c r="H435" s="676"/>
      <c r="I435" s="24">
        <f t="shared" si="74"/>
        <v>1</v>
      </c>
      <c r="J435" s="676"/>
      <c r="K435" s="24">
        <f t="shared" si="75"/>
        <v>1</v>
      </c>
      <c r="L435" s="676"/>
      <c r="M435" s="24">
        <f t="shared" si="76"/>
        <v>0</v>
      </c>
      <c r="N435" s="676"/>
      <c r="O435" s="24">
        <f t="shared" si="77"/>
        <v>0</v>
      </c>
      <c r="P435" s="676"/>
      <c r="Q435" s="24">
        <f t="shared" si="78"/>
        <v>1</v>
      </c>
      <c r="R435" s="672">
        <f t="shared" si="79"/>
        <v>0</v>
      </c>
      <c r="S435" s="322">
        <f t="shared" si="80"/>
        <v>0</v>
      </c>
    </row>
    <row r="436" spans="1:19">
      <c r="A436" s="155"/>
      <c r="B436" s="57"/>
      <c r="C436" s="24">
        <f t="shared" si="71"/>
        <v>1</v>
      </c>
      <c r="D436" s="676"/>
      <c r="E436" s="24">
        <f t="shared" si="72"/>
        <v>0</v>
      </c>
      <c r="F436" s="676"/>
      <c r="G436" s="24">
        <f t="shared" si="73"/>
        <v>0.1</v>
      </c>
      <c r="H436" s="676"/>
      <c r="I436" s="24">
        <f t="shared" si="74"/>
        <v>1</v>
      </c>
      <c r="J436" s="676"/>
      <c r="K436" s="24">
        <f t="shared" si="75"/>
        <v>1</v>
      </c>
      <c r="L436" s="676"/>
      <c r="M436" s="24">
        <f t="shared" si="76"/>
        <v>0</v>
      </c>
      <c r="N436" s="676"/>
      <c r="O436" s="24">
        <f t="shared" si="77"/>
        <v>0</v>
      </c>
      <c r="P436" s="676"/>
      <c r="Q436" s="24">
        <f t="shared" si="78"/>
        <v>1</v>
      </c>
      <c r="R436" s="672">
        <f t="shared" si="79"/>
        <v>0</v>
      </c>
      <c r="S436" s="322">
        <f t="shared" si="80"/>
        <v>0</v>
      </c>
    </row>
    <row r="437" spans="1:19">
      <c r="A437" s="155"/>
      <c r="B437" s="57"/>
      <c r="C437" s="24">
        <f t="shared" si="71"/>
        <v>1</v>
      </c>
      <c r="D437" s="676"/>
      <c r="E437" s="24">
        <f t="shared" si="72"/>
        <v>0</v>
      </c>
      <c r="F437" s="676"/>
      <c r="G437" s="24">
        <f t="shared" si="73"/>
        <v>0.1</v>
      </c>
      <c r="H437" s="676"/>
      <c r="I437" s="24">
        <f t="shared" si="74"/>
        <v>1</v>
      </c>
      <c r="J437" s="676"/>
      <c r="K437" s="24">
        <f t="shared" si="75"/>
        <v>1</v>
      </c>
      <c r="L437" s="676"/>
      <c r="M437" s="24">
        <f t="shared" si="76"/>
        <v>0</v>
      </c>
      <c r="N437" s="676"/>
      <c r="O437" s="24">
        <f t="shared" si="77"/>
        <v>0</v>
      </c>
      <c r="P437" s="676"/>
      <c r="Q437" s="24">
        <f t="shared" si="78"/>
        <v>1</v>
      </c>
      <c r="R437" s="672">
        <f t="shared" si="79"/>
        <v>0</v>
      </c>
      <c r="S437" s="322">
        <f t="shared" si="80"/>
        <v>0</v>
      </c>
    </row>
    <row r="438" spans="1:19">
      <c r="A438" s="155"/>
      <c r="B438" s="57"/>
      <c r="C438" s="24">
        <f t="shared" si="71"/>
        <v>1</v>
      </c>
      <c r="D438" s="676"/>
      <c r="E438" s="24">
        <f t="shared" si="72"/>
        <v>0</v>
      </c>
      <c r="F438" s="676"/>
      <c r="G438" s="24">
        <f t="shared" si="73"/>
        <v>0.1</v>
      </c>
      <c r="H438" s="676"/>
      <c r="I438" s="24">
        <f t="shared" si="74"/>
        <v>1</v>
      </c>
      <c r="J438" s="676"/>
      <c r="K438" s="24">
        <f t="shared" si="75"/>
        <v>1</v>
      </c>
      <c r="L438" s="676"/>
      <c r="M438" s="24">
        <f t="shared" si="76"/>
        <v>0</v>
      </c>
      <c r="N438" s="676"/>
      <c r="O438" s="24">
        <f t="shared" si="77"/>
        <v>0</v>
      </c>
      <c r="P438" s="676"/>
      <c r="Q438" s="24">
        <f t="shared" si="78"/>
        <v>1</v>
      </c>
      <c r="R438" s="672">
        <f t="shared" si="79"/>
        <v>0</v>
      </c>
      <c r="S438" s="322">
        <f t="shared" si="80"/>
        <v>0</v>
      </c>
    </row>
    <row r="439" spans="1:19">
      <c r="A439" s="155"/>
      <c r="B439" s="57"/>
      <c r="C439" s="24">
        <f t="shared" si="71"/>
        <v>1</v>
      </c>
      <c r="D439" s="676"/>
      <c r="E439" s="24">
        <f t="shared" si="72"/>
        <v>0</v>
      </c>
      <c r="F439" s="676"/>
      <c r="G439" s="24">
        <f t="shared" si="73"/>
        <v>0.1</v>
      </c>
      <c r="H439" s="676"/>
      <c r="I439" s="24">
        <f t="shared" si="74"/>
        <v>1</v>
      </c>
      <c r="J439" s="676"/>
      <c r="K439" s="24">
        <f t="shared" si="75"/>
        <v>1</v>
      </c>
      <c r="L439" s="676"/>
      <c r="M439" s="24">
        <f t="shared" si="76"/>
        <v>0</v>
      </c>
      <c r="N439" s="676"/>
      <c r="O439" s="24">
        <f t="shared" si="77"/>
        <v>0</v>
      </c>
      <c r="P439" s="676"/>
      <c r="Q439" s="24">
        <f t="shared" si="78"/>
        <v>1</v>
      </c>
      <c r="R439" s="672">
        <f t="shared" si="79"/>
        <v>0</v>
      </c>
      <c r="S439" s="322">
        <f t="shared" si="80"/>
        <v>0</v>
      </c>
    </row>
    <row r="440" spans="1:19">
      <c r="A440" s="155"/>
      <c r="B440" s="57"/>
      <c r="C440" s="24">
        <f t="shared" si="71"/>
        <v>1</v>
      </c>
      <c r="D440" s="676"/>
      <c r="E440" s="24">
        <f t="shared" si="72"/>
        <v>0</v>
      </c>
      <c r="F440" s="676"/>
      <c r="G440" s="24">
        <f t="shared" si="73"/>
        <v>0.1</v>
      </c>
      <c r="H440" s="676"/>
      <c r="I440" s="24">
        <f t="shared" si="74"/>
        <v>1</v>
      </c>
      <c r="J440" s="676"/>
      <c r="K440" s="24">
        <f t="shared" si="75"/>
        <v>1</v>
      </c>
      <c r="L440" s="676"/>
      <c r="M440" s="24">
        <f t="shared" si="76"/>
        <v>0</v>
      </c>
      <c r="N440" s="676"/>
      <c r="O440" s="24">
        <f t="shared" si="77"/>
        <v>0</v>
      </c>
      <c r="P440" s="676"/>
      <c r="Q440" s="24">
        <f t="shared" si="78"/>
        <v>1</v>
      </c>
      <c r="R440" s="672">
        <f t="shared" si="79"/>
        <v>0</v>
      </c>
      <c r="S440" s="322">
        <f t="shared" si="80"/>
        <v>0</v>
      </c>
    </row>
    <row r="441" spans="1:19">
      <c r="A441" s="155"/>
      <c r="B441" s="57"/>
      <c r="C441" s="24">
        <f t="shared" si="71"/>
        <v>1</v>
      </c>
      <c r="D441" s="676"/>
      <c r="E441" s="24">
        <f t="shared" si="72"/>
        <v>0</v>
      </c>
      <c r="F441" s="676"/>
      <c r="G441" s="24">
        <f t="shared" si="73"/>
        <v>0.1</v>
      </c>
      <c r="H441" s="676"/>
      <c r="I441" s="24">
        <f t="shared" si="74"/>
        <v>1</v>
      </c>
      <c r="J441" s="676"/>
      <c r="K441" s="24">
        <f t="shared" si="75"/>
        <v>1</v>
      </c>
      <c r="L441" s="676"/>
      <c r="M441" s="24">
        <f t="shared" si="76"/>
        <v>0</v>
      </c>
      <c r="N441" s="676"/>
      <c r="O441" s="24">
        <f t="shared" si="77"/>
        <v>0</v>
      </c>
      <c r="P441" s="676"/>
      <c r="Q441" s="24">
        <f t="shared" si="78"/>
        <v>1</v>
      </c>
      <c r="R441" s="672">
        <f t="shared" si="79"/>
        <v>0</v>
      </c>
      <c r="S441" s="322">
        <f t="shared" si="80"/>
        <v>0</v>
      </c>
    </row>
    <row r="442" spans="1:19">
      <c r="A442" s="155"/>
      <c r="B442" s="57"/>
      <c r="C442" s="24">
        <f t="shared" si="71"/>
        <v>1</v>
      </c>
      <c r="D442" s="676"/>
      <c r="E442" s="24">
        <f t="shared" si="72"/>
        <v>0</v>
      </c>
      <c r="F442" s="676"/>
      <c r="G442" s="24">
        <f t="shared" si="73"/>
        <v>0.1</v>
      </c>
      <c r="H442" s="676"/>
      <c r="I442" s="24">
        <f t="shared" si="74"/>
        <v>1</v>
      </c>
      <c r="J442" s="676"/>
      <c r="K442" s="24">
        <f t="shared" si="75"/>
        <v>1</v>
      </c>
      <c r="L442" s="676"/>
      <c r="M442" s="24">
        <f t="shared" si="76"/>
        <v>0</v>
      </c>
      <c r="N442" s="676"/>
      <c r="O442" s="24">
        <f t="shared" si="77"/>
        <v>0</v>
      </c>
      <c r="P442" s="676"/>
      <c r="Q442" s="24">
        <f t="shared" si="78"/>
        <v>1</v>
      </c>
      <c r="R442" s="672">
        <f t="shared" si="79"/>
        <v>0</v>
      </c>
      <c r="S442" s="322">
        <f t="shared" si="80"/>
        <v>0</v>
      </c>
    </row>
    <row r="443" spans="1:19">
      <c r="A443" s="155"/>
      <c r="B443" s="57"/>
      <c r="C443" s="24">
        <f t="shared" si="71"/>
        <v>1</v>
      </c>
      <c r="D443" s="676"/>
      <c r="E443" s="24">
        <f t="shared" si="72"/>
        <v>0</v>
      </c>
      <c r="F443" s="676"/>
      <c r="G443" s="24">
        <f t="shared" si="73"/>
        <v>0.1</v>
      </c>
      <c r="H443" s="676"/>
      <c r="I443" s="24">
        <f t="shared" si="74"/>
        <v>1</v>
      </c>
      <c r="J443" s="676"/>
      <c r="K443" s="24">
        <f t="shared" si="75"/>
        <v>1</v>
      </c>
      <c r="L443" s="676"/>
      <c r="M443" s="24">
        <f t="shared" si="76"/>
        <v>0</v>
      </c>
      <c r="N443" s="676"/>
      <c r="O443" s="24">
        <f t="shared" si="77"/>
        <v>0</v>
      </c>
      <c r="P443" s="676"/>
      <c r="Q443" s="24">
        <f t="shared" si="78"/>
        <v>1</v>
      </c>
      <c r="R443" s="672">
        <f t="shared" si="79"/>
        <v>0</v>
      </c>
      <c r="S443" s="322">
        <f t="shared" si="80"/>
        <v>0</v>
      </c>
    </row>
    <row r="444" spans="1:19">
      <c r="A444" s="155"/>
      <c r="B444" s="57"/>
      <c r="C444" s="24">
        <f t="shared" si="71"/>
        <v>1</v>
      </c>
      <c r="D444" s="676"/>
      <c r="E444" s="24">
        <f t="shared" si="72"/>
        <v>0</v>
      </c>
      <c r="F444" s="676"/>
      <c r="G444" s="24">
        <f t="shared" si="73"/>
        <v>0.1</v>
      </c>
      <c r="H444" s="676"/>
      <c r="I444" s="24">
        <f t="shared" si="74"/>
        <v>1</v>
      </c>
      <c r="J444" s="676"/>
      <c r="K444" s="24">
        <f t="shared" si="75"/>
        <v>1</v>
      </c>
      <c r="L444" s="676"/>
      <c r="M444" s="24">
        <f t="shared" si="76"/>
        <v>0</v>
      </c>
      <c r="N444" s="676"/>
      <c r="O444" s="24">
        <f t="shared" si="77"/>
        <v>0</v>
      </c>
      <c r="P444" s="676"/>
      <c r="Q444" s="24">
        <f t="shared" si="78"/>
        <v>1</v>
      </c>
      <c r="R444" s="672">
        <f t="shared" si="79"/>
        <v>0</v>
      </c>
      <c r="S444" s="322">
        <f t="shared" si="80"/>
        <v>0</v>
      </c>
    </row>
    <row r="445" spans="1:19">
      <c r="A445" s="155"/>
      <c r="B445" s="57"/>
      <c r="C445" s="24">
        <f t="shared" si="71"/>
        <v>1</v>
      </c>
      <c r="D445" s="676"/>
      <c r="E445" s="24">
        <f t="shared" si="72"/>
        <v>0</v>
      </c>
      <c r="F445" s="676"/>
      <c r="G445" s="24">
        <f t="shared" si="73"/>
        <v>0.1</v>
      </c>
      <c r="H445" s="676"/>
      <c r="I445" s="24">
        <f t="shared" si="74"/>
        <v>1</v>
      </c>
      <c r="J445" s="676"/>
      <c r="K445" s="24">
        <f t="shared" si="75"/>
        <v>1</v>
      </c>
      <c r="L445" s="676"/>
      <c r="M445" s="24">
        <f t="shared" si="76"/>
        <v>0</v>
      </c>
      <c r="N445" s="676"/>
      <c r="O445" s="24">
        <f t="shared" si="77"/>
        <v>0</v>
      </c>
      <c r="P445" s="676"/>
      <c r="Q445" s="24">
        <f t="shared" si="78"/>
        <v>1</v>
      </c>
      <c r="R445" s="672">
        <f t="shared" si="79"/>
        <v>0</v>
      </c>
      <c r="S445" s="322">
        <f t="shared" si="80"/>
        <v>0</v>
      </c>
    </row>
    <row r="446" spans="1:19">
      <c r="A446" s="155"/>
      <c r="B446" s="57"/>
      <c r="C446" s="24">
        <f t="shared" si="71"/>
        <v>1</v>
      </c>
      <c r="D446" s="676"/>
      <c r="E446" s="24">
        <f t="shared" si="72"/>
        <v>0</v>
      </c>
      <c r="F446" s="676"/>
      <c r="G446" s="24">
        <f t="shared" si="73"/>
        <v>0.1</v>
      </c>
      <c r="H446" s="676"/>
      <c r="I446" s="24">
        <f t="shared" si="74"/>
        <v>1</v>
      </c>
      <c r="J446" s="676"/>
      <c r="K446" s="24">
        <f t="shared" si="75"/>
        <v>1</v>
      </c>
      <c r="L446" s="676"/>
      <c r="M446" s="24">
        <f t="shared" si="76"/>
        <v>0</v>
      </c>
      <c r="N446" s="676"/>
      <c r="O446" s="24">
        <f t="shared" si="77"/>
        <v>0</v>
      </c>
      <c r="P446" s="676"/>
      <c r="Q446" s="24">
        <f t="shared" si="78"/>
        <v>1</v>
      </c>
      <c r="R446" s="672">
        <f t="shared" si="79"/>
        <v>0</v>
      </c>
      <c r="S446" s="322">
        <f t="shared" si="80"/>
        <v>0</v>
      </c>
    </row>
    <row r="447" spans="1:19">
      <c r="A447" s="155"/>
      <c r="B447" s="57"/>
      <c r="C447" s="24">
        <f t="shared" si="71"/>
        <v>1</v>
      </c>
      <c r="D447" s="676"/>
      <c r="E447" s="24">
        <f t="shared" si="72"/>
        <v>0</v>
      </c>
      <c r="F447" s="676"/>
      <c r="G447" s="24">
        <f t="shared" si="73"/>
        <v>0.1</v>
      </c>
      <c r="H447" s="676"/>
      <c r="I447" s="24">
        <f t="shared" si="74"/>
        <v>1</v>
      </c>
      <c r="J447" s="676"/>
      <c r="K447" s="24">
        <f t="shared" si="75"/>
        <v>1</v>
      </c>
      <c r="L447" s="676"/>
      <c r="M447" s="24">
        <f t="shared" si="76"/>
        <v>0</v>
      </c>
      <c r="N447" s="676"/>
      <c r="O447" s="24">
        <f t="shared" si="77"/>
        <v>0</v>
      </c>
      <c r="P447" s="676"/>
      <c r="Q447" s="24">
        <f t="shared" si="78"/>
        <v>1</v>
      </c>
      <c r="R447" s="672">
        <f t="shared" si="79"/>
        <v>0</v>
      </c>
      <c r="S447" s="322">
        <f t="shared" si="80"/>
        <v>0</v>
      </c>
    </row>
    <row r="448" spans="1:19">
      <c r="A448" s="155"/>
      <c r="B448" s="57"/>
      <c r="C448" s="24">
        <f t="shared" si="71"/>
        <v>1</v>
      </c>
      <c r="D448" s="676"/>
      <c r="E448" s="24">
        <f t="shared" si="72"/>
        <v>0</v>
      </c>
      <c r="F448" s="676"/>
      <c r="G448" s="24">
        <f t="shared" si="73"/>
        <v>0.1</v>
      </c>
      <c r="H448" s="676"/>
      <c r="I448" s="24">
        <f t="shared" si="74"/>
        <v>1</v>
      </c>
      <c r="J448" s="676"/>
      <c r="K448" s="24">
        <f t="shared" si="75"/>
        <v>1</v>
      </c>
      <c r="L448" s="676"/>
      <c r="M448" s="24">
        <f t="shared" si="76"/>
        <v>0</v>
      </c>
      <c r="N448" s="676"/>
      <c r="O448" s="24">
        <f t="shared" si="77"/>
        <v>0</v>
      </c>
      <c r="P448" s="676"/>
      <c r="Q448" s="24">
        <f t="shared" si="78"/>
        <v>1</v>
      </c>
      <c r="R448" s="672">
        <f t="shared" si="79"/>
        <v>0</v>
      </c>
      <c r="S448" s="322">
        <f t="shared" si="80"/>
        <v>0</v>
      </c>
    </row>
    <row r="449" spans="1:19">
      <c r="A449" s="155"/>
      <c r="B449" s="57"/>
      <c r="C449" s="24">
        <f t="shared" si="71"/>
        <v>1</v>
      </c>
      <c r="D449" s="676"/>
      <c r="E449" s="24">
        <f t="shared" si="72"/>
        <v>0</v>
      </c>
      <c r="F449" s="676"/>
      <c r="G449" s="24">
        <f t="shared" si="73"/>
        <v>0.1</v>
      </c>
      <c r="H449" s="676"/>
      <c r="I449" s="24">
        <f t="shared" si="74"/>
        <v>1</v>
      </c>
      <c r="J449" s="676"/>
      <c r="K449" s="24">
        <f t="shared" si="75"/>
        <v>1</v>
      </c>
      <c r="L449" s="676"/>
      <c r="M449" s="24">
        <f t="shared" si="76"/>
        <v>0</v>
      </c>
      <c r="N449" s="676"/>
      <c r="O449" s="24">
        <f t="shared" si="77"/>
        <v>0</v>
      </c>
      <c r="P449" s="676"/>
      <c r="Q449" s="24">
        <f t="shared" si="78"/>
        <v>1</v>
      </c>
      <c r="R449" s="672">
        <f t="shared" si="79"/>
        <v>0</v>
      </c>
      <c r="S449" s="322">
        <f t="shared" si="80"/>
        <v>0</v>
      </c>
    </row>
    <row r="450" spans="1:19">
      <c r="A450" s="155"/>
      <c r="B450" s="57"/>
      <c r="C450" s="24">
        <f t="shared" si="71"/>
        <v>1</v>
      </c>
      <c r="D450" s="676"/>
      <c r="E450" s="24">
        <f t="shared" si="72"/>
        <v>0</v>
      </c>
      <c r="F450" s="676"/>
      <c r="G450" s="24">
        <f t="shared" si="73"/>
        <v>0.1</v>
      </c>
      <c r="H450" s="676"/>
      <c r="I450" s="24">
        <f t="shared" si="74"/>
        <v>1</v>
      </c>
      <c r="J450" s="676"/>
      <c r="K450" s="24">
        <f t="shared" si="75"/>
        <v>1</v>
      </c>
      <c r="L450" s="676"/>
      <c r="M450" s="24">
        <f t="shared" si="76"/>
        <v>0</v>
      </c>
      <c r="N450" s="676"/>
      <c r="O450" s="24">
        <f t="shared" si="77"/>
        <v>0</v>
      </c>
      <c r="P450" s="676"/>
      <c r="Q450" s="24">
        <f t="shared" si="78"/>
        <v>1</v>
      </c>
      <c r="R450" s="672">
        <f t="shared" si="79"/>
        <v>0</v>
      </c>
      <c r="S450" s="322">
        <f t="shared" si="80"/>
        <v>0</v>
      </c>
    </row>
    <row r="451" spans="1:19">
      <c r="A451" s="155"/>
      <c r="B451" s="57"/>
      <c r="C451" s="24">
        <f t="shared" si="71"/>
        <v>1</v>
      </c>
      <c r="D451" s="676"/>
      <c r="E451" s="24">
        <f t="shared" si="72"/>
        <v>0</v>
      </c>
      <c r="F451" s="676"/>
      <c r="G451" s="24">
        <f t="shared" si="73"/>
        <v>0.1</v>
      </c>
      <c r="H451" s="676"/>
      <c r="I451" s="24">
        <f t="shared" si="74"/>
        <v>1</v>
      </c>
      <c r="J451" s="676"/>
      <c r="K451" s="24">
        <f t="shared" si="75"/>
        <v>1</v>
      </c>
      <c r="L451" s="676"/>
      <c r="M451" s="24">
        <f t="shared" si="76"/>
        <v>0</v>
      </c>
      <c r="N451" s="676"/>
      <c r="O451" s="24">
        <f t="shared" si="77"/>
        <v>0</v>
      </c>
      <c r="P451" s="676"/>
      <c r="Q451" s="24">
        <f t="shared" si="78"/>
        <v>1</v>
      </c>
      <c r="R451" s="672">
        <f t="shared" si="79"/>
        <v>0</v>
      </c>
      <c r="S451" s="322">
        <f t="shared" si="80"/>
        <v>0</v>
      </c>
    </row>
    <row r="452" spans="1:19">
      <c r="A452" s="155"/>
      <c r="B452" s="57"/>
      <c r="C452" s="24">
        <f t="shared" si="71"/>
        <v>1</v>
      </c>
      <c r="D452" s="676"/>
      <c r="E452" s="24">
        <f t="shared" si="72"/>
        <v>0</v>
      </c>
      <c r="F452" s="676"/>
      <c r="G452" s="24">
        <f t="shared" si="73"/>
        <v>0.1</v>
      </c>
      <c r="H452" s="676"/>
      <c r="I452" s="24">
        <f t="shared" si="74"/>
        <v>1</v>
      </c>
      <c r="J452" s="676"/>
      <c r="K452" s="24">
        <f t="shared" si="75"/>
        <v>1</v>
      </c>
      <c r="L452" s="676"/>
      <c r="M452" s="24">
        <f t="shared" si="76"/>
        <v>0</v>
      </c>
      <c r="N452" s="676"/>
      <c r="O452" s="24">
        <f t="shared" si="77"/>
        <v>0</v>
      </c>
      <c r="P452" s="676"/>
      <c r="Q452" s="24">
        <f t="shared" si="78"/>
        <v>1</v>
      </c>
      <c r="R452" s="672">
        <f t="shared" si="79"/>
        <v>0</v>
      </c>
      <c r="S452" s="322">
        <f t="shared" si="80"/>
        <v>0</v>
      </c>
    </row>
    <row r="453" spans="1:19">
      <c r="A453" s="155"/>
      <c r="B453" s="57"/>
      <c r="C453" s="24">
        <f t="shared" si="71"/>
        <v>1</v>
      </c>
      <c r="D453" s="676"/>
      <c r="E453" s="24">
        <f t="shared" si="72"/>
        <v>0</v>
      </c>
      <c r="F453" s="676"/>
      <c r="G453" s="24">
        <f t="shared" si="73"/>
        <v>0.1</v>
      </c>
      <c r="H453" s="676"/>
      <c r="I453" s="24">
        <f t="shared" si="74"/>
        <v>1</v>
      </c>
      <c r="J453" s="676"/>
      <c r="K453" s="24">
        <f t="shared" si="75"/>
        <v>1</v>
      </c>
      <c r="L453" s="676"/>
      <c r="M453" s="24">
        <f t="shared" si="76"/>
        <v>0</v>
      </c>
      <c r="N453" s="676"/>
      <c r="O453" s="24">
        <f t="shared" si="77"/>
        <v>0</v>
      </c>
      <c r="P453" s="676"/>
      <c r="Q453" s="24">
        <f t="shared" si="78"/>
        <v>1</v>
      </c>
      <c r="R453" s="672">
        <f t="shared" si="79"/>
        <v>0</v>
      </c>
      <c r="S453" s="322">
        <f t="shared" si="80"/>
        <v>0</v>
      </c>
    </row>
    <row r="454" spans="1:19">
      <c r="A454" s="155"/>
      <c r="B454" s="57"/>
      <c r="C454" s="24">
        <f t="shared" si="71"/>
        <v>1</v>
      </c>
      <c r="D454" s="676"/>
      <c r="E454" s="24">
        <f t="shared" si="72"/>
        <v>0</v>
      </c>
      <c r="F454" s="676"/>
      <c r="G454" s="24">
        <f t="shared" si="73"/>
        <v>0.1</v>
      </c>
      <c r="H454" s="676"/>
      <c r="I454" s="24">
        <f t="shared" si="74"/>
        <v>1</v>
      </c>
      <c r="J454" s="676"/>
      <c r="K454" s="24">
        <f t="shared" si="75"/>
        <v>1</v>
      </c>
      <c r="L454" s="676"/>
      <c r="M454" s="24">
        <f t="shared" si="76"/>
        <v>0</v>
      </c>
      <c r="N454" s="676"/>
      <c r="O454" s="24">
        <f t="shared" si="77"/>
        <v>0</v>
      </c>
      <c r="P454" s="676"/>
      <c r="Q454" s="24">
        <f t="shared" si="78"/>
        <v>1</v>
      </c>
      <c r="R454" s="672">
        <f t="shared" si="79"/>
        <v>0</v>
      </c>
      <c r="S454" s="322">
        <f t="shared" si="80"/>
        <v>0</v>
      </c>
    </row>
    <row r="455" spans="1:19">
      <c r="A455" s="155"/>
      <c r="B455" s="57"/>
      <c r="C455" s="24">
        <f t="shared" si="71"/>
        <v>1</v>
      </c>
      <c r="D455" s="676"/>
      <c r="E455" s="24">
        <f t="shared" si="72"/>
        <v>0</v>
      </c>
      <c r="F455" s="676"/>
      <c r="G455" s="24">
        <f t="shared" si="73"/>
        <v>0.1</v>
      </c>
      <c r="H455" s="676"/>
      <c r="I455" s="24">
        <f t="shared" si="74"/>
        <v>1</v>
      </c>
      <c r="J455" s="676"/>
      <c r="K455" s="24">
        <f t="shared" si="75"/>
        <v>1</v>
      </c>
      <c r="L455" s="676"/>
      <c r="M455" s="24">
        <f t="shared" si="76"/>
        <v>0</v>
      </c>
      <c r="N455" s="676"/>
      <c r="O455" s="24">
        <f t="shared" si="77"/>
        <v>0</v>
      </c>
      <c r="P455" s="676"/>
      <c r="Q455" s="24">
        <f t="shared" si="78"/>
        <v>1</v>
      </c>
      <c r="R455" s="672">
        <f t="shared" si="79"/>
        <v>0</v>
      </c>
      <c r="S455" s="322">
        <f t="shared" si="80"/>
        <v>0</v>
      </c>
    </row>
    <row r="456" spans="1:19">
      <c r="A456" s="155"/>
      <c r="B456" s="57"/>
      <c r="C456" s="24">
        <f t="shared" si="71"/>
        <v>1</v>
      </c>
      <c r="D456" s="676"/>
      <c r="E456" s="24">
        <f t="shared" si="72"/>
        <v>0</v>
      </c>
      <c r="F456" s="676"/>
      <c r="G456" s="24">
        <f t="shared" si="73"/>
        <v>0.1</v>
      </c>
      <c r="H456" s="676"/>
      <c r="I456" s="24">
        <f t="shared" si="74"/>
        <v>1</v>
      </c>
      <c r="J456" s="676"/>
      <c r="K456" s="24">
        <f t="shared" si="75"/>
        <v>1</v>
      </c>
      <c r="L456" s="676"/>
      <c r="M456" s="24">
        <f t="shared" si="76"/>
        <v>0</v>
      </c>
      <c r="N456" s="676"/>
      <c r="O456" s="24">
        <f t="shared" si="77"/>
        <v>0</v>
      </c>
      <c r="P456" s="676"/>
      <c r="Q456" s="24">
        <f t="shared" si="78"/>
        <v>1</v>
      </c>
      <c r="R456" s="672">
        <f t="shared" si="79"/>
        <v>0</v>
      </c>
      <c r="S456" s="322">
        <f t="shared" si="80"/>
        <v>0</v>
      </c>
    </row>
    <row r="457" spans="1:19">
      <c r="A457" s="155"/>
      <c r="B457" s="57"/>
      <c r="C457" s="24">
        <f t="shared" si="71"/>
        <v>1</v>
      </c>
      <c r="D457" s="676"/>
      <c r="E457" s="24">
        <f t="shared" si="72"/>
        <v>0</v>
      </c>
      <c r="F457" s="676"/>
      <c r="G457" s="24">
        <f t="shared" si="73"/>
        <v>0.1</v>
      </c>
      <c r="H457" s="676"/>
      <c r="I457" s="24">
        <f t="shared" si="74"/>
        <v>1</v>
      </c>
      <c r="J457" s="676"/>
      <c r="K457" s="24">
        <f t="shared" si="75"/>
        <v>1</v>
      </c>
      <c r="L457" s="676"/>
      <c r="M457" s="24">
        <f t="shared" si="76"/>
        <v>0</v>
      </c>
      <c r="N457" s="676"/>
      <c r="O457" s="24">
        <f t="shared" si="77"/>
        <v>0</v>
      </c>
      <c r="P457" s="676"/>
      <c r="Q457" s="24">
        <f t="shared" si="78"/>
        <v>1</v>
      </c>
      <c r="R457" s="672">
        <f t="shared" si="79"/>
        <v>0</v>
      </c>
      <c r="S457" s="322">
        <f t="shared" si="80"/>
        <v>0</v>
      </c>
    </row>
    <row r="458" spans="1:19">
      <c r="A458" s="155"/>
      <c r="B458" s="57"/>
      <c r="C458" s="24">
        <f t="shared" si="71"/>
        <v>1</v>
      </c>
      <c r="D458" s="676"/>
      <c r="E458" s="24">
        <f t="shared" si="72"/>
        <v>0</v>
      </c>
      <c r="F458" s="676"/>
      <c r="G458" s="24">
        <f t="shared" si="73"/>
        <v>0.1</v>
      </c>
      <c r="H458" s="676"/>
      <c r="I458" s="24">
        <f t="shared" si="74"/>
        <v>1</v>
      </c>
      <c r="J458" s="676"/>
      <c r="K458" s="24">
        <f t="shared" si="75"/>
        <v>1</v>
      </c>
      <c r="L458" s="676"/>
      <c r="M458" s="24">
        <f t="shared" si="76"/>
        <v>0</v>
      </c>
      <c r="N458" s="676"/>
      <c r="O458" s="24">
        <f t="shared" si="77"/>
        <v>0</v>
      </c>
      <c r="P458" s="676"/>
      <c r="Q458" s="24">
        <f t="shared" si="78"/>
        <v>1</v>
      </c>
      <c r="R458" s="672">
        <f t="shared" si="79"/>
        <v>0</v>
      </c>
      <c r="S458" s="322">
        <f t="shared" si="80"/>
        <v>0</v>
      </c>
    </row>
    <row r="459" spans="1:19">
      <c r="A459" s="155"/>
      <c r="B459" s="57"/>
      <c r="C459" s="24">
        <f t="shared" si="71"/>
        <v>1</v>
      </c>
      <c r="D459" s="676"/>
      <c r="E459" s="24">
        <f t="shared" si="72"/>
        <v>0</v>
      </c>
      <c r="F459" s="676"/>
      <c r="G459" s="24">
        <f t="shared" si="73"/>
        <v>0.1</v>
      </c>
      <c r="H459" s="676"/>
      <c r="I459" s="24">
        <f t="shared" si="74"/>
        <v>1</v>
      </c>
      <c r="J459" s="676"/>
      <c r="K459" s="24">
        <f t="shared" si="75"/>
        <v>1</v>
      </c>
      <c r="L459" s="676"/>
      <c r="M459" s="24">
        <f t="shared" si="76"/>
        <v>0</v>
      </c>
      <c r="N459" s="676"/>
      <c r="O459" s="24">
        <f t="shared" si="77"/>
        <v>0</v>
      </c>
      <c r="P459" s="676"/>
      <c r="Q459" s="24">
        <f t="shared" si="78"/>
        <v>1</v>
      </c>
      <c r="R459" s="672">
        <f t="shared" si="79"/>
        <v>0</v>
      </c>
      <c r="S459" s="322">
        <f t="shared" si="80"/>
        <v>0</v>
      </c>
    </row>
    <row r="460" spans="1:19">
      <c r="A460" s="155"/>
      <c r="B460" s="57"/>
      <c r="C460" s="24">
        <f t="shared" si="71"/>
        <v>1</v>
      </c>
      <c r="D460" s="676"/>
      <c r="E460" s="24">
        <f t="shared" si="72"/>
        <v>0</v>
      </c>
      <c r="F460" s="676"/>
      <c r="G460" s="24">
        <f t="shared" si="73"/>
        <v>0.1</v>
      </c>
      <c r="H460" s="676"/>
      <c r="I460" s="24">
        <f t="shared" si="74"/>
        <v>1</v>
      </c>
      <c r="J460" s="676"/>
      <c r="K460" s="24">
        <f t="shared" si="75"/>
        <v>1</v>
      </c>
      <c r="L460" s="676"/>
      <c r="M460" s="24">
        <f t="shared" si="76"/>
        <v>0</v>
      </c>
      <c r="N460" s="676"/>
      <c r="O460" s="24">
        <f t="shared" si="77"/>
        <v>0</v>
      </c>
      <c r="P460" s="676"/>
      <c r="Q460" s="24">
        <f t="shared" si="78"/>
        <v>1</v>
      </c>
      <c r="R460" s="672">
        <f t="shared" si="79"/>
        <v>0</v>
      </c>
      <c r="S460" s="322">
        <f t="shared" si="80"/>
        <v>0</v>
      </c>
    </row>
    <row r="461" spans="1:19">
      <c r="A461" s="155"/>
      <c r="B461" s="57"/>
      <c r="C461" s="24">
        <f t="shared" si="71"/>
        <v>1</v>
      </c>
      <c r="D461" s="676"/>
      <c r="E461" s="24">
        <f t="shared" si="72"/>
        <v>0</v>
      </c>
      <c r="F461" s="676"/>
      <c r="G461" s="24">
        <f t="shared" si="73"/>
        <v>0.1</v>
      </c>
      <c r="H461" s="676"/>
      <c r="I461" s="24">
        <f t="shared" si="74"/>
        <v>1</v>
      </c>
      <c r="J461" s="676"/>
      <c r="K461" s="24">
        <f t="shared" si="75"/>
        <v>1</v>
      </c>
      <c r="L461" s="676"/>
      <c r="M461" s="24">
        <f t="shared" si="76"/>
        <v>0</v>
      </c>
      <c r="N461" s="676"/>
      <c r="O461" s="24">
        <f t="shared" si="77"/>
        <v>0</v>
      </c>
      <c r="P461" s="676"/>
      <c r="Q461" s="24">
        <f t="shared" si="78"/>
        <v>1</v>
      </c>
      <c r="R461" s="672">
        <f t="shared" si="79"/>
        <v>0</v>
      </c>
      <c r="S461" s="322">
        <f t="shared" si="80"/>
        <v>0</v>
      </c>
    </row>
    <row r="462" spans="1:19">
      <c r="A462" s="155"/>
      <c r="B462" s="57"/>
      <c r="C462" s="24">
        <f t="shared" si="71"/>
        <v>1</v>
      </c>
      <c r="D462" s="676"/>
      <c r="E462" s="24">
        <f t="shared" si="72"/>
        <v>0</v>
      </c>
      <c r="F462" s="676"/>
      <c r="G462" s="24">
        <f t="shared" si="73"/>
        <v>0.1</v>
      </c>
      <c r="H462" s="676"/>
      <c r="I462" s="24">
        <f t="shared" si="74"/>
        <v>1</v>
      </c>
      <c r="J462" s="676"/>
      <c r="K462" s="24">
        <f t="shared" si="75"/>
        <v>1</v>
      </c>
      <c r="L462" s="676"/>
      <c r="M462" s="24">
        <f t="shared" si="76"/>
        <v>0</v>
      </c>
      <c r="N462" s="676"/>
      <c r="O462" s="24">
        <f t="shared" si="77"/>
        <v>0</v>
      </c>
      <c r="P462" s="676"/>
      <c r="Q462" s="24">
        <f t="shared" si="78"/>
        <v>1</v>
      </c>
      <c r="R462" s="672">
        <f t="shared" si="79"/>
        <v>0</v>
      </c>
      <c r="S462" s="322">
        <f t="shared" si="80"/>
        <v>0</v>
      </c>
    </row>
    <row r="463" spans="1:19">
      <c r="A463" s="155"/>
      <c r="B463" s="57"/>
      <c r="C463" s="24">
        <f t="shared" si="71"/>
        <v>1</v>
      </c>
      <c r="D463" s="676"/>
      <c r="E463" s="24">
        <f t="shared" si="72"/>
        <v>0</v>
      </c>
      <c r="F463" s="676"/>
      <c r="G463" s="24">
        <f t="shared" si="73"/>
        <v>0.1</v>
      </c>
      <c r="H463" s="676"/>
      <c r="I463" s="24">
        <f t="shared" si="74"/>
        <v>1</v>
      </c>
      <c r="J463" s="676"/>
      <c r="K463" s="24">
        <f t="shared" si="75"/>
        <v>1</v>
      </c>
      <c r="L463" s="676"/>
      <c r="M463" s="24">
        <f t="shared" si="76"/>
        <v>0</v>
      </c>
      <c r="N463" s="676"/>
      <c r="O463" s="24">
        <f t="shared" si="77"/>
        <v>0</v>
      </c>
      <c r="P463" s="676"/>
      <c r="Q463" s="24">
        <f t="shared" si="78"/>
        <v>1</v>
      </c>
      <c r="R463" s="672">
        <f t="shared" si="79"/>
        <v>0</v>
      </c>
      <c r="S463" s="322">
        <f t="shared" si="80"/>
        <v>0</v>
      </c>
    </row>
    <row r="464" spans="1:19">
      <c r="A464" s="155"/>
      <c r="B464" s="57"/>
      <c r="C464" s="24">
        <f t="shared" si="71"/>
        <v>1</v>
      </c>
      <c r="D464" s="676"/>
      <c r="E464" s="24">
        <f t="shared" si="72"/>
        <v>0</v>
      </c>
      <c r="F464" s="676"/>
      <c r="G464" s="24">
        <f t="shared" si="73"/>
        <v>0.1</v>
      </c>
      <c r="H464" s="676"/>
      <c r="I464" s="24">
        <f t="shared" si="74"/>
        <v>1</v>
      </c>
      <c r="J464" s="676"/>
      <c r="K464" s="24">
        <f t="shared" si="75"/>
        <v>1</v>
      </c>
      <c r="L464" s="676"/>
      <c r="M464" s="24">
        <f t="shared" si="76"/>
        <v>0</v>
      </c>
      <c r="N464" s="676"/>
      <c r="O464" s="24">
        <f t="shared" si="77"/>
        <v>0</v>
      </c>
      <c r="P464" s="676"/>
      <c r="Q464" s="24">
        <f t="shared" si="78"/>
        <v>1</v>
      </c>
      <c r="R464" s="672">
        <f t="shared" si="79"/>
        <v>0</v>
      </c>
      <c r="S464" s="322">
        <f t="shared" si="80"/>
        <v>0</v>
      </c>
    </row>
    <row r="465" spans="1:19">
      <c r="A465" s="155"/>
      <c r="B465" s="57"/>
      <c r="C465" s="24">
        <f t="shared" si="71"/>
        <v>1</v>
      </c>
      <c r="D465" s="676"/>
      <c r="E465" s="24">
        <f t="shared" si="72"/>
        <v>0</v>
      </c>
      <c r="F465" s="676"/>
      <c r="G465" s="24">
        <f t="shared" si="73"/>
        <v>0.1</v>
      </c>
      <c r="H465" s="676"/>
      <c r="I465" s="24">
        <f t="shared" si="74"/>
        <v>1</v>
      </c>
      <c r="J465" s="676"/>
      <c r="K465" s="24">
        <f t="shared" si="75"/>
        <v>1</v>
      </c>
      <c r="L465" s="676"/>
      <c r="M465" s="24">
        <f t="shared" si="76"/>
        <v>0</v>
      </c>
      <c r="N465" s="676"/>
      <c r="O465" s="24">
        <f t="shared" si="77"/>
        <v>0</v>
      </c>
      <c r="P465" s="676"/>
      <c r="Q465" s="24">
        <f t="shared" si="78"/>
        <v>1</v>
      </c>
      <c r="R465" s="672">
        <f t="shared" si="79"/>
        <v>0</v>
      </c>
      <c r="S465" s="322">
        <f t="shared" si="80"/>
        <v>0</v>
      </c>
    </row>
    <row r="466" spans="1:19">
      <c r="A466" s="155"/>
      <c r="B466" s="57"/>
      <c r="C466" s="24">
        <f t="shared" si="71"/>
        <v>1</v>
      </c>
      <c r="D466" s="676"/>
      <c r="E466" s="24">
        <f t="shared" si="72"/>
        <v>0</v>
      </c>
      <c r="F466" s="676"/>
      <c r="G466" s="24">
        <f t="shared" si="73"/>
        <v>0.1</v>
      </c>
      <c r="H466" s="676"/>
      <c r="I466" s="24">
        <f t="shared" si="74"/>
        <v>1</v>
      </c>
      <c r="J466" s="676"/>
      <c r="K466" s="24">
        <f t="shared" si="75"/>
        <v>1</v>
      </c>
      <c r="L466" s="676"/>
      <c r="M466" s="24">
        <f t="shared" si="76"/>
        <v>0</v>
      </c>
      <c r="N466" s="676"/>
      <c r="O466" s="24">
        <f t="shared" si="77"/>
        <v>0</v>
      </c>
      <c r="P466" s="676"/>
      <c r="Q466" s="24">
        <f t="shared" si="78"/>
        <v>1</v>
      </c>
      <c r="R466" s="672">
        <f t="shared" si="79"/>
        <v>0</v>
      </c>
      <c r="S466" s="322">
        <f t="shared" si="80"/>
        <v>0</v>
      </c>
    </row>
    <row r="467" spans="1:19">
      <c r="A467" s="155"/>
      <c r="B467" s="57"/>
      <c r="C467" s="24">
        <f t="shared" si="71"/>
        <v>1</v>
      </c>
      <c r="D467" s="676"/>
      <c r="E467" s="24">
        <f t="shared" si="72"/>
        <v>0</v>
      </c>
      <c r="F467" s="676"/>
      <c r="G467" s="24">
        <f t="shared" si="73"/>
        <v>0.1</v>
      </c>
      <c r="H467" s="676"/>
      <c r="I467" s="24">
        <f t="shared" si="74"/>
        <v>1</v>
      </c>
      <c r="J467" s="676"/>
      <c r="K467" s="24">
        <f t="shared" si="75"/>
        <v>1</v>
      </c>
      <c r="L467" s="676"/>
      <c r="M467" s="24">
        <f t="shared" si="76"/>
        <v>0</v>
      </c>
      <c r="N467" s="676"/>
      <c r="O467" s="24">
        <f t="shared" si="77"/>
        <v>0</v>
      </c>
      <c r="P467" s="676"/>
      <c r="Q467" s="24">
        <f t="shared" si="78"/>
        <v>1</v>
      </c>
      <c r="R467" s="672">
        <f t="shared" si="79"/>
        <v>0</v>
      </c>
      <c r="S467" s="322">
        <f t="shared" si="80"/>
        <v>0</v>
      </c>
    </row>
    <row r="468" spans="1:19">
      <c r="A468" s="155"/>
      <c r="B468" s="57"/>
      <c r="C468" s="24">
        <f t="shared" si="71"/>
        <v>1</v>
      </c>
      <c r="D468" s="676"/>
      <c r="E468" s="24">
        <f t="shared" si="72"/>
        <v>0</v>
      </c>
      <c r="F468" s="676"/>
      <c r="G468" s="24">
        <f t="shared" si="73"/>
        <v>0.1</v>
      </c>
      <c r="H468" s="676"/>
      <c r="I468" s="24">
        <f t="shared" si="74"/>
        <v>1</v>
      </c>
      <c r="J468" s="676"/>
      <c r="K468" s="24">
        <f t="shared" si="75"/>
        <v>1</v>
      </c>
      <c r="L468" s="676"/>
      <c r="M468" s="24">
        <f t="shared" si="76"/>
        <v>0</v>
      </c>
      <c r="N468" s="676"/>
      <c r="O468" s="24">
        <f t="shared" si="77"/>
        <v>0</v>
      </c>
      <c r="P468" s="676"/>
      <c r="Q468" s="24">
        <f t="shared" si="78"/>
        <v>1</v>
      </c>
      <c r="R468" s="672">
        <f t="shared" si="79"/>
        <v>0</v>
      </c>
      <c r="S468" s="322">
        <f t="shared" ref="S468:S497" si="81">ROUND(R468*B468/10000,0)</f>
        <v>0</v>
      </c>
    </row>
    <row r="469" spans="1:19">
      <c r="A469" s="155"/>
      <c r="B469" s="57"/>
      <c r="C469" s="24">
        <f t="shared" si="71"/>
        <v>1</v>
      </c>
      <c r="D469" s="676"/>
      <c r="E469" s="24">
        <f t="shared" si="72"/>
        <v>0</v>
      </c>
      <c r="F469" s="676"/>
      <c r="G469" s="24">
        <f t="shared" si="73"/>
        <v>0.1</v>
      </c>
      <c r="H469" s="676"/>
      <c r="I469" s="24">
        <f t="shared" si="74"/>
        <v>1</v>
      </c>
      <c r="J469" s="676"/>
      <c r="K469" s="24">
        <f t="shared" si="75"/>
        <v>1</v>
      </c>
      <c r="L469" s="676"/>
      <c r="M469" s="24">
        <f t="shared" si="76"/>
        <v>0</v>
      </c>
      <c r="N469" s="676"/>
      <c r="O469" s="24">
        <f t="shared" si="77"/>
        <v>0</v>
      </c>
      <c r="P469" s="676"/>
      <c r="Q469" s="24">
        <f t="shared" si="78"/>
        <v>1</v>
      </c>
      <c r="R469" s="672">
        <f t="shared" si="79"/>
        <v>0</v>
      </c>
      <c r="S469" s="322">
        <f t="shared" si="81"/>
        <v>0</v>
      </c>
    </row>
    <row r="470" spans="1:19">
      <c r="A470" s="155"/>
      <c r="B470" s="57"/>
      <c r="C470" s="24">
        <f t="shared" si="71"/>
        <v>1</v>
      </c>
      <c r="D470" s="676"/>
      <c r="E470" s="24">
        <f t="shared" si="72"/>
        <v>0</v>
      </c>
      <c r="F470" s="676"/>
      <c r="G470" s="24">
        <f t="shared" si="73"/>
        <v>0.1</v>
      </c>
      <c r="H470" s="676"/>
      <c r="I470" s="24">
        <f t="shared" si="74"/>
        <v>1</v>
      </c>
      <c r="J470" s="676"/>
      <c r="K470" s="24">
        <f t="shared" si="75"/>
        <v>1</v>
      </c>
      <c r="L470" s="676"/>
      <c r="M470" s="24">
        <f t="shared" si="76"/>
        <v>0</v>
      </c>
      <c r="N470" s="676"/>
      <c r="O470" s="24">
        <f t="shared" si="77"/>
        <v>0</v>
      </c>
      <c r="P470" s="676"/>
      <c r="Q470" s="24">
        <f t="shared" si="78"/>
        <v>1</v>
      </c>
      <c r="R470" s="672">
        <f t="shared" si="79"/>
        <v>0</v>
      </c>
      <c r="S470" s="322">
        <f t="shared" si="81"/>
        <v>0</v>
      </c>
    </row>
    <row r="471" spans="1:19">
      <c r="A471" s="155"/>
      <c r="B471" s="57"/>
      <c r="C471" s="24">
        <f t="shared" si="71"/>
        <v>1</v>
      </c>
      <c r="D471" s="676"/>
      <c r="E471" s="24">
        <f t="shared" si="72"/>
        <v>0</v>
      </c>
      <c r="F471" s="676"/>
      <c r="G471" s="24">
        <f t="shared" si="73"/>
        <v>0.1</v>
      </c>
      <c r="H471" s="676"/>
      <c r="I471" s="24">
        <f t="shared" si="74"/>
        <v>1</v>
      </c>
      <c r="J471" s="676"/>
      <c r="K471" s="24">
        <f t="shared" si="75"/>
        <v>1</v>
      </c>
      <c r="L471" s="676"/>
      <c r="M471" s="24">
        <f t="shared" si="76"/>
        <v>0</v>
      </c>
      <c r="N471" s="676"/>
      <c r="O471" s="24">
        <f t="shared" si="77"/>
        <v>0</v>
      </c>
      <c r="P471" s="676"/>
      <c r="Q471" s="24">
        <f t="shared" si="78"/>
        <v>1</v>
      </c>
      <c r="R471" s="672">
        <f t="shared" si="79"/>
        <v>0</v>
      </c>
      <c r="S471" s="322">
        <f t="shared" si="81"/>
        <v>0</v>
      </c>
    </row>
    <row r="472" spans="1:19">
      <c r="A472" s="155"/>
      <c r="B472" s="57"/>
      <c r="C472" s="24">
        <f t="shared" si="71"/>
        <v>1</v>
      </c>
      <c r="D472" s="676"/>
      <c r="E472" s="24">
        <f t="shared" si="72"/>
        <v>0</v>
      </c>
      <c r="F472" s="676"/>
      <c r="G472" s="24">
        <f t="shared" si="73"/>
        <v>0.1</v>
      </c>
      <c r="H472" s="676"/>
      <c r="I472" s="24">
        <f t="shared" si="74"/>
        <v>1</v>
      </c>
      <c r="J472" s="676"/>
      <c r="K472" s="24">
        <f t="shared" si="75"/>
        <v>1</v>
      </c>
      <c r="L472" s="676"/>
      <c r="M472" s="24">
        <f t="shared" si="76"/>
        <v>0</v>
      </c>
      <c r="N472" s="676"/>
      <c r="O472" s="24">
        <f t="shared" si="77"/>
        <v>0</v>
      </c>
      <c r="P472" s="676"/>
      <c r="Q472" s="24">
        <f t="shared" si="78"/>
        <v>1</v>
      </c>
      <c r="R472" s="672">
        <f t="shared" si="79"/>
        <v>0</v>
      </c>
      <c r="S472" s="322">
        <f t="shared" si="81"/>
        <v>0</v>
      </c>
    </row>
    <row r="473" spans="1:19">
      <c r="A473" s="155"/>
      <c r="B473" s="57"/>
      <c r="C473" s="24">
        <f t="shared" si="71"/>
        <v>1</v>
      </c>
      <c r="D473" s="676"/>
      <c r="E473" s="24">
        <f t="shared" si="72"/>
        <v>0</v>
      </c>
      <c r="F473" s="676"/>
      <c r="G473" s="24">
        <f t="shared" si="73"/>
        <v>0.1</v>
      </c>
      <c r="H473" s="676"/>
      <c r="I473" s="24">
        <f t="shared" si="74"/>
        <v>1</v>
      </c>
      <c r="J473" s="676"/>
      <c r="K473" s="24">
        <f t="shared" si="75"/>
        <v>1</v>
      </c>
      <c r="L473" s="676"/>
      <c r="M473" s="24">
        <f t="shared" si="76"/>
        <v>0</v>
      </c>
      <c r="N473" s="676"/>
      <c r="O473" s="24">
        <f t="shared" si="77"/>
        <v>0</v>
      </c>
      <c r="P473" s="676"/>
      <c r="Q473" s="24">
        <f t="shared" si="78"/>
        <v>1</v>
      </c>
      <c r="R473" s="672">
        <f t="shared" si="79"/>
        <v>0</v>
      </c>
      <c r="S473" s="322">
        <f t="shared" si="81"/>
        <v>0</v>
      </c>
    </row>
    <row r="474" spans="1:19">
      <c r="A474" s="155"/>
      <c r="B474" s="57"/>
      <c r="C474" s="24">
        <f t="shared" ref="C474:C524" si="82">IF(B474="",1,(LOOKUP(B474,$3:$3,$4:$4)-LOOKUP($B$24,$3:$3,$4:$4)+100)/100)</f>
        <v>1</v>
      </c>
      <c r="D474" s="676"/>
      <c r="E474" s="24">
        <f t="shared" ref="E474:E524" si="83">(SUMIF($5:$5,D474,$6:$6)-SUMIF($5:$5,$D$24,$6:$6)+100)/100</f>
        <v>0</v>
      </c>
      <c r="F474" s="676"/>
      <c r="G474" s="24">
        <f t="shared" ref="G474:G524" si="84">(SUMIF($7:$7,F474,$8:$8)-SUMIF($7:$7,$F$24,$8:$8)+100)/100</f>
        <v>0.1</v>
      </c>
      <c r="H474" s="676"/>
      <c r="I474" s="24">
        <f t="shared" ref="I474:I524" si="85">(SUMIF($9:$9,H474,$10:$10)-SUMIF($9:$9,$H$24,$10:$10)+100)/100</f>
        <v>1</v>
      </c>
      <c r="J474" s="676"/>
      <c r="K474" s="24">
        <f t="shared" ref="K474:K524" si="86">(SUMIF($11:$11,J474,$12:$12)-SUMIF($11:$11,$J$24,$12:$12)+100)/100</f>
        <v>1</v>
      </c>
      <c r="L474" s="676"/>
      <c r="M474" s="24">
        <f t="shared" ref="M474:M524" si="87">(SUMIF($13:$13,L474,$14:$14)-SUMIF($13:$13,$L$24,$14:$14)+100)/100</f>
        <v>0</v>
      </c>
      <c r="N474" s="676"/>
      <c r="O474" s="24">
        <f t="shared" ref="O474:O524" si="88">(SUMIF($15:$15,N474,$16:$16)-SUMIF($15:$15,$N$24,$16:$16)+100)/100</f>
        <v>0</v>
      </c>
      <c r="P474" s="676"/>
      <c r="Q474" s="24">
        <f t="shared" ref="Q474:Q524" si="89">(SUMIF($17:$17,P474,$18:$18)-SUMIF($17:$17,$P$24,$18:$18)+100)/100</f>
        <v>1</v>
      </c>
      <c r="R474" s="672">
        <f t="shared" ref="R474:R524" si="90">IF(B474="",0,ROUND($R$24*C474*E474*G474*I474*K474*M474*O474*Q474,0))</f>
        <v>0</v>
      </c>
      <c r="S474" s="322">
        <f t="shared" si="81"/>
        <v>0</v>
      </c>
    </row>
    <row r="475" spans="1:19">
      <c r="A475" s="155"/>
      <c r="B475" s="57"/>
      <c r="C475" s="24">
        <f t="shared" si="82"/>
        <v>1</v>
      </c>
      <c r="D475" s="676"/>
      <c r="E475" s="24">
        <f t="shared" si="83"/>
        <v>0</v>
      </c>
      <c r="F475" s="676"/>
      <c r="G475" s="24">
        <f t="shared" si="84"/>
        <v>0.1</v>
      </c>
      <c r="H475" s="676"/>
      <c r="I475" s="24">
        <f t="shared" si="85"/>
        <v>1</v>
      </c>
      <c r="J475" s="676"/>
      <c r="K475" s="24">
        <f t="shared" si="86"/>
        <v>1</v>
      </c>
      <c r="L475" s="676"/>
      <c r="M475" s="24">
        <f t="shared" si="87"/>
        <v>0</v>
      </c>
      <c r="N475" s="676"/>
      <c r="O475" s="24">
        <f t="shared" si="88"/>
        <v>0</v>
      </c>
      <c r="P475" s="676"/>
      <c r="Q475" s="24">
        <f t="shared" si="89"/>
        <v>1</v>
      </c>
      <c r="R475" s="672">
        <f t="shared" si="90"/>
        <v>0</v>
      </c>
      <c r="S475" s="322">
        <f t="shared" si="81"/>
        <v>0</v>
      </c>
    </row>
    <row r="476" spans="1:19">
      <c r="A476" s="155"/>
      <c r="B476" s="57"/>
      <c r="C476" s="24">
        <f t="shared" si="82"/>
        <v>1</v>
      </c>
      <c r="D476" s="676"/>
      <c r="E476" s="24">
        <f t="shared" si="83"/>
        <v>0</v>
      </c>
      <c r="F476" s="676"/>
      <c r="G476" s="24">
        <f t="shared" si="84"/>
        <v>0.1</v>
      </c>
      <c r="H476" s="676"/>
      <c r="I476" s="24">
        <f t="shared" si="85"/>
        <v>1</v>
      </c>
      <c r="J476" s="676"/>
      <c r="K476" s="24">
        <f t="shared" si="86"/>
        <v>1</v>
      </c>
      <c r="L476" s="676"/>
      <c r="M476" s="24">
        <f t="shared" si="87"/>
        <v>0</v>
      </c>
      <c r="N476" s="676"/>
      <c r="O476" s="24">
        <f t="shared" si="88"/>
        <v>0</v>
      </c>
      <c r="P476" s="676"/>
      <c r="Q476" s="24">
        <f t="shared" si="89"/>
        <v>1</v>
      </c>
      <c r="R476" s="672">
        <f t="shared" si="90"/>
        <v>0</v>
      </c>
      <c r="S476" s="322">
        <f t="shared" si="81"/>
        <v>0</v>
      </c>
    </row>
    <row r="477" spans="1:19">
      <c r="A477" s="155"/>
      <c r="B477" s="57"/>
      <c r="C477" s="24">
        <f t="shared" si="82"/>
        <v>1</v>
      </c>
      <c r="D477" s="676"/>
      <c r="E477" s="24">
        <f t="shared" si="83"/>
        <v>0</v>
      </c>
      <c r="F477" s="676"/>
      <c r="G477" s="24">
        <f t="shared" si="84"/>
        <v>0.1</v>
      </c>
      <c r="H477" s="676"/>
      <c r="I477" s="24">
        <f t="shared" si="85"/>
        <v>1</v>
      </c>
      <c r="J477" s="676"/>
      <c r="K477" s="24">
        <f t="shared" si="86"/>
        <v>1</v>
      </c>
      <c r="L477" s="676"/>
      <c r="M477" s="24">
        <f t="shared" si="87"/>
        <v>0</v>
      </c>
      <c r="N477" s="676"/>
      <c r="O477" s="24">
        <f t="shared" si="88"/>
        <v>0</v>
      </c>
      <c r="P477" s="676"/>
      <c r="Q477" s="24">
        <f t="shared" si="89"/>
        <v>1</v>
      </c>
      <c r="R477" s="672">
        <f t="shared" si="90"/>
        <v>0</v>
      </c>
      <c r="S477" s="322">
        <f t="shared" si="81"/>
        <v>0</v>
      </c>
    </row>
    <row r="478" spans="1:19">
      <c r="A478" s="155"/>
      <c r="B478" s="57"/>
      <c r="C478" s="24">
        <f t="shared" si="82"/>
        <v>1</v>
      </c>
      <c r="D478" s="676"/>
      <c r="E478" s="24">
        <f t="shared" si="83"/>
        <v>0</v>
      </c>
      <c r="F478" s="676"/>
      <c r="G478" s="24">
        <f t="shared" si="84"/>
        <v>0.1</v>
      </c>
      <c r="H478" s="676"/>
      <c r="I478" s="24">
        <f t="shared" si="85"/>
        <v>1</v>
      </c>
      <c r="J478" s="676"/>
      <c r="K478" s="24">
        <f t="shared" si="86"/>
        <v>1</v>
      </c>
      <c r="L478" s="676"/>
      <c r="M478" s="24">
        <f t="shared" si="87"/>
        <v>0</v>
      </c>
      <c r="N478" s="676"/>
      <c r="O478" s="24">
        <f t="shared" si="88"/>
        <v>0</v>
      </c>
      <c r="P478" s="676"/>
      <c r="Q478" s="24">
        <f t="shared" si="89"/>
        <v>1</v>
      </c>
      <c r="R478" s="672">
        <f t="shared" si="90"/>
        <v>0</v>
      </c>
      <c r="S478" s="322">
        <f t="shared" si="81"/>
        <v>0</v>
      </c>
    </row>
    <row r="479" spans="1:19">
      <c r="A479" s="155"/>
      <c r="B479" s="57"/>
      <c r="C479" s="24">
        <f t="shared" si="82"/>
        <v>1</v>
      </c>
      <c r="D479" s="676"/>
      <c r="E479" s="24">
        <f t="shared" si="83"/>
        <v>0</v>
      </c>
      <c r="F479" s="676"/>
      <c r="G479" s="24">
        <f t="shared" si="84"/>
        <v>0.1</v>
      </c>
      <c r="H479" s="676"/>
      <c r="I479" s="24">
        <f t="shared" si="85"/>
        <v>1</v>
      </c>
      <c r="J479" s="676"/>
      <c r="K479" s="24">
        <f t="shared" si="86"/>
        <v>1</v>
      </c>
      <c r="L479" s="676"/>
      <c r="M479" s="24">
        <f t="shared" si="87"/>
        <v>0</v>
      </c>
      <c r="N479" s="676"/>
      <c r="O479" s="24">
        <f t="shared" si="88"/>
        <v>0</v>
      </c>
      <c r="P479" s="676"/>
      <c r="Q479" s="24">
        <f t="shared" si="89"/>
        <v>1</v>
      </c>
      <c r="R479" s="672">
        <f t="shared" si="90"/>
        <v>0</v>
      </c>
      <c r="S479" s="322">
        <f t="shared" si="81"/>
        <v>0</v>
      </c>
    </row>
    <row r="480" spans="1:19">
      <c r="A480" s="155"/>
      <c r="B480" s="57"/>
      <c r="C480" s="24">
        <f t="shared" si="82"/>
        <v>1</v>
      </c>
      <c r="D480" s="676"/>
      <c r="E480" s="24">
        <f t="shared" si="83"/>
        <v>0</v>
      </c>
      <c r="F480" s="676"/>
      <c r="G480" s="24">
        <f t="shared" si="84"/>
        <v>0.1</v>
      </c>
      <c r="H480" s="676"/>
      <c r="I480" s="24">
        <f t="shared" si="85"/>
        <v>1</v>
      </c>
      <c r="J480" s="676"/>
      <c r="K480" s="24">
        <f t="shared" si="86"/>
        <v>1</v>
      </c>
      <c r="L480" s="676"/>
      <c r="M480" s="24">
        <f t="shared" si="87"/>
        <v>0</v>
      </c>
      <c r="N480" s="676"/>
      <c r="O480" s="24">
        <f t="shared" si="88"/>
        <v>0</v>
      </c>
      <c r="P480" s="676"/>
      <c r="Q480" s="24">
        <f t="shared" si="89"/>
        <v>1</v>
      </c>
      <c r="R480" s="672">
        <f t="shared" si="90"/>
        <v>0</v>
      </c>
      <c r="S480" s="322">
        <f t="shared" si="81"/>
        <v>0</v>
      </c>
    </row>
    <row r="481" spans="1:19">
      <c r="A481" s="155"/>
      <c r="B481" s="57"/>
      <c r="C481" s="24">
        <f t="shared" si="82"/>
        <v>1</v>
      </c>
      <c r="D481" s="676"/>
      <c r="E481" s="24">
        <f t="shared" si="83"/>
        <v>0</v>
      </c>
      <c r="F481" s="676"/>
      <c r="G481" s="24">
        <f t="shared" si="84"/>
        <v>0.1</v>
      </c>
      <c r="H481" s="676"/>
      <c r="I481" s="24">
        <f t="shared" si="85"/>
        <v>1</v>
      </c>
      <c r="J481" s="676"/>
      <c r="K481" s="24">
        <f t="shared" si="86"/>
        <v>1</v>
      </c>
      <c r="L481" s="676"/>
      <c r="M481" s="24">
        <f t="shared" si="87"/>
        <v>0</v>
      </c>
      <c r="N481" s="676"/>
      <c r="O481" s="24">
        <f t="shared" si="88"/>
        <v>0</v>
      </c>
      <c r="P481" s="676"/>
      <c r="Q481" s="24">
        <f t="shared" si="89"/>
        <v>1</v>
      </c>
      <c r="R481" s="672">
        <f t="shared" si="90"/>
        <v>0</v>
      </c>
      <c r="S481" s="322">
        <f t="shared" si="81"/>
        <v>0</v>
      </c>
    </row>
    <row r="482" spans="1:19">
      <c r="A482" s="155"/>
      <c r="B482" s="57"/>
      <c r="C482" s="24">
        <f t="shared" si="82"/>
        <v>1</v>
      </c>
      <c r="D482" s="676"/>
      <c r="E482" s="24">
        <f t="shared" si="83"/>
        <v>0</v>
      </c>
      <c r="F482" s="676"/>
      <c r="G482" s="24">
        <f t="shared" si="84"/>
        <v>0.1</v>
      </c>
      <c r="H482" s="676"/>
      <c r="I482" s="24">
        <f t="shared" si="85"/>
        <v>1</v>
      </c>
      <c r="J482" s="676"/>
      <c r="K482" s="24">
        <f t="shared" si="86"/>
        <v>1</v>
      </c>
      <c r="L482" s="676"/>
      <c r="M482" s="24">
        <f t="shared" si="87"/>
        <v>0</v>
      </c>
      <c r="N482" s="676"/>
      <c r="O482" s="24">
        <f t="shared" si="88"/>
        <v>0</v>
      </c>
      <c r="P482" s="676"/>
      <c r="Q482" s="24">
        <f t="shared" si="89"/>
        <v>1</v>
      </c>
      <c r="R482" s="672">
        <f t="shared" si="90"/>
        <v>0</v>
      </c>
      <c r="S482" s="322">
        <f t="shared" si="81"/>
        <v>0</v>
      </c>
    </row>
    <row r="483" spans="1:19">
      <c r="A483" s="155"/>
      <c r="B483" s="57"/>
      <c r="C483" s="24">
        <f t="shared" si="82"/>
        <v>1</v>
      </c>
      <c r="D483" s="676"/>
      <c r="E483" s="24">
        <f t="shared" si="83"/>
        <v>0</v>
      </c>
      <c r="F483" s="676"/>
      <c r="G483" s="24">
        <f t="shared" si="84"/>
        <v>0.1</v>
      </c>
      <c r="H483" s="676"/>
      <c r="I483" s="24">
        <f t="shared" si="85"/>
        <v>1</v>
      </c>
      <c r="J483" s="676"/>
      <c r="K483" s="24">
        <f t="shared" si="86"/>
        <v>1</v>
      </c>
      <c r="L483" s="676"/>
      <c r="M483" s="24">
        <f t="shared" si="87"/>
        <v>0</v>
      </c>
      <c r="N483" s="676"/>
      <c r="O483" s="24">
        <f t="shared" si="88"/>
        <v>0</v>
      </c>
      <c r="P483" s="676"/>
      <c r="Q483" s="24">
        <f t="shared" si="89"/>
        <v>1</v>
      </c>
      <c r="R483" s="672">
        <f t="shared" si="90"/>
        <v>0</v>
      </c>
      <c r="S483" s="322">
        <f t="shared" si="81"/>
        <v>0</v>
      </c>
    </row>
    <row r="484" spans="1:19">
      <c r="A484" s="155"/>
      <c r="B484" s="57"/>
      <c r="C484" s="24">
        <f t="shared" si="82"/>
        <v>1</v>
      </c>
      <c r="D484" s="676"/>
      <c r="E484" s="24">
        <f t="shared" si="83"/>
        <v>0</v>
      </c>
      <c r="F484" s="676"/>
      <c r="G484" s="24">
        <f t="shared" si="84"/>
        <v>0.1</v>
      </c>
      <c r="H484" s="676"/>
      <c r="I484" s="24">
        <f t="shared" si="85"/>
        <v>1</v>
      </c>
      <c r="J484" s="676"/>
      <c r="K484" s="24">
        <f t="shared" si="86"/>
        <v>1</v>
      </c>
      <c r="L484" s="676"/>
      <c r="M484" s="24">
        <f t="shared" si="87"/>
        <v>0</v>
      </c>
      <c r="N484" s="676"/>
      <c r="O484" s="24">
        <f t="shared" si="88"/>
        <v>0</v>
      </c>
      <c r="P484" s="676"/>
      <c r="Q484" s="24">
        <f t="shared" si="89"/>
        <v>1</v>
      </c>
      <c r="R484" s="672">
        <f t="shared" si="90"/>
        <v>0</v>
      </c>
      <c r="S484" s="322">
        <f t="shared" si="81"/>
        <v>0</v>
      </c>
    </row>
    <row r="485" spans="1:19">
      <c r="A485" s="155"/>
      <c r="B485" s="57"/>
      <c r="C485" s="24">
        <f t="shared" si="82"/>
        <v>1</v>
      </c>
      <c r="D485" s="676"/>
      <c r="E485" s="24">
        <f t="shared" si="83"/>
        <v>0</v>
      </c>
      <c r="F485" s="676"/>
      <c r="G485" s="24">
        <f t="shared" si="84"/>
        <v>0.1</v>
      </c>
      <c r="H485" s="676"/>
      <c r="I485" s="24">
        <f t="shared" si="85"/>
        <v>1</v>
      </c>
      <c r="J485" s="676"/>
      <c r="K485" s="24">
        <f t="shared" si="86"/>
        <v>1</v>
      </c>
      <c r="L485" s="676"/>
      <c r="M485" s="24">
        <f t="shared" si="87"/>
        <v>0</v>
      </c>
      <c r="N485" s="676"/>
      <c r="O485" s="24">
        <f t="shared" si="88"/>
        <v>0</v>
      </c>
      <c r="P485" s="676"/>
      <c r="Q485" s="24">
        <f t="shared" si="89"/>
        <v>1</v>
      </c>
      <c r="R485" s="672">
        <f t="shared" si="90"/>
        <v>0</v>
      </c>
      <c r="S485" s="322">
        <f t="shared" si="81"/>
        <v>0</v>
      </c>
    </row>
    <row r="486" spans="1:19">
      <c r="A486" s="155"/>
      <c r="B486" s="57"/>
      <c r="C486" s="24">
        <f t="shared" si="82"/>
        <v>1</v>
      </c>
      <c r="D486" s="676"/>
      <c r="E486" s="24">
        <f t="shared" si="83"/>
        <v>0</v>
      </c>
      <c r="F486" s="676"/>
      <c r="G486" s="24">
        <f t="shared" si="84"/>
        <v>0.1</v>
      </c>
      <c r="H486" s="676"/>
      <c r="I486" s="24">
        <f t="shared" si="85"/>
        <v>1</v>
      </c>
      <c r="J486" s="676"/>
      <c r="K486" s="24">
        <f t="shared" si="86"/>
        <v>1</v>
      </c>
      <c r="L486" s="676"/>
      <c r="M486" s="24">
        <f t="shared" si="87"/>
        <v>0</v>
      </c>
      <c r="N486" s="676"/>
      <c r="O486" s="24">
        <f t="shared" si="88"/>
        <v>0</v>
      </c>
      <c r="P486" s="676"/>
      <c r="Q486" s="24">
        <f t="shared" si="89"/>
        <v>1</v>
      </c>
      <c r="R486" s="672">
        <f t="shared" si="90"/>
        <v>0</v>
      </c>
      <c r="S486" s="322">
        <f t="shared" si="81"/>
        <v>0</v>
      </c>
    </row>
    <row r="487" spans="1:19">
      <c r="A487" s="155"/>
      <c r="B487" s="57"/>
      <c r="C487" s="24">
        <f t="shared" si="82"/>
        <v>1</v>
      </c>
      <c r="D487" s="676"/>
      <c r="E487" s="24">
        <f t="shared" si="83"/>
        <v>0</v>
      </c>
      <c r="F487" s="676"/>
      <c r="G487" s="24">
        <f t="shared" si="84"/>
        <v>0.1</v>
      </c>
      <c r="H487" s="676"/>
      <c r="I487" s="24">
        <f t="shared" si="85"/>
        <v>1</v>
      </c>
      <c r="J487" s="676"/>
      <c r="K487" s="24">
        <f t="shared" si="86"/>
        <v>1</v>
      </c>
      <c r="L487" s="676"/>
      <c r="M487" s="24">
        <f t="shared" si="87"/>
        <v>0</v>
      </c>
      <c r="N487" s="676"/>
      <c r="O487" s="24">
        <f t="shared" si="88"/>
        <v>0</v>
      </c>
      <c r="P487" s="676"/>
      <c r="Q487" s="24">
        <f t="shared" si="89"/>
        <v>1</v>
      </c>
      <c r="R487" s="672">
        <f t="shared" si="90"/>
        <v>0</v>
      </c>
      <c r="S487" s="322">
        <f t="shared" si="81"/>
        <v>0</v>
      </c>
    </row>
    <row r="488" spans="1:19">
      <c r="A488" s="155"/>
      <c r="B488" s="57"/>
      <c r="C488" s="24">
        <f t="shared" si="82"/>
        <v>1</v>
      </c>
      <c r="D488" s="676"/>
      <c r="E488" s="24">
        <f t="shared" si="83"/>
        <v>0</v>
      </c>
      <c r="F488" s="676"/>
      <c r="G488" s="24">
        <f t="shared" si="84"/>
        <v>0.1</v>
      </c>
      <c r="H488" s="676"/>
      <c r="I488" s="24">
        <f t="shared" si="85"/>
        <v>1</v>
      </c>
      <c r="J488" s="676"/>
      <c r="K488" s="24">
        <f t="shared" si="86"/>
        <v>1</v>
      </c>
      <c r="L488" s="676"/>
      <c r="M488" s="24">
        <f t="shared" si="87"/>
        <v>0</v>
      </c>
      <c r="N488" s="676"/>
      <c r="O488" s="24">
        <f t="shared" si="88"/>
        <v>0</v>
      </c>
      <c r="P488" s="676"/>
      <c r="Q488" s="24">
        <f t="shared" si="89"/>
        <v>1</v>
      </c>
      <c r="R488" s="672">
        <f t="shared" si="90"/>
        <v>0</v>
      </c>
      <c r="S488" s="322">
        <f t="shared" si="81"/>
        <v>0</v>
      </c>
    </row>
    <row r="489" spans="1:19">
      <c r="A489" s="155"/>
      <c r="B489" s="57"/>
      <c r="C489" s="24">
        <f t="shared" si="82"/>
        <v>1</v>
      </c>
      <c r="D489" s="676"/>
      <c r="E489" s="24">
        <f t="shared" si="83"/>
        <v>0</v>
      </c>
      <c r="F489" s="676"/>
      <c r="G489" s="24">
        <f t="shared" si="84"/>
        <v>0.1</v>
      </c>
      <c r="H489" s="676"/>
      <c r="I489" s="24">
        <f t="shared" si="85"/>
        <v>1</v>
      </c>
      <c r="J489" s="676"/>
      <c r="K489" s="24">
        <f t="shared" si="86"/>
        <v>1</v>
      </c>
      <c r="L489" s="676"/>
      <c r="M489" s="24">
        <f t="shared" si="87"/>
        <v>0</v>
      </c>
      <c r="N489" s="676"/>
      <c r="O489" s="24">
        <f t="shared" si="88"/>
        <v>0</v>
      </c>
      <c r="P489" s="676"/>
      <c r="Q489" s="24">
        <f t="shared" si="89"/>
        <v>1</v>
      </c>
      <c r="R489" s="672">
        <f t="shared" si="90"/>
        <v>0</v>
      </c>
      <c r="S489" s="322">
        <f t="shared" si="81"/>
        <v>0</v>
      </c>
    </row>
    <row r="490" spans="1:19">
      <c r="A490" s="155"/>
      <c r="B490" s="57"/>
      <c r="C490" s="24">
        <f t="shared" si="82"/>
        <v>1</v>
      </c>
      <c r="D490" s="676"/>
      <c r="E490" s="24">
        <f t="shared" si="83"/>
        <v>0</v>
      </c>
      <c r="F490" s="676"/>
      <c r="G490" s="24">
        <f t="shared" si="84"/>
        <v>0.1</v>
      </c>
      <c r="H490" s="676"/>
      <c r="I490" s="24">
        <f t="shared" si="85"/>
        <v>1</v>
      </c>
      <c r="J490" s="676"/>
      <c r="K490" s="24">
        <f t="shared" si="86"/>
        <v>1</v>
      </c>
      <c r="L490" s="676"/>
      <c r="M490" s="24">
        <f t="shared" si="87"/>
        <v>0</v>
      </c>
      <c r="N490" s="676"/>
      <c r="O490" s="24">
        <f t="shared" si="88"/>
        <v>0</v>
      </c>
      <c r="P490" s="676"/>
      <c r="Q490" s="24">
        <f t="shared" si="89"/>
        <v>1</v>
      </c>
      <c r="R490" s="672">
        <f t="shared" si="90"/>
        <v>0</v>
      </c>
      <c r="S490" s="322">
        <f t="shared" si="81"/>
        <v>0</v>
      </c>
    </row>
    <row r="491" spans="1:19">
      <c r="A491" s="155"/>
      <c r="B491" s="57"/>
      <c r="C491" s="24">
        <f t="shared" si="82"/>
        <v>1</v>
      </c>
      <c r="D491" s="676"/>
      <c r="E491" s="24">
        <f t="shared" si="83"/>
        <v>0</v>
      </c>
      <c r="F491" s="676"/>
      <c r="G491" s="24">
        <f t="shared" si="84"/>
        <v>0.1</v>
      </c>
      <c r="H491" s="676"/>
      <c r="I491" s="24">
        <f t="shared" si="85"/>
        <v>1</v>
      </c>
      <c r="J491" s="676"/>
      <c r="K491" s="24">
        <f t="shared" si="86"/>
        <v>1</v>
      </c>
      <c r="L491" s="676"/>
      <c r="M491" s="24">
        <f t="shared" si="87"/>
        <v>0</v>
      </c>
      <c r="N491" s="676"/>
      <c r="O491" s="24">
        <f t="shared" si="88"/>
        <v>0</v>
      </c>
      <c r="P491" s="676"/>
      <c r="Q491" s="24">
        <f t="shared" si="89"/>
        <v>1</v>
      </c>
      <c r="R491" s="672">
        <f t="shared" si="90"/>
        <v>0</v>
      </c>
      <c r="S491" s="322">
        <f t="shared" si="81"/>
        <v>0</v>
      </c>
    </row>
    <row r="492" spans="1:19">
      <c r="A492" s="155"/>
      <c r="B492" s="57"/>
      <c r="C492" s="24">
        <f t="shared" si="82"/>
        <v>1</v>
      </c>
      <c r="D492" s="676"/>
      <c r="E492" s="24">
        <f t="shared" si="83"/>
        <v>0</v>
      </c>
      <c r="F492" s="676"/>
      <c r="G492" s="24">
        <f t="shared" si="84"/>
        <v>0.1</v>
      </c>
      <c r="H492" s="676"/>
      <c r="I492" s="24">
        <f t="shared" si="85"/>
        <v>1</v>
      </c>
      <c r="J492" s="676"/>
      <c r="K492" s="24">
        <f t="shared" si="86"/>
        <v>1</v>
      </c>
      <c r="L492" s="676"/>
      <c r="M492" s="24">
        <f t="shared" si="87"/>
        <v>0</v>
      </c>
      <c r="N492" s="676"/>
      <c r="O492" s="24">
        <f t="shared" si="88"/>
        <v>0</v>
      </c>
      <c r="P492" s="676"/>
      <c r="Q492" s="24">
        <f t="shared" si="89"/>
        <v>1</v>
      </c>
      <c r="R492" s="672">
        <f t="shared" si="90"/>
        <v>0</v>
      </c>
      <c r="S492" s="322">
        <f t="shared" si="81"/>
        <v>0</v>
      </c>
    </row>
    <row r="493" spans="1:19">
      <c r="A493" s="155"/>
      <c r="B493" s="57"/>
      <c r="C493" s="24">
        <f t="shared" si="82"/>
        <v>1</v>
      </c>
      <c r="D493" s="676"/>
      <c r="E493" s="24">
        <f t="shared" si="83"/>
        <v>0</v>
      </c>
      <c r="F493" s="676"/>
      <c r="G493" s="24">
        <f t="shared" si="84"/>
        <v>0.1</v>
      </c>
      <c r="H493" s="676"/>
      <c r="I493" s="24">
        <f t="shared" si="85"/>
        <v>1</v>
      </c>
      <c r="J493" s="676"/>
      <c r="K493" s="24">
        <f t="shared" si="86"/>
        <v>1</v>
      </c>
      <c r="L493" s="676"/>
      <c r="M493" s="24">
        <f t="shared" si="87"/>
        <v>0</v>
      </c>
      <c r="N493" s="676"/>
      <c r="O493" s="24">
        <f t="shared" si="88"/>
        <v>0</v>
      </c>
      <c r="P493" s="676"/>
      <c r="Q493" s="24">
        <f t="shared" si="89"/>
        <v>1</v>
      </c>
      <c r="R493" s="672">
        <f t="shared" si="90"/>
        <v>0</v>
      </c>
      <c r="S493" s="322">
        <f t="shared" si="81"/>
        <v>0</v>
      </c>
    </row>
    <row r="494" spans="1:19">
      <c r="A494" s="155"/>
      <c r="B494" s="57"/>
      <c r="C494" s="24">
        <f t="shared" si="82"/>
        <v>1</v>
      </c>
      <c r="D494" s="676"/>
      <c r="E494" s="24">
        <f t="shared" si="83"/>
        <v>0</v>
      </c>
      <c r="F494" s="676"/>
      <c r="G494" s="24">
        <f t="shared" si="84"/>
        <v>0.1</v>
      </c>
      <c r="H494" s="676"/>
      <c r="I494" s="24">
        <f t="shared" si="85"/>
        <v>1</v>
      </c>
      <c r="J494" s="676"/>
      <c r="K494" s="24">
        <f t="shared" si="86"/>
        <v>1</v>
      </c>
      <c r="L494" s="676"/>
      <c r="M494" s="24">
        <f t="shared" si="87"/>
        <v>0</v>
      </c>
      <c r="N494" s="676"/>
      <c r="O494" s="24">
        <f t="shared" si="88"/>
        <v>0</v>
      </c>
      <c r="P494" s="676"/>
      <c r="Q494" s="24">
        <f t="shared" si="89"/>
        <v>1</v>
      </c>
      <c r="R494" s="672">
        <f t="shared" si="90"/>
        <v>0</v>
      </c>
      <c r="S494" s="322">
        <f t="shared" si="81"/>
        <v>0</v>
      </c>
    </row>
    <row r="495" spans="1:19">
      <c r="A495" s="155"/>
      <c r="B495" s="57"/>
      <c r="C495" s="24">
        <f t="shared" si="82"/>
        <v>1</v>
      </c>
      <c r="D495" s="676"/>
      <c r="E495" s="24">
        <f t="shared" si="83"/>
        <v>0</v>
      </c>
      <c r="F495" s="676"/>
      <c r="G495" s="24">
        <f t="shared" si="84"/>
        <v>0.1</v>
      </c>
      <c r="H495" s="676"/>
      <c r="I495" s="24">
        <f t="shared" si="85"/>
        <v>1</v>
      </c>
      <c r="J495" s="676"/>
      <c r="K495" s="24">
        <f t="shared" si="86"/>
        <v>1</v>
      </c>
      <c r="L495" s="676"/>
      <c r="M495" s="24">
        <f t="shared" si="87"/>
        <v>0</v>
      </c>
      <c r="N495" s="676"/>
      <c r="O495" s="24">
        <f t="shared" si="88"/>
        <v>0</v>
      </c>
      <c r="P495" s="676"/>
      <c r="Q495" s="24">
        <f t="shared" si="89"/>
        <v>1</v>
      </c>
      <c r="R495" s="672">
        <f t="shared" si="90"/>
        <v>0</v>
      </c>
      <c r="S495" s="322">
        <f t="shared" si="81"/>
        <v>0</v>
      </c>
    </row>
    <row r="496" spans="1:19">
      <c r="A496" s="155"/>
      <c r="B496" s="57"/>
      <c r="C496" s="24">
        <f t="shared" si="82"/>
        <v>1</v>
      </c>
      <c r="D496" s="676"/>
      <c r="E496" s="24">
        <f t="shared" si="83"/>
        <v>0</v>
      </c>
      <c r="F496" s="676"/>
      <c r="G496" s="24">
        <f t="shared" si="84"/>
        <v>0.1</v>
      </c>
      <c r="H496" s="676"/>
      <c r="I496" s="24">
        <f t="shared" si="85"/>
        <v>1</v>
      </c>
      <c r="J496" s="676"/>
      <c r="K496" s="24">
        <f t="shared" si="86"/>
        <v>1</v>
      </c>
      <c r="L496" s="676"/>
      <c r="M496" s="24">
        <f t="shared" si="87"/>
        <v>0</v>
      </c>
      <c r="N496" s="676"/>
      <c r="O496" s="24">
        <f t="shared" si="88"/>
        <v>0</v>
      </c>
      <c r="P496" s="676"/>
      <c r="Q496" s="24">
        <f t="shared" si="89"/>
        <v>1</v>
      </c>
      <c r="R496" s="672">
        <f t="shared" si="90"/>
        <v>0</v>
      </c>
      <c r="S496" s="322">
        <f t="shared" si="81"/>
        <v>0</v>
      </c>
    </row>
    <row r="497" spans="1:19">
      <c r="A497" s="155"/>
      <c r="B497" s="57"/>
      <c r="C497" s="24">
        <f t="shared" si="82"/>
        <v>1</v>
      </c>
      <c r="D497" s="676"/>
      <c r="E497" s="24">
        <f t="shared" si="83"/>
        <v>0</v>
      </c>
      <c r="F497" s="676"/>
      <c r="G497" s="24">
        <f t="shared" si="84"/>
        <v>0.1</v>
      </c>
      <c r="H497" s="676"/>
      <c r="I497" s="24">
        <f t="shared" si="85"/>
        <v>1</v>
      </c>
      <c r="J497" s="676"/>
      <c r="K497" s="24">
        <f t="shared" si="86"/>
        <v>1</v>
      </c>
      <c r="L497" s="676"/>
      <c r="M497" s="24">
        <f t="shared" si="87"/>
        <v>0</v>
      </c>
      <c r="N497" s="676"/>
      <c r="O497" s="24">
        <f t="shared" si="88"/>
        <v>0</v>
      </c>
      <c r="P497" s="676"/>
      <c r="Q497" s="24">
        <f t="shared" si="89"/>
        <v>1</v>
      </c>
      <c r="R497" s="672">
        <f t="shared" si="90"/>
        <v>0</v>
      </c>
      <c r="S497" s="322">
        <f t="shared" si="81"/>
        <v>0</v>
      </c>
    </row>
    <row r="498" spans="1:19">
      <c r="A498" s="155"/>
      <c r="B498" s="57"/>
      <c r="C498" s="24">
        <f t="shared" si="82"/>
        <v>1</v>
      </c>
      <c r="D498" s="676"/>
      <c r="E498" s="24">
        <f t="shared" si="83"/>
        <v>0</v>
      </c>
      <c r="F498" s="676"/>
      <c r="G498" s="24">
        <f t="shared" si="84"/>
        <v>0.1</v>
      </c>
      <c r="H498" s="676"/>
      <c r="I498" s="24">
        <f t="shared" si="85"/>
        <v>1</v>
      </c>
      <c r="J498" s="676"/>
      <c r="K498" s="24">
        <f t="shared" si="86"/>
        <v>1</v>
      </c>
      <c r="L498" s="676"/>
      <c r="M498" s="24">
        <f t="shared" si="87"/>
        <v>0</v>
      </c>
      <c r="N498" s="676"/>
      <c r="O498" s="24">
        <f t="shared" si="88"/>
        <v>0</v>
      </c>
      <c r="P498" s="676"/>
      <c r="Q498" s="24">
        <f t="shared" si="89"/>
        <v>1</v>
      </c>
      <c r="R498" s="672">
        <f t="shared" si="90"/>
        <v>0</v>
      </c>
      <c r="S498" s="322">
        <f t="shared" ref="S498:S524" si="91">ROUND(R498*B498/10000,0)</f>
        <v>0</v>
      </c>
    </row>
    <row r="499" spans="1:19">
      <c r="A499" s="155"/>
      <c r="B499" s="57"/>
      <c r="C499" s="24">
        <f t="shared" si="82"/>
        <v>1</v>
      </c>
      <c r="D499" s="676"/>
      <c r="E499" s="24">
        <f t="shared" si="83"/>
        <v>0</v>
      </c>
      <c r="F499" s="676"/>
      <c r="G499" s="24">
        <f t="shared" si="84"/>
        <v>0.1</v>
      </c>
      <c r="H499" s="676"/>
      <c r="I499" s="24">
        <f t="shared" si="85"/>
        <v>1</v>
      </c>
      <c r="J499" s="676"/>
      <c r="K499" s="24">
        <f t="shared" si="86"/>
        <v>1</v>
      </c>
      <c r="L499" s="676"/>
      <c r="M499" s="24">
        <f t="shared" si="87"/>
        <v>0</v>
      </c>
      <c r="N499" s="676"/>
      <c r="O499" s="24">
        <f t="shared" si="88"/>
        <v>0</v>
      </c>
      <c r="P499" s="676"/>
      <c r="Q499" s="24">
        <f t="shared" si="89"/>
        <v>1</v>
      </c>
      <c r="R499" s="672">
        <f t="shared" si="90"/>
        <v>0</v>
      </c>
      <c r="S499" s="322">
        <f t="shared" si="91"/>
        <v>0</v>
      </c>
    </row>
    <row r="500" spans="1:19">
      <c r="A500" s="155"/>
      <c r="B500" s="57"/>
      <c r="C500" s="24">
        <f t="shared" si="82"/>
        <v>1</v>
      </c>
      <c r="D500" s="676"/>
      <c r="E500" s="24">
        <f t="shared" si="83"/>
        <v>0</v>
      </c>
      <c r="F500" s="676"/>
      <c r="G500" s="24">
        <f t="shared" si="84"/>
        <v>0.1</v>
      </c>
      <c r="H500" s="676"/>
      <c r="I500" s="24">
        <f t="shared" si="85"/>
        <v>1</v>
      </c>
      <c r="J500" s="676"/>
      <c r="K500" s="24">
        <f t="shared" si="86"/>
        <v>1</v>
      </c>
      <c r="L500" s="676"/>
      <c r="M500" s="24">
        <f t="shared" si="87"/>
        <v>0</v>
      </c>
      <c r="N500" s="676"/>
      <c r="O500" s="24">
        <f t="shared" si="88"/>
        <v>0</v>
      </c>
      <c r="P500" s="676"/>
      <c r="Q500" s="24">
        <f t="shared" si="89"/>
        <v>1</v>
      </c>
      <c r="R500" s="672">
        <f t="shared" si="90"/>
        <v>0</v>
      </c>
      <c r="S500" s="322">
        <f t="shared" si="91"/>
        <v>0</v>
      </c>
    </row>
    <row r="501" spans="1:19">
      <c r="A501" s="155"/>
      <c r="B501" s="57"/>
      <c r="C501" s="24">
        <f t="shared" si="82"/>
        <v>1</v>
      </c>
      <c r="D501" s="676"/>
      <c r="E501" s="24">
        <f t="shared" si="83"/>
        <v>0</v>
      </c>
      <c r="F501" s="676"/>
      <c r="G501" s="24">
        <f t="shared" si="84"/>
        <v>0.1</v>
      </c>
      <c r="H501" s="676"/>
      <c r="I501" s="24">
        <f t="shared" si="85"/>
        <v>1</v>
      </c>
      <c r="J501" s="676"/>
      <c r="K501" s="24">
        <f t="shared" si="86"/>
        <v>1</v>
      </c>
      <c r="L501" s="676"/>
      <c r="M501" s="24">
        <f t="shared" si="87"/>
        <v>0</v>
      </c>
      <c r="N501" s="676"/>
      <c r="O501" s="24">
        <f t="shared" si="88"/>
        <v>0</v>
      </c>
      <c r="P501" s="676"/>
      <c r="Q501" s="24">
        <f t="shared" si="89"/>
        <v>1</v>
      </c>
      <c r="R501" s="672">
        <f t="shared" si="90"/>
        <v>0</v>
      </c>
      <c r="S501" s="322">
        <f t="shared" si="91"/>
        <v>0</v>
      </c>
    </row>
    <row r="502" spans="1:19">
      <c r="A502" s="155"/>
      <c r="B502" s="57"/>
      <c r="C502" s="24">
        <f t="shared" si="82"/>
        <v>1</v>
      </c>
      <c r="D502" s="676"/>
      <c r="E502" s="24">
        <f t="shared" si="83"/>
        <v>0</v>
      </c>
      <c r="F502" s="676"/>
      <c r="G502" s="24">
        <f t="shared" si="84"/>
        <v>0.1</v>
      </c>
      <c r="H502" s="676"/>
      <c r="I502" s="24">
        <f t="shared" si="85"/>
        <v>1</v>
      </c>
      <c r="J502" s="676"/>
      <c r="K502" s="24">
        <f t="shared" si="86"/>
        <v>1</v>
      </c>
      <c r="L502" s="676"/>
      <c r="M502" s="24">
        <f t="shared" si="87"/>
        <v>0</v>
      </c>
      <c r="N502" s="676"/>
      <c r="O502" s="24">
        <f t="shared" si="88"/>
        <v>0</v>
      </c>
      <c r="P502" s="676"/>
      <c r="Q502" s="24">
        <f t="shared" si="89"/>
        <v>1</v>
      </c>
      <c r="R502" s="672">
        <f t="shared" si="90"/>
        <v>0</v>
      </c>
      <c r="S502" s="322">
        <f t="shared" si="91"/>
        <v>0</v>
      </c>
    </row>
    <row r="503" spans="1:19">
      <c r="A503" s="155"/>
      <c r="B503" s="57"/>
      <c r="C503" s="24">
        <f t="shared" si="82"/>
        <v>1</v>
      </c>
      <c r="D503" s="676"/>
      <c r="E503" s="24">
        <f t="shared" si="83"/>
        <v>0</v>
      </c>
      <c r="F503" s="676"/>
      <c r="G503" s="24">
        <f t="shared" si="84"/>
        <v>0.1</v>
      </c>
      <c r="H503" s="676"/>
      <c r="I503" s="24">
        <f t="shared" si="85"/>
        <v>1</v>
      </c>
      <c r="J503" s="676"/>
      <c r="K503" s="24">
        <f t="shared" si="86"/>
        <v>1</v>
      </c>
      <c r="L503" s="676"/>
      <c r="M503" s="24">
        <f t="shared" si="87"/>
        <v>0</v>
      </c>
      <c r="N503" s="676"/>
      <c r="O503" s="24">
        <f t="shared" si="88"/>
        <v>0</v>
      </c>
      <c r="P503" s="676"/>
      <c r="Q503" s="24">
        <f t="shared" si="89"/>
        <v>1</v>
      </c>
      <c r="R503" s="672">
        <f t="shared" si="90"/>
        <v>0</v>
      </c>
      <c r="S503" s="322">
        <f t="shared" si="91"/>
        <v>0</v>
      </c>
    </row>
    <row r="504" spans="1:19">
      <c r="A504" s="155"/>
      <c r="B504" s="57"/>
      <c r="C504" s="24">
        <f t="shared" si="82"/>
        <v>1</v>
      </c>
      <c r="D504" s="676"/>
      <c r="E504" s="24">
        <f t="shared" si="83"/>
        <v>0</v>
      </c>
      <c r="F504" s="676"/>
      <c r="G504" s="24">
        <f t="shared" si="84"/>
        <v>0.1</v>
      </c>
      <c r="H504" s="676"/>
      <c r="I504" s="24">
        <f t="shared" si="85"/>
        <v>1</v>
      </c>
      <c r="J504" s="676"/>
      <c r="K504" s="24">
        <f t="shared" si="86"/>
        <v>1</v>
      </c>
      <c r="L504" s="676"/>
      <c r="M504" s="24">
        <f t="shared" si="87"/>
        <v>0</v>
      </c>
      <c r="N504" s="676"/>
      <c r="O504" s="24">
        <f t="shared" si="88"/>
        <v>0</v>
      </c>
      <c r="P504" s="676"/>
      <c r="Q504" s="24">
        <f t="shared" si="89"/>
        <v>1</v>
      </c>
      <c r="R504" s="672">
        <f t="shared" si="90"/>
        <v>0</v>
      </c>
      <c r="S504" s="322">
        <f t="shared" si="91"/>
        <v>0</v>
      </c>
    </row>
    <row r="505" spans="1:19">
      <c r="A505" s="155"/>
      <c r="B505" s="57"/>
      <c r="C505" s="24">
        <f t="shared" si="82"/>
        <v>1</v>
      </c>
      <c r="D505" s="676"/>
      <c r="E505" s="24">
        <f t="shared" si="83"/>
        <v>0</v>
      </c>
      <c r="F505" s="676"/>
      <c r="G505" s="24">
        <f t="shared" si="84"/>
        <v>0.1</v>
      </c>
      <c r="H505" s="676"/>
      <c r="I505" s="24">
        <f t="shared" si="85"/>
        <v>1</v>
      </c>
      <c r="J505" s="676"/>
      <c r="K505" s="24">
        <f t="shared" si="86"/>
        <v>1</v>
      </c>
      <c r="L505" s="676"/>
      <c r="M505" s="24">
        <f t="shared" si="87"/>
        <v>0</v>
      </c>
      <c r="N505" s="676"/>
      <c r="O505" s="24">
        <f t="shared" si="88"/>
        <v>0</v>
      </c>
      <c r="P505" s="676"/>
      <c r="Q505" s="24">
        <f t="shared" si="89"/>
        <v>1</v>
      </c>
      <c r="R505" s="672">
        <f t="shared" si="90"/>
        <v>0</v>
      </c>
      <c r="S505" s="322">
        <f t="shared" si="91"/>
        <v>0</v>
      </c>
    </row>
    <row r="506" spans="1:19">
      <c r="A506" s="155"/>
      <c r="B506" s="57"/>
      <c r="C506" s="24">
        <f t="shared" si="82"/>
        <v>1</v>
      </c>
      <c r="D506" s="676"/>
      <c r="E506" s="24">
        <f t="shared" si="83"/>
        <v>0</v>
      </c>
      <c r="F506" s="676"/>
      <c r="G506" s="24">
        <f t="shared" si="84"/>
        <v>0.1</v>
      </c>
      <c r="H506" s="676"/>
      <c r="I506" s="24">
        <f t="shared" si="85"/>
        <v>1</v>
      </c>
      <c r="J506" s="676"/>
      <c r="K506" s="24">
        <f t="shared" si="86"/>
        <v>1</v>
      </c>
      <c r="L506" s="676"/>
      <c r="M506" s="24">
        <f t="shared" si="87"/>
        <v>0</v>
      </c>
      <c r="N506" s="676"/>
      <c r="O506" s="24">
        <f t="shared" si="88"/>
        <v>0</v>
      </c>
      <c r="P506" s="676"/>
      <c r="Q506" s="24">
        <f t="shared" si="89"/>
        <v>1</v>
      </c>
      <c r="R506" s="672">
        <f t="shared" si="90"/>
        <v>0</v>
      </c>
      <c r="S506" s="322">
        <f t="shared" si="91"/>
        <v>0</v>
      </c>
    </row>
    <row r="507" spans="1:19">
      <c r="A507" s="155"/>
      <c r="B507" s="57"/>
      <c r="C507" s="24">
        <f t="shared" si="82"/>
        <v>1</v>
      </c>
      <c r="D507" s="676"/>
      <c r="E507" s="24">
        <f t="shared" si="83"/>
        <v>0</v>
      </c>
      <c r="F507" s="676"/>
      <c r="G507" s="24">
        <f t="shared" si="84"/>
        <v>0.1</v>
      </c>
      <c r="H507" s="676"/>
      <c r="I507" s="24">
        <f t="shared" si="85"/>
        <v>1</v>
      </c>
      <c r="J507" s="676"/>
      <c r="K507" s="24">
        <f t="shared" si="86"/>
        <v>1</v>
      </c>
      <c r="L507" s="676"/>
      <c r="M507" s="24">
        <f t="shared" si="87"/>
        <v>0</v>
      </c>
      <c r="N507" s="676"/>
      <c r="O507" s="24">
        <f t="shared" si="88"/>
        <v>0</v>
      </c>
      <c r="P507" s="676"/>
      <c r="Q507" s="24">
        <f t="shared" si="89"/>
        <v>1</v>
      </c>
      <c r="R507" s="672">
        <f t="shared" si="90"/>
        <v>0</v>
      </c>
      <c r="S507" s="322">
        <f t="shared" si="91"/>
        <v>0</v>
      </c>
    </row>
    <row r="508" spans="1:19">
      <c r="A508" s="155"/>
      <c r="B508" s="57"/>
      <c r="C508" s="24">
        <f t="shared" si="82"/>
        <v>1</v>
      </c>
      <c r="D508" s="676"/>
      <c r="E508" s="24">
        <f t="shared" si="83"/>
        <v>0</v>
      </c>
      <c r="F508" s="676"/>
      <c r="G508" s="24">
        <f t="shared" si="84"/>
        <v>0.1</v>
      </c>
      <c r="H508" s="676"/>
      <c r="I508" s="24">
        <f t="shared" si="85"/>
        <v>1</v>
      </c>
      <c r="J508" s="676"/>
      <c r="K508" s="24">
        <f t="shared" si="86"/>
        <v>1</v>
      </c>
      <c r="L508" s="676"/>
      <c r="M508" s="24">
        <f t="shared" si="87"/>
        <v>0</v>
      </c>
      <c r="N508" s="676"/>
      <c r="O508" s="24">
        <f t="shared" si="88"/>
        <v>0</v>
      </c>
      <c r="P508" s="676"/>
      <c r="Q508" s="24">
        <f t="shared" si="89"/>
        <v>1</v>
      </c>
      <c r="R508" s="672">
        <f t="shared" si="90"/>
        <v>0</v>
      </c>
      <c r="S508" s="322">
        <f t="shared" si="91"/>
        <v>0</v>
      </c>
    </row>
    <row r="509" spans="1:19">
      <c r="A509" s="155"/>
      <c r="B509" s="57"/>
      <c r="C509" s="24">
        <f t="shared" si="82"/>
        <v>1</v>
      </c>
      <c r="D509" s="676"/>
      <c r="E509" s="24">
        <f t="shared" si="83"/>
        <v>0</v>
      </c>
      <c r="F509" s="676"/>
      <c r="G509" s="24">
        <f t="shared" si="84"/>
        <v>0.1</v>
      </c>
      <c r="H509" s="676"/>
      <c r="I509" s="24">
        <f t="shared" si="85"/>
        <v>1</v>
      </c>
      <c r="J509" s="676"/>
      <c r="K509" s="24">
        <f t="shared" si="86"/>
        <v>1</v>
      </c>
      <c r="L509" s="676"/>
      <c r="M509" s="24">
        <f t="shared" si="87"/>
        <v>0</v>
      </c>
      <c r="N509" s="676"/>
      <c r="O509" s="24">
        <f t="shared" si="88"/>
        <v>0</v>
      </c>
      <c r="P509" s="676"/>
      <c r="Q509" s="24">
        <f t="shared" si="89"/>
        <v>1</v>
      </c>
      <c r="R509" s="672">
        <f t="shared" si="90"/>
        <v>0</v>
      </c>
      <c r="S509" s="322">
        <f t="shared" si="91"/>
        <v>0</v>
      </c>
    </row>
    <row r="510" spans="1:19">
      <c r="A510" s="155"/>
      <c r="B510" s="57"/>
      <c r="C510" s="24">
        <f t="shared" si="82"/>
        <v>1</v>
      </c>
      <c r="D510" s="676"/>
      <c r="E510" s="24">
        <f t="shared" si="83"/>
        <v>0</v>
      </c>
      <c r="F510" s="676"/>
      <c r="G510" s="24">
        <f t="shared" si="84"/>
        <v>0.1</v>
      </c>
      <c r="H510" s="676"/>
      <c r="I510" s="24">
        <f t="shared" si="85"/>
        <v>1</v>
      </c>
      <c r="J510" s="676"/>
      <c r="K510" s="24">
        <f t="shared" si="86"/>
        <v>1</v>
      </c>
      <c r="L510" s="676"/>
      <c r="M510" s="24">
        <f t="shared" si="87"/>
        <v>0</v>
      </c>
      <c r="N510" s="676"/>
      <c r="O510" s="24">
        <f t="shared" si="88"/>
        <v>0</v>
      </c>
      <c r="P510" s="676"/>
      <c r="Q510" s="24">
        <f t="shared" si="89"/>
        <v>1</v>
      </c>
      <c r="R510" s="672">
        <f t="shared" si="90"/>
        <v>0</v>
      </c>
      <c r="S510" s="322">
        <f t="shared" si="91"/>
        <v>0</v>
      </c>
    </row>
    <row r="511" spans="1:19">
      <c r="A511" s="155"/>
      <c r="B511" s="57"/>
      <c r="C511" s="24">
        <f t="shared" si="82"/>
        <v>1</v>
      </c>
      <c r="D511" s="676"/>
      <c r="E511" s="24">
        <f t="shared" si="83"/>
        <v>0</v>
      </c>
      <c r="F511" s="676"/>
      <c r="G511" s="24">
        <f t="shared" si="84"/>
        <v>0.1</v>
      </c>
      <c r="H511" s="676"/>
      <c r="I511" s="24">
        <f t="shared" si="85"/>
        <v>1</v>
      </c>
      <c r="J511" s="676"/>
      <c r="K511" s="24">
        <f t="shared" si="86"/>
        <v>1</v>
      </c>
      <c r="L511" s="676"/>
      <c r="M511" s="24">
        <f t="shared" si="87"/>
        <v>0</v>
      </c>
      <c r="N511" s="676"/>
      <c r="O511" s="24">
        <f t="shared" si="88"/>
        <v>0</v>
      </c>
      <c r="P511" s="676"/>
      <c r="Q511" s="24">
        <f t="shared" si="89"/>
        <v>1</v>
      </c>
      <c r="R511" s="672">
        <f t="shared" si="90"/>
        <v>0</v>
      </c>
      <c r="S511" s="322">
        <f t="shared" si="91"/>
        <v>0</v>
      </c>
    </row>
    <row r="512" spans="1:19">
      <c r="A512" s="155"/>
      <c r="B512" s="57"/>
      <c r="C512" s="24">
        <f t="shared" si="82"/>
        <v>1</v>
      </c>
      <c r="D512" s="676"/>
      <c r="E512" s="24">
        <f t="shared" si="83"/>
        <v>0</v>
      </c>
      <c r="F512" s="676"/>
      <c r="G512" s="24">
        <f t="shared" si="84"/>
        <v>0.1</v>
      </c>
      <c r="H512" s="676"/>
      <c r="I512" s="24">
        <f t="shared" si="85"/>
        <v>1</v>
      </c>
      <c r="J512" s="676"/>
      <c r="K512" s="24">
        <f t="shared" si="86"/>
        <v>1</v>
      </c>
      <c r="L512" s="676"/>
      <c r="M512" s="24">
        <f t="shared" si="87"/>
        <v>0</v>
      </c>
      <c r="N512" s="676"/>
      <c r="O512" s="24">
        <f t="shared" si="88"/>
        <v>0</v>
      </c>
      <c r="P512" s="676"/>
      <c r="Q512" s="24">
        <f t="shared" si="89"/>
        <v>1</v>
      </c>
      <c r="R512" s="672">
        <f t="shared" si="90"/>
        <v>0</v>
      </c>
      <c r="S512" s="322">
        <f t="shared" si="91"/>
        <v>0</v>
      </c>
    </row>
    <row r="513" spans="1:19">
      <c r="A513" s="155"/>
      <c r="B513" s="57"/>
      <c r="C513" s="24">
        <f t="shared" si="82"/>
        <v>1</v>
      </c>
      <c r="D513" s="676"/>
      <c r="E513" s="24">
        <f t="shared" si="83"/>
        <v>0</v>
      </c>
      <c r="F513" s="676"/>
      <c r="G513" s="24">
        <f t="shared" si="84"/>
        <v>0.1</v>
      </c>
      <c r="H513" s="676"/>
      <c r="I513" s="24">
        <f t="shared" si="85"/>
        <v>1</v>
      </c>
      <c r="J513" s="676"/>
      <c r="K513" s="24">
        <f t="shared" si="86"/>
        <v>1</v>
      </c>
      <c r="L513" s="676"/>
      <c r="M513" s="24">
        <f t="shared" si="87"/>
        <v>0</v>
      </c>
      <c r="N513" s="676"/>
      <c r="O513" s="24">
        <f t="shared" si="88"/>
        <v>0</v>
      </c>
      <c r="P513" s="676"/>
      <c r="Q513" s="24">
        <f t="shared" si="89"/>
        <v>1</v>
      </c>
      <c r="R513" s="672">
        <f t="shared" si="90"/>
        <v>0</v>
      </c>
      <c r="S513" s="322">
        <f t="shared" si="91"/>
        <v>0</v>
      </c>
    </row>
    <row r="514" spans="1:19">
      <c r="A514" s="155"/>
      <c r="B514" s="57"/>
      <c r="C514" s="24">
        <f t="shared" si="82"/>
        <v>1</v>
      </c>
      <c r="D514" s="676"/>
      <c r="E514" s="24">
        <f t="shared" si="83"/>
        <v>0</v>
      </c>
      <c r="F514" s="676"/>
      <c r="G514" s="24">
        <f t="shared" si="84"/>
        <v>0.1</v>
      </c>
      <c r="H514" s="676"/>
      <c r="I514" s="24">
        <f t="shared" si="85"/>
        <v>1</v>
      </c>
      <c r="J514" s="676"/>
      <c r="K514" s="24">
        <f t="shared" si="86"/>
        <v>1</v>
      </c>
      <c r="L514" s="676"/>
      <c r="M514" s="24">
        <f t="shared" si="87"/>
        <v>0</v>
      </c>
      <c r="N514" s="676"/>
      <c r="O514" s="24">
        <f t="shared" si="88"/>
        <v>0</v>
      </c>
      <c r="P514" s="676"/>
      <c r="Q514" s="24">
        <f t="shared" si="89"/>
        <v>1</v>
      </c>
      <c r="R514" s="672">
        <f t="shared" si="90"/>
        <v>0</v>
      </c>
      <c r="S514" s="322">
        <f t="shared" si="91"/>
        <v>0</v>
      </c>
    </row>
    <row r="515" spans="1:19">
      <c r="A515" s="155"/>
      <c r="B515" s="57"/>
      <c r="C515" s="24">
        <f t="shared" si="82"/>
        <v>1</v>
      </c>
      <c r="D515" s="676"/>
      <c r="E515" s="24">
        <f t="shared" si="83"/>
        <v>0</v>
      </c>
      <c r="F515" s="676"/>
      <c r="G515" s="24">
        <f t="shared" si="84"/>
        <v>0.1</v>
      </c>
      <c r="H515" s="676"/>
      <c r="I515" s="24">
        <f t="shared" si="85"/>
        <v>1</v>
      </c>
      <c r="J515" s="676"/>
      <c r="K515" s="24">
        <f t="shared" si="86"/>
        <v>1</v>
      </c>
      <c r="L515" s="676"/>
      <c r="M515" s="24">
        <f t="shared" si="87"/>
        <v>0</v>
      </c>
      <c r="N515" s="676"/>
      <c r="O515" s="24">
        <f t="shared" si="88"/>
        <v>0</v>
      </c>
      <c r="P515" s="676"/>
      <c r="Q515" s="24">
        <f t="shared" si="89"/>
        <v>1</v>
      </c>
      <c r="R515" s="672">
        <f t="shared" si="90"/>
        <v>0</v>
      </c>
      <c r="S515" s="322">
        <f t="shared" si="91"/>
        <v>0</v>
      </c>
    </row>
    <row r="516" spans="1:19">
      <c r="A516" s="155"/>
      <c r="B516" s="57"/>
      <c r="C516" s="24">
        <f t="shared" si="82"/>
        <v>1</v>
      </c>
      <c r="D516" s="676"/>
      <c r="E516" s="24">
        <f t="shared" si="83"/>
        <v>0</v>
      </c>
      <c r="F516" s="676"/>
      <c r="G516" s="24">
        <f t="shared" si="84"/>
        <v>0.1</v>
      </c>
      <c r="H516" s="676"/>
      <c r="I516" s="24">
        <f t="shared" si="85"/>
        <v>1</v>
      </c>
      <c r="J516" s="676"/>
      <c r="K516" s="24">
        <f t="shared" si="86"/>
        <v>1</v>
      </c>
      <c r="L516" s="676"/>
      <c r="M516" s="24">
        <f t="shared" si="87"/>
        <v>0</v>
      </c>
      <c r="N516" s="676"/>
      <c r="O516" s="24">
        <f t="shared" si="88"/>
        <v>0</v>
      </c>
      <c r="P516" s="676"/>
      <c r="Q516" s="24">
        <f t="shared" si="89"/>
        <v>1</v>
      </c>
      <c r="R516" s="672">
        <f t="shared" si="90"/>
        <v>0</v>
      </c>
      <c r="S516" s="322">
        <f t="shared" si="91"/>
        <v>0</v>
      </c>
    </row>
    <row r="517" spans="1:19">
      <c r="A517" s="155"/>
      <c r="B517" s="57"/>
      <c r="C517" s="24">
        <f t="shared" si="82"/>
        <v>1</v>
      </c>
      <c r="D517" s="676"/>
      <c r="E517" s="24">
        <f t="shared" si="83"/>
        <v>0</v>
      </c>
      <c r="F517" s="676"/>
      <c r="G517" s="24">
        <f t="shared" si="84"/>
        <v>0.1</v>
      </c>
      <c r="H517" s="676"/>
      <c r="I517" s="24">
        <f t="shared" si="85"/>
        <v>1</v>
      </c>
      <c r="J517" s="676"/>
      <c r="K517" s="24">
        <f t="shared" si="86"/>
        <v>1</v>
      </c>
      <c r="L517" s="676"/>
      <c r="M517" s="24">
        <f t="shared" si="87"/>
        <v>0</v>
      </c>
      <c r="N517" s="676"/>
      <c r="O517" s="24">
        <f t="shared" si="88"/>
        <v>0</v>
      </c>
      <c r="P517" s="676"/>
      <c r="Q517" s="24">
        <f t="shared" si="89"/>
        <v>1</v>
      </c>
      <c r="R517" s="672">
        <f t="shared" si="90"/>
        <v>0</v>
      </c>
      <c r="S517" s="322">
        <f t="shared" si="91"/>
        <v>0</v>
      </c>
    </row>
    <row r="518" spans="1:19">
      <c r="A518" s="155"/>
      <c r="B518" s="57"/>
      <c r="C518" s="24">
        <f t="shared" si="82"/>
        <v>1</v>
      </c>
      <c r="D518" s="676"/>
      <c r="E518" s="24">
        <f t="shared" si="83"/>
        <v>0</v>
      </c>
      <c r="F518" s="676"/>
      <c r="G518" s="24">
        <f t="shared" si="84"/>
        <v>0.1</v>
      </c>
      <c r="H518" s="676"/>
      <c r="I518" s="24">
        <f t="shared" si="85"/>
        <v>1</v>
      </c>
      <c r="J518" s="676"/>
      <c r="K518" s="24">
        <f t="shared" si="86"/>
        <v>1</v>
      </c>
      <c r="L518" s="676"/>
      <c r="M518" s="24">
        <f t="shared" si="87"/>
        <v>0</v>
      </c>
      <c r="N518" s="676"/>
      <c r="O518" s="24">
        <f t="shared" si="88"/>
        <v>0</v>
      </c>
      <c r="P518" s="676"/>
      <c r="Q518" s="24">
        <f t="shared" si="89"/>
        <v>1</v>
      </c>
      <c r="R518" s="672">
        <f t="shared" si="90"/>
        <v>0</v>
      </c>
      <c r="S518" s="322">
        <f t="shared" si="91"/>
        <v>0</v>
      </c>
    </row>
    <row r="519" spans="1:19">
      <c r="A519" s="155"/>
      <c r="B519" s="57"/>
      <c r="C519" s="24">
        <f t="shared" si="82"/>
        <v>1</v>
      </c>
      <c r="D519" s="676"/>
      <c r="E519" s="24">
        <f t="shared" si="83"/>
        <v>0</v>
      </c>
      <c r="F519" s="676"/>
      <c r="G519" s="24">
        <f t="shared" si="84"/>
        <v>0.1</v>
      </c>
      <c r="H519" s="676"/>
      <c r="I519" s="24">
        <f t="shared" si="85"/>
        <v>1</v>
      </c>
      <c r="J519" s="676"/>
      <c r="K519" s="24">
        <f t="shared" si="86"/>
        <v>1</v>
      </c>
      <c r="L519" s="676"/>
      <c r="M519" s="24">
        <f t="shared" si="87"/>
        <v>0</v>
      </c>
      <c r="N519" s="676"/>
      <c r="O519" s="24">
        <f t="shared" si="88"/>
        <v>0</v>
      </c>
      <c r="P519" s="676"/>
      <c r="Q519" s="24">
        <f t="shared" si="89"/>
        <v>1</v>
      </c>
      <c r="R519" s="672">
        <f t="shared" si="90"/>
        <v>0</v>
      </c>
      <c r="S519" s="322">
        <f t="shared" si="91"/>
        <v>0</v>
      </c>
    </row>
    <row r="520" spans="1:19">
      <c r="A520" s="155"/>
      <c r="B520" s="57"/>
      <c r="C520" s="24">
        <f t="shared" si="82"/>
        <v>1</v>
      </c>
      <c r="D520" s="676"/>
      <c r="E520" s="24">
        <f t="shared" si="83"/>
        <v>0</v>
      </c>
      <c r="F520" s="676"/>
      <c r="G520" s="24">
        <f t="shared" si="84"/>
        <v>0.1</v>
      </c>
      <c r="H520" s="676"/>
      <c r="I520" s="24">
        <f t="shared" si="85"/>
        <v>1</v>
      </c>
      <c r="J520" s="676"/>
      <c r="K520" s="24">
        <f t="shared" si="86"/>
        <v>1</v>
      </c>
      <c r="L520" s="676"/>
      <c r="M520" s="24">
        <f t="shared" si="87"/>
        <v>0</v>
      </c>
      <c r="N520" s="676"/>
      <c r="O520" s="24">
        <f t="shared" si="88"/>
        <v>0</v>
      </c>
      <c r="P520" s="676"/>
      <c r="Q520" s="24">
        <f t="shared" si="89"/>
        <v>1</v>
      </c>
      <c r="R520" s="672">
        <f t="shared" si="90"/>
        <v>0</v>
      </c>
      <c r="S520" s="322">
        <f t="shared" si="91"/>
        <v>0</v>
      </c>
    </row>
    <row r="521" spans="1:19">
      <c r="A521" s="155"/>
      <c r="B521" s="57"/>
      <c r="C521" s="24">
        <f t="shared" si="82"/>
        <v>1</v>
      </c>
      <c r="D521" s="676"/>
      <c r="E521" s="24">
        <f t="shared" si="83"/>
        <v>0</v>
      </c>
      <c r="F521" s="676"/>
      <c r="G521" s="24">
        <f t="shared" si="84"/>
        <v>0.1</v>
      </c>
      <c r="H521" s="676"/>
      <c r="I521" s="24">
        <f t="shared" si="85"/>
        <v>1</v>
      </c>
      <c r="J521" s="676"/>
      <c r="K521" s="24">
        <f t="shared" si="86"/>
        <v>1</v>
      </c>
      <c r="L521" s="676"/>
      <c r="M521" s="24">
        <f t="shared" si="87"/>
        <v>0</v>
      </c>
      <c r="N521" s="676"/>
      <c r="O521" s="24">
        <f t="shared" si="88"/>
        <v>0</v>
      </c>
      <c r="P521" s="676"/>
      <c r="Q521" s="24">
        <f t="shared" si="89"/>
        <v>1</v>
      </c>
      <c r="R521" s="672">
        <f t="shared" si="90"/>
        <v>0</v>
      </c>
      <c r="S521" s="322">
        <f t="shared" si="91"/>
        <v>0</v>
      </c>
    </row>
    <row r="522" spans="1:19">
      <c r="A522" s="155"/>
      <c r="B522" s="57"/>
      <c r="C522" s="24">
        <f t="shared" si="82"/>
        <v>1</v>
      </c>
      <c r="D522" s="676"/>
      <c r="E522" s="24">
        <f t="shared" si="83"/>
        <v>0</v>
      </c>
      <c r="F522" s="676"/>
      <c r="G522" s="24">
        <f t="shared" si="84"/>
        <v>0.1</v>
      </c>
      <c r="H522" s="676"/>
      <c r="I522" s="24">
        <f t="shared" si="85"/>
        <v>1</v>
      </c>
      <c r="J522" s="676"/>
      <c r="K522" s="24">
        <f t="shared" si="86"/>
        <v>1</v>
      </c>
      <c r="L522" s="676"/>
      <c r="M522" s="24">
        <f t="shared" si="87"/>
        <v>0</v>
      </c>
      <c r="N522" s="676"/>
      <c r="O522" s="24">
        <f t="shared" si="88"/>
        <v>0</v>
      </c>
      <c r="P522" s="676"/>
      <c r="Q522" s="24">
        <f t="shared" si="89"/>
        <v>1</v>
      </c>
      <c r="R522" s="672">
        <f t="shared" si="90"/>
        <v>0</v>
      </c>
      <c r="S522" s="322">
        <f t="shared" si="91"/>
        <v>0</v>
      </c>
    </row>
    <row r="523" spans="1:19">
      <c r="A523" s="155"/>
      <c r="B523" s="57"/>
      <c r="C523" s="24">
        <f t="shared" si="82"/>
        <v>1</v>
      </c>
      <c r="D523" s="676"/>
      <c r="E523" s="24">
        <f t="shared" si="83"/>
        <v>0</v>
      </c>
      <c r="F523" s="676"/>
      <c r="G523" s="24">
        <f t="shared" si="84"/>
        <v>0.1</v>
      </c>
      <c r="H523" s="676"/>
      <c r="I523" s="24">
        <f t="shared" si="85"/>
        <v>1</v>
      </c>
      <c r="J523" s="676"/>
      <c r="K523" s="24">
        <f t="shared" si="86"/>
        <v>1</v>
      </c>
      <c r="L523" s="676"/>
      <c r="M523" s="24">
        <f t="shared" si="87"/>
        <v>0</v>
      </c>
      <c r="N523" s="676"/>
      <c r="O523" s="24">
        <f t="shared" si="88"/>
        <v>0</v>
      </c>
      <c r="P523" s="676"/>
      <c r="Q523" s="24">
        <f t="shared" si="89"/>
        <v>1</v>
      </c>
      <c r="R523" s="672">
        <f t="shared" si="90"/>
        <v>0</v>
      </c>
      <c r="S523" s="322">
        <f t="shared" si="91"/>
        <v>0</v>
      </c>
    </row>
    <row r="524" spans="1:19">
      <c r="A524" s="155"/>
      <c r="B524" s="57"/>
      <c r="C524" s="24">
        <f t="shared" si="82"/>
        <v>1</v>
      </c>
      <c r="D524" s="676"/>
      <c r="E524" s="24">
        <f t="shared" si="83"/>
        <v>0</v>
      </c>
      <c r="F524" s="676"/>
      <c r="G524" s="24">
        <f t="shared" si="84"/>
        <v>0.1</v>
      </c>
      <c r="H524" s="676"/>
      <c r="I524" s="24">
        <f t="shared" si="85"/>
        <v>1</v>
      </c>
      <c r="J524" s="676"/>
      <c r="K524" s="24">
        <f t="shared" si="86"/>
        <v>1</v>
      </c>
      <c r="L524" s="676"/>
      <c r="M524" s="24">
        <f t="shared" si="87"/>
        <v>0</v>
      </c>
      <c r="N524" s="676"/>
      <c r="O524" s="24">
        <f t="shared" si="88"/>
        <v>0</v>
      </c>
      <c r="P524" s="676"/>
      <c r="Q524" s="24">
        <f t="shared" si="89"/>
        <v>1</v>
      </c>
      <c r="R524" s="672">
        <f t="shared" si="90"/>
        <v>0</v>
      </c>
      <c r="S524" s="322">
        <f t="shared" si="91"/>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49686</v>
      </c>
      <c r="C2" s="2" t="s">
        <v>133</v>
      </c>
      <c r="D2" s="205"/>
      <c r="E2" s="205"/>
      <c r="F2" s="205"/>
      <c r="G2" s="205"/>
    </row>
    <row r="3" spans="1:7" s="206" customFormat="1" ht="18" customHeight="1" thickBot="1">
      <c r="A3" s="209" t="s">
        <v>85</v>
      </c>
      <c r="B3" s="210">
        <f ca="1">ROUND(B2*10000/'数据-汇总表'!E3,0)</f>
        <v>24284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327</v>
      </c>
      <c r="D10" s="954">
        <f>'数据-汇总表'!E6</f>
        <v>20460.700000000004</v>
      </c>
      <c r="E10" s="231">
        <f>'数据-取费表'!B28</f>
        <v>160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409</v>
      </c>
      <c r="D19" s="958">
        <f>'数据-汇总表'!E3</f>
        <v>20460.700000000004</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1957</v>
      </c>
      <c r="D22" s="241">
        <f ca="1">C26</f>
        <v>8.9999999999999998E-4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1900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38</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3055</v>
      </c>
      <c r="D27" s="241">
        <f>C29</f>
        <v>2.8999999999999998E-3</v>
      </c>
      <c r="E27" s="242" t="s">
        <v>126</v>
      </c>
      <c r="F27" s="252">
        <f>'数据-取费表'!Q16</f>
        <v>0.15</v>
      </c>
      <c r="G27" s="253" t="s">
        <v>1037</v>
      </c>
    </row>
    <row r="28" spans="1:7" s="220" customFormat="1" ht="13.5" customHeight="1">
      <c r="A28" s="888" t="s">
        <v>794</v>
      </c>
      <c r="B28" s="254" t="s">
        <v>1030</v>
      </c>
      <c r="C28" s="255">
        <f>ROUND((C5+C19+C20)*F27*'数据-取费表'!B21/'数据-取费表'!B20,0)</f>
        <v>3055</v>
      </c>
      <c r="D28" s="241"/>
      <c r="E28" s="242"/>
      <c r="F28" s="252"/>
      <c r="G28" s="253"/>
    </row>
    <row r="29" spans="1:7" s="220" customFormat="1" ht="13.5" customHeight="1">
      <c r="A29" s="888" t="s">
        <v>792</v>
      </c>
      <c r="B29" s="254" t="s">
        <v>1031</v>
      </c>
      <c r="C29" s="244">
        <f>ROUND(C21*F27*'数据-取费表'!B21/'数据-取费表'!B20,4)</f>
        <v>2.8999999999999998E-3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28662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15916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14579</v>
      </c>
      <c r="D34" s="223"/>
      <c r="E34" s="226"/>
      <c r="F34" s="263">
        <f>IF('数据-取费表'!B24=0,1,'数据-取费表'!N16)</f>
        <v>0.95</v>
      </c>
      <c r="G34" s="225" t="s">
        <v>116</v>
      </c>
    </row>
    <row r="35" spans="1:7" ht="13.5" customHeight="1">
      <c r="A35" s="888" t="s">
        <v>796</v>
      </c>
      <c r="B35" s="221" t="s">
        <v>60</v>
      </c>
      <c r="C35" s="226">
        <f>ROUND(C34*F35,0)</f>
        <v>729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389</v>
      </c>
      <c r="D37" s="223">
        <f>'数据-汇总表'!E3</f>
        <v>20460.700000000004</v>
      </c>
      <c r="E37" s="255">
        <f>'数据-取费表'!B35</f>
        <v>200</v>
      </c>
      <c r="F37" s="265"/>
      <c r="G37" s="267" t="s">
        <v>119</v>
      </c>
    </row>
    <row r="38" spans="1:7" ht="13.5" customHeight="1">
      <c r="A38" s="888" t="s">
        <v>799</v>
      </c>
      <c r="B38" s="221" t="s">
        <v>63</v>
      </c>
      <c r="C38" s="226">
        <f>ROUND(C34*F38,0)</f>
        <v>219</v>
      </c>
      <c r="D38" s="226"/>
      <c r="E38" s="226"/>
      <c r="F38" s="265">
        <f>'数据-取费表'!B36</f>
        <v>1.4999999999999999E-2</v>
      </c>
      <c r="G38" s="225" t="s">
        <v>117</v>
      </c>
    </row>
    <row r="39" spans="1:7" s="220" customFormat="1" ht="13.5" customHeight="1">
      <c r="A39" s="885" t="s">
        <v>783</v>
      </c>
      <c r="B39" s="216" t="s">
        <v>104</v>
      </c>
      <c r="C39" s="238">
        <f>ROUND(C33*F20,0)</f>
        <v>318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731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717</v>
      </c>
      <c r="D42" s="244"/>
      <c r="E42" s="244"/>
      <c r="F42" s="245"/>
      <c r="G42" s="3322" t="s">
        <v>121</v>
      </c>
    </row>
    <row r="43" spans="1:7" ht="13.5" customHeight="1">
      <c r="A43" s="888" t="s">
        <v>792</v>
      </c>
      <c r="B43" s="221" t="s">
        <v>1032</v>
      </c>
      <c r="C43" s="244">
        <f ca="1">ROUND(IF('数据-取费表'!B22&lt;=1,C39*F22*'数据-取费表'!B21/2,C39*(POWER((1+F22),'数据-取费表'!B21/2)-1)),0)</f>
        <v>14</v>
      </c>
      <c r="D43" s="244"/>
      <c r="E43" s="244"/>
      <c r="F43" s="245"/>
      <c r="G43" s="3323"/>
    </row>
    <row r="44" spans="1:7" ht="13.5" customHeight="1">
      <c r="A44" s="888" t="s">
        <v>793</v>
      </c>
      <c r="B44" s="221" t="s">
        <v>1034</v>
      </c>
      <c r="C44" s="244">
        <f ca="1">ROUND(IF('数据-取费表'!B22&lt;=1,C40*F22*'数据-取费表'!B21/2,C40*(POWER((1+F22),'数据-取费表'!B21/2)-1)),4)</f>
        <v>8.9999999999999998E-4</v>
      </c>
      <c r="D44" s="244"/>
      <c r="E44" s="244"/>
      <c r="F44" s="245"/>
      <c r="G44" s="3324"/>
    </row>
    <row r="45" spans="1:7" s="220" customFormat="1" ht="13.5" customHeight="1">
      <c r="A45" s="885" t="s">
        <v>786</v>
      </c>
      <c r="B45" s="250" t="s">
        <v>112</v>
      </c>
      <c r="C45" s="251">
        <f>C46</f>
        <v>2435</v>
      </c>
      <c r="D45" s="241">
        <f>C47</f>
        <v>3.0000000000000001E-3</v>
      </c>
      <c r="E45" s="242" t="s">
        <v>129</v>
      </c>
      <c r="F45" s="252"/>
      <c r="G45" s="253" t="s">
        <v>1040</v>
      </c>
    </row>
    <row r="46" spans="1:7" s="220" customFormat="1" ht="13.5" customHeight="1">
      <c r="A46" s="888" t="s">
        <v>794</v>
      </c>
      <c r="B46" s="254" t="s">
        <v>1033</v>
      </c>
      <c r="C46" s="255">
        <f>ROUND((C33+C39)*F27,0)</f>
        <v>2435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21024</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21024</v>
      </c>
      <c r="D51" s="238"/>
      <c r="E51" s="238"/>
      <c r="F51" s="270"/>
      <c r="G51" s="240" t="s">
        <v>64</v>
      </c>
    </row>
    <row r="52" spans="1:7" s="214" customFormat="1" ht="16.5" thickBot="1">
      <c r="A52" s="271" t="s">
        <v>65</v>
      </c>
      <c r="B52" s="272"/>
      <c r="C52" s="273">
        <f ca="1">C31+C51</f>
        <v>49686</v>
      </c>
      <c r="D52" s="272"/>
      <c r="E52" s="272"/>
      <c r="F52" s="272"/>
      <c r="G52" s="274"/>
    </row>
    <row r="55" spans="1:7" ht="15">
      <c r="B55" s="276" t="s">
        <v>66</v>
      </c>
      <c r="C55" s="277"/>
    </row>
    <row r="56" spans="1:7">
      <c r="B56" s="279" t="s">
        <v>67</v>
      </c>
      <c r="C56" s="280">
        <f ca="1">ROUND(C51/C52,3)</f>
        <v>0.42299999999999999</v>
      </c>
    </row>
    <row r="57" spans="1:7">
      <c r="B57" s="279" t="s">
        <v>68</v>
      </c>
      <c r="C57" s="281">
        <f ca="1">1-C56</f>
        <v>0.57699999999999996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71" t="s">
        <v>156</v>
      </c>
      <c r="B1" s="3471"/>
      <c r="C1" s="3471"/>
      <c r="D1" s="3471"/>
      <c r="E1" s="3471"/>
      <c r="F1" s="347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72" t="s">
        <v>169</v>
      </c>
      <c r="B2" s="3472"/>
      <c r="C2" s="3472"/>
      <c r="D2" s="3472"/>
      <c r="E2" s="3472"/>
      <c r="F2" s="347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7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7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71" t="s">
        <v>839</v>
      </c>
      <c r="B1" s="347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44316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
  <sheetViews>
    <sheetView topLeftCell="A49" zoomScale="85" zoomScaleNormal="85" workbookViewId="0">
      <selection activeCell="AA84" sqref="AA84"/>
    </sheetView>
  </sheetViews>
  <sheetFormatPr defaultColWidth="9" defaultRowHeight="12"/>
  <cols>
    <col min="1" max="11" width="9" style="3084"/>
    <col min="12" max="12" width="13.875" style="3084" customWidth="1"/>
    <col min="13" max="26" width="0" style="3084" hidden="1" customWidth="1"/>
    <col min="27" max="27" width="13.25" style="3084" bestFit="1" customWidth="1"/>
    <col min="28" max="31" width="9" style="3084"/>
    <col min="32" max="33" width="0" style="3084" hidden="1" customWidth="1"/>
    <col min="34" max="34" width="9" style="3084"/>
    <col min="35" max="35" width="0" style="3084" hidden="1" customWidth="1"/>
    <col min="36" max="36" width="9" style="3084"/>
    <col min="37" max="37" width="0" style="3084" hidden="1" customWidth="1"/>
    <col min="38" max="38" width="9" style="3084"/>
    <col min="39" max="40" width="0" style="3084" hidden="1" customWidth="1"/>
    <col min="41" max="42" width="9" style="3084"/>
    <col min="43" max="46" width="0" style="3084" hidden="1" customWidth="1"/>
    <col min="47" max="16384" width="9" style="3084"/>
  </cols>
  <sheetData>
    <row r="1" spans="1:46" s="3083" customFormat="1">
      <c r="A1" s="3083" t="s">
        <v>3161</v>
      </c>
      <c r="B1" s="3083" t="s">
        <v>3162</v>
      </c>
      <c r="C1" s="3083" t="s">
        <v>3163</v>
      </c>
      <c r="D1" s="3083" t="s">
        <v>3164</v>
      </c>
      <c r="E1" s="3083" t="s">
        <v>3165</v>
      </c>
      <c r="F1" s="3083" t="s">
        <v>3166</v>
      </c>
      <c r="G1" s="3083" t="s">
        <v>3167</v>
      </c>
      <c r="H1" s="3083" t="s">
        <v>3168</v>
      </c>
      <c r="I1" s="3083" t="s">
        <v>3169</v>
      </c>
      <c r="J1" s="3083" t="s">
        <v>3170</v>
      </c>
      <c r="K1" s="3083" t="s">
        <v>3171</v>
      </c>
      <c r="L1" s="3083" t="s">
        <v>3172</v>
      </c>
      <c r="M1" s="3083" t="s">
        <v>3173</v>
      </c>
      <c r="N1" s="3083" t="s">
        <v>3174</v>
      </c>
      <c r="O1" s="3083" t="s">
        <v>3175</v>
      </c>
      <c r="P1" s="3083" t="s">
        <v>3176</v>
      </c>
      <c r="Q1" s="3083" t="s">
        <v>3177</v>
      </c>
      <c r="R1" s="3083" t="s">
        <v>3178</v>
      </c>
      <c r="S1" s="3083" t="s">
        <v>3179</v>
      </c>
      <c r="T1" s="3083" t="s">
        <v>3180</v>
      </c>
      <c r="U1" s="3083" t="s">
        <v>3181</v>
      </c>
      <c r="V1" s="3083" t="s">
        <v>3182</v>
      </c>
      <c r="W1" s="3083" t="s">
        <v>3183</v>
      </c>
      <c r="X1" s="3083" t="s">
        <v>3184</v>
      </c>
      <c r="Y1" s="3083" t="s">
        <v>3185</v>
      </c>
      <c r="Z1" s="3083" t="s">
        <v>3186</v>
      </c>
      <c r="AA1" s="3083" t="s">
        <v>3187</v>
      </c>
      <c r="AB1" s="3083" t="s">
        <v>3188</v>
      </c>
      <c r="AC1" s="3083" t="s">
        <v>3189</v>
      </c>
      <c r="AD1" s="3083" t="s">
        <v>3190</v>
      </c>
      <c r="AE1" s="3083" t="s">
        <v>3191</v>
      </c>
      <c r="AF1" s="3083" t="s">
        <v>3192</v>
      </c>
      <c r="AG1" s="3083" t="s">
        <v>3193</v>
      </c>
      <c r="AH1" s="3083" t="s">
        <v>3194</v>
      </c>
      <c r="AI1" s="3083" t="s">
        <v>3195</v>
      </c>
      <c r="AJ1" s="3083" t="s">
        <v>3196</v>
      </c>
      <c r="AK1" s="3083" t="s">
        <v>3197</v>
      </c>
      <c r="AL1" s="3083" t="s">
        <v>3198</v>
      </c>
      <c r="AM1" s="3083" t="s">
        <v>3199</v>
      </c>
      <c r="AN1" s="3083" t="s">
        <v>3200</v>
      </c>
      <c r="AO1" s="3083" t="s">
        <v>3201</v>
      </c>
      <c r="AP1" s="3083" t="s">
        <v>3202</v>
      </c>
      <c r="AQ1" s="3083" t="s">
        <v>3203</v>
      </c>
      <c r="AR1" s="3083" t="s">
        <v>3204</v>
      </c>
      <c r="AS1" s="3083" t="s">
        <v>3205</v>
      </c>
      <c r="AT1" s="3083" t="s">
        <v>3206</v>
      </c>
    </row>
    <row r="2" spans="1:46" s="3083" customFormat="1">
      <c r="A2" s="3083" t="s">
        <v>3207</v>
      </c>
      <c r="B2" s="3083" t="s">
        <v>3208</v>
      </c>
      <c r="C2" s="3083" t="s">
        <v>3209</v>
      </c>
      <c r="D2" s="3083" t="s">
        <v>3210</v>
      </c>
      <c r="E2" s="3083" t="s">
        <v>3211</v>
      </c>
      <c r="F2" s="3083" t="s">
        <v>3207</v>
      </c>
      <c r="G2" s="3083" t="s">
        <v>3212</v>
      </c>
      <c r="H2" s="3083" t="s">
        <v>3213</v>
      </c>
      <c r="I2" s="3083" t="s">
        <v>3214</v>
      </c>
      <c r="J2" s="3083">
        <v>31287.5</v>
      </c>
      <c r="K2" s="3083">
        <v>46931.25</v>
      </c>
      <c r="L2" s="3083" t="s">
        <v>3215</v>
      </c>
      <c r="M2" s="3083" t="s">
        <v>1298</v>
      </c>
      <c r="N2" s="3083" t="s">
        <v>3216</v>
      </c>
      <c r="O2" s="3083" t="s">
        <v>1298</v>
      </c>
      <c r="P2" s="3083" t="s">
        <v>1298</v>
      </c>
      <c r="Q2" s="3083" t="s">
        <v>1298</v>
      </c>
      <c r="R2" s="3083" t="s">
        <v>1298</v>
      </c>
      <c r="S2" s="3083" t="s">
        <v>1298</v>
      </c>
      <c r="T2" s="3083" t="s">
        <v>1298</v>
      </c>
      <c r="U2" s="3083" t="s">
        <v>1298</v>
      </c>
      <c r="V2" s="3083" t="s">
        <v>1298</v>
      </c>
      <c r="W2" s="3083" t="s">
        <v>3217</v>
      </c>
      <c r="X2" s="3083" t="s">
        <v>3218</v>
      </c>
      <c r="Y2" s="3083" t="s">
        <v>3219</v>
      </c>
      <c r="Z2" s="3083" t="s">
        <v>3220</v>
      </c>
      <c r="AA2" s="3083" t="s">
        <v>3220</v>
      </c>
      <c r="AB2" s="3083" t="s">
        <v>3221</v>
      </c>
      <c r="AC2" s="3083" t="s">
        <v>3222</v>
      </c>
      <c r="AD2" s="3083" t="s">
        <v>3223</v>
      </c>
      <c r="AE2" s="3083" t="s">
        <v>1298</v>
      </c>
      <c r="AF2" s="3083">
        <v>2255</v>
      </c>
      <c r="AG2" s="3083">
        <v>7518.18</v>
      </c>
      <c r="AH2" s="3083">
        <v>7518.18</v>
      </c>
      <c r="AI2" s="3083">
        <v>160.19999999999999</v>
      </c>
      <c r="AJ2" s="3083">
        <v>160.19999999999999</v>
      </c>
      <c r="AK2" s="3083">
        <v>1601.95</v>
      </c>
      <c r="AL2" s="3083">
        <v>1601.96</v>
      </c>
      <c r="AM2" s="3083" t="s">
        <v>1298</v>
      </c>
      <c r="AN2" s="3083" t="s">
        <v>1298</v>
      </c>
      <c r="AO2" s="3083">
        <v>0</v>
      </c>
      <c r="AP2" s="3083" t="s">
        <v>3224</v>
      </c>
      <c r="AQ2" s="3083" t="s">
        <v>1298</v>
      </c>
      <c r="AR2" s="3083" t="s">
        <v>1298</v>
      </c>
      <c r="AS2" s="3083" t="s">
        <v>1298</v>
      </c>
      <c r="AT2" s="3083" t="s">
        <v>3225</v>
      </c>
    </row>
    <row r="3" spans="1:46" s="3083" customFormat="1">
      <c r="A3" s="3083" t="s">
        <v>3207</v>
      </c>
      <c r="B3" s="3083" t="s">
        <v>3208</v>
      </c>
      <c r="C3" s="3083" t="s">
        <v>3209</v>
      </c>
      <c r="D3" s="3083" t="s">
        <v>3210</v>
      </c>
      <c r="E3" s="3083" t="s">
        <v>3211</v>
      </c>
      <c r="F3" s="3083" t="s">
        <v>3207</v>
      </c>
      <c r="G3" s="3083" t="s">
        <v>3212</v>
      </c>
      <c r="H3" s="3083" t="s">
        <v>3226</v>
      </c>
      <c r="I3" s="3083" t="s">
        <v>3214</v>
      </c>
      <c r="J3" s="3083">
        <v>28239.87</v>
      </c>
      <c r="K3" s="3083">
        <v>42359.81</v>
      </c>
      <c r="L3" s="3083" t="s">
        <v>3215</v>
      </c>
      <c r="M3" s="3083" t="s">
        <v>1298</v>
      </c>
      <c r="N3" s="3083" t="s">
        <v>3216</v>
      </c>
      <c r="O3" s="3083" t="s">
        <v>1298</v>
      </c>
      <c r="P3" s="3083" t="s">
        <v>1298</v>
      </c>
      <c r="Q3" s="3083" t="s">
        <v>1298</v>
      </c>
      <c r="R3" s="3083" t="s">
        <v>1298</v>
      </c>
      <c r="S3" s="3083" t="s">
        <v>1298</v>
      </c>
      <c r="T3" s="3083" t="s">
        <v>1298</v>
      </c>
      <c r="U3" s="3083" t="s">
        <v>1298</v>
      </c>
      <c r="V3" s="3083" t="s">
        <v>1298</v>
      </c>
      <c r="W3" s="3083" t="s">
        <v>3217</v>
      </c>
      <c r="X3" s="3083" t="s">
        <v>3218</v>
      </c>
      <c r="Y3" s="3083" t="s">
        <v>3219</v>
      </c>
      <c r="Z3" s="3083" t="s">
        <v>3220</v>
      </c>
      <c r="AA3" s="3083" t="s">
        <v>3220</v>
      </c>
      <c r="AB3" s="3083" t="s">
        <v>3221</v>
      </c>
      <c r="AC3" s="3083" t="s">
        <v>3222</v>
      </c>
      <c r="AD3" s="3083" t="s">
        <v>3223</v>
      </c>
      <c r="AE3" s="3083" t="s">
        <v>1298</v>
      </c>
      <c r="AF3" s="3083">
        <v>2035</v>
      </c>
      <c r="AG3" s="3083">
        <v>6786.06</v>
      </c>
      <c r="AH3" s="3083">
        <v>6786.06</v>
      </c>
      <c r="AI3" s="3083">
        <v>160.19999999999999</v>
      </c>
      <c r="AJ3" s="3083">
        <v>160.19999999999999</v>
      </c>
      <c r="AK3" s="3083">
        <v>1602</v>
      </c>
      <c r="AL3" s="3083">
        <v>1602</v>
      </c>
      <c r="AM3" s="3083" t="s">
        <v>1298</v>
      </c>
      <c r="AN3" s="3083" t="s">
        <v>1298</v>
      </c>
      <c r="AO3" s="3083">
        <v>0</v>
      </c>
      <c r="AP3" s="3083" t="s">
        <v>3224</v>
      </c>
      <c r="AQ3" s="3083" t="s">
        <v>1298</v>
      </c>
      <c r="AR3" s="3083" t="s">
        <v>1298</v>
      </c>
      <c r="AS3" s="3083" t="s">
        <v>1298</v>
      </c>
      <c r="AT3" s="3083" t="s">
        <v>3225</v>
      </c>
    </row>
    <row r="4" spans="1:46" s="3083" customFormat="1">
      <c r="A4" s="3083" t="s">
        <v>3207</v>
      </c>
      <c r="B4" s="3083" t="s">
        <v>3208</v>
      </c>
      <c r="C4" s="3083" t="s">
        <v>3209</v>
      </c>
      <c r="D4" s="3083" t="s">
        <v>3210</v>
      </c>
      <c r="E4" s="3083" t="s">
        <v>3211</v>
      </c>
      <c r="F4" s="3083" t="s">
        <v>3207</v>
      </c>
      <c r="G4" s="3083" t="s">
        <v>3212</v>
      </c>
      <c r="H4" s="3083" t="s">
        <v>3227</v>
      </c>
      <c r="I4" s="3083" t="s">
        <v>3214</v>
      </c>
      <c r="J4" s="3083">
        <v>33222.910000000003</v>
      </c>
      <c r="K4" s="3083">
        <v>49834.37</v>
      </c>
      <c r="L4" s="3083" t="s">
        <v>3215</v>
      </c>
      <c r="M4" s="3083" t="s">
        <v>1298</v>
      </c>
      <c r="N4" s="3083" t="s">
        <v>3216</v>
      </c>
      <c r="O4" s="3083" t="s">
        <v>1298</v>
      </c>
      <c r="P4" s="3083" t="s">
        <v>1298</v>
      </c>
      <c r="Q4" s="3083" t="s">
        <v>1298</v>
      </c>
      <c r="R4" s="3083" t="s">
        <v>1298</v>
      </c>
      <c r="S4" s="3083" t="s">
        <v>1298</v>
      </c>
      <c r="T4" s="3083" t="s">
        <v>1298</v>
      </c>
      <c r="U4" s="3083" t="s">
        <v>1298</v>
      </c>
      <c r="V4" s="3083" t="s">
        <v>1298</v>
      </c>
      <c r="W4" s="3083" t="s">
        <v>3217</v>
      </c>
      <c r="X4" s="3083" t="s">
        <v>3218</v>
      </c>
      <c r="Y4" s="3083" t="s">
        <v>3219</v>
      </c>
      <c r="Z4" s="3083" t="s">
        <v>3220</v>
      </c>
      <c r="AA4" s="3083" t="s">
        <v>3220</v>
      </c>
      <c r="AB4" s="3083" t="s">
        <v>3221</v>
      </c>
      <c r="AC4" s="3083" t="s">
        <v>3222</v>
      </c>
      <c r="AD4" s="3083" t="s">
        <v>3223</v>
      </c>
      <c r="AE4" s="3083" t="s">
        <v>1298</v>
      </c>
      <c r="AF4" s="3083">
        <v>2394</v>
      </c>
      <c r="AG4" s="3083">
        <v>7982.77</v>
      </c>
      <c r="AH4" s="3083">
        <v>7982.77</v>
      </c>
      <c r="AI4" s="3083">
        <v>160.19</v>
      </c>
      <c r="AJ4" s="3083">
        <v>160.19</v>
      </c>
      <c r="AK4" s="3083">
        <v>1601.86</v>
      </c>
      <c r="AL4" s="3083">
        <v>1601.85</v>
      </c>
      <c r="AM4" s="3083" t="s">
        <v>1298</v>
      </c>
      <c r="AN4" s="3083" t="s">
        <v>1298</v>
      </c>
      <c r="AO4" s="3083">
        <v>0</v>
      </c>
      <c r="AP4" s="3083" t="s">
        <v>3224</v>
      </c>
      <c r="AQ4" s="3083" t="s">
        <v>1298</v>
      </c>
      <c r="AR4" s="3083" t="s">
        <v>1298</v>
      </c>
      <c r="AS4" s="3083" t="s">
        <v>1298</v>
      </c>
      <c r="AT4" s="3083" t="s">
        <v>3225</v>
      </c>
    </row>
    <row r="5" spans="1:46" s="3083" customFormat="1">
      <c r="A5" s="3083" t="s">
        <v>3207</v>
      </c>
      <c r="B5" s="3083" t="s">
        <v>3208</v>
      </c>
      <c r="C5" s="3083" t="s">
        <v>3209</v>
      </c>
      <c r="D5" s="3083" t="s">
        <v>3210</v>
      </c>
      <c r="E5" s="3083" t="s">
        <v>3211</v>
      </c>
      <c r="F5" s="3083" t="s">
        <v>3207</v>
      </c>
      <c r="G5" s="3083" t="s">
        <v>3212</v>
      </c>
      <c r="H5" s="3083" t="s">
        <v>3228</v>
      </c>
      <c r="I5" s="3083" t="s">
        <v>3229</v>
      </c>
      <c r="J5" s="3083">
        <v>18884.7</v>
      </c>
      <c r="K5" s="3083">
        <v>75538.8</v>
      </c>
      <c r="L5" s="3083" t="s">
        <v>3230</v>
      </c>
      <c r="M5" s="3083" t="s">
        <v>1298</v>
      </c>
      <c r="N5" s="3083" t="s">
        <v>3216</v>
      </c>
      <c r="O5" s="3083" t="s">
        <v>1298</v>
      </c>
      <c r="P5" s="3083" t="s">
        <v>1298</v>
      </c>
      <c r="Q5" s="3083" t="s">
        <v>1298</v>
      </c>
      <c r="R5" s="3083" t="s">
        <v>1298</v>
      </c>
      <c r="S5" s="3083" t="s">
        <v>1298</v>
      </c>
      <c r="T5" s="3083" t="s">
        <v>1298</v>
      </c>
      <c r="U5" s="3083" t="s">
        <v>1298</v>
      </c>
      <c r="V5" s="3083" t="s">
        <v>1298</v>
      </c>
      <c r="W5" s="3083" t="s">
        <v>3217</v>
      </c>
      <c r="X5" s="3083" t="s">
        <v>3218</v>
      </c>
      <c r="Y5" s="3083" t="s">
        <v>3219</v>
      </c>
      <c r="Z5" s="3083" t="s">
        <v>3220</v>
      </c>
      <c r="AA5" s="3083" t="s">
        <v>3220</v>
      </c>
      <c r="AB5" s="3083" t="s">
        <v>3221</v>
      </c>
      <c r="AC5" s="3083" t="s">
        <v>3222</v>
      </c>
      <c r="AD5" s="3083" t="s">
        <v>3231</v>
      </c>
      <c r="AE5" s="3083" t="s">
        <v>1298</v>
      </c>
      <c r="AF5" s="3083">
        <v>1983</v>
      </c>
      <c r="AG5" s="3083">
        <v>9915.5</v>
      </c>
      <c r="AH5" s="3083">
        <v>9915.5</v>
      </c>
      <c r="AI5" s="3083">
        <v>350.04</v>
      </c>
      <c r="AJ5" s="3083">
        <v>350.04</v>
      </c>
      <c r="AK5" s="3083">
        <v>1312.63</v>
      </c>
      <c r="AL5" s="3083">
        <v>1312.64</v>
      </c>
      <c r="AM5" s="3083" t="s">
        <v>1298</v>
      </c>
      <c r="AN5" s="3083" t="s">
        <v>1298</v>
      </c>
      <c r="AO5" s="3083">
        <v>0</v>
      </c>
      <c r="AP5" s="3083" t="s">
        <v>3224</v>
      </c>
      <c r="AQ5" s="3083" t="s">
        <v>1298</v>
      </c>
      <c r="AR5" s="3083" t="s">
        <v>1298</v>
      </c>
      <c r="AS5" s="3083" t="s">
        <v>1298</v>
      </c>
      <c r="AT5" s="3083" t="s">
        <v>3225</v>
      </c>
    </row>
    <row r="6" spans="1:46" s="3083" customFormat="1">
      <c r="A6" s="3083" t="s">
        <v>3207</v>
      </c>
      <c r="B6" s="3083" t="s">
        <v>3208</v>
      </c>
      <c r="C6" s="3083" t="s">
        <v>3209</v>
      </c>
      <c r="D6" s="3083" t="s">
        <v>3210</v>
      </c>
      <c r="E6" s="3083" t="s">
        <v>3211</v>
      </c>
      <c r="F6" s="3083" t="s">
        <v>3207</v>
      </c>
      <c r="G6" s="3083" t="s">
        <v>3212</v>
      </c>
      <c r="H6" s="3083" t="s">
        <v>3232</v>
      </c>
      <c r="I6" s="3083" t="s">
        <v>3229</v>
      </c>
      <c r="J6" s="3083">
        <v>14864.38</v>
      </c>
      <c r="K6" s="3083">
        <v>59457.52</v>
      </c>
      <c r="L6" s="3083" t="s">
        <v>3230</v>
      </c>
      <c r="M6" s="3083" t="s">
        <v>1298</v>
      </c>
      <c r="N6" s="3083" t="s">
        <v>3216</v>
      </c>
      <c r="O6" s="3083" t="s">
        <v>1298</v>
      </c>
      <c r="P6" s="3083" t="s">
        <v>1298</v>
      </c>
      <c r="Q6" s="3083" t="s">
        <v>1298</v>
      </c>
      <c r="R6" s="3083" t="s">
        <v>1298</v>
      </c>
      <c r="S6" s="3083" t="s">
        <v>1298</v>
      </c>
      <c r="T6" s="3083" t="s">
        <v>1298</v>
      </c>
      <c r="U6" s="3083" t="s">
        <v>1298</v>
      </c>
      <c r="V6" s="3083" t="s">
        <v>1298</v>
      </c>
      <c r="W6" s="3083" t="s">
        <v>3217</v>
      </c>
      <c r="X6" s="3083" t="s">
        <v>3218</v>
      </c>
      <c r="Y6" s="3083" t="s">
        <v>3219</v>
      </c>
      <c r="Z6" s="3083" t="s">
        <v>3220</v>
      </c>
      <c r="AA6" s="3083" t="s">
        <v>3220</v>
      </c>
      <c r="AB6" s="3083" t="s">
        <v>3221</v>
      </c>
      <c r="AC6" s="3083" t="s">
        <v>3222</v>
      </c>
      <c r="AD6" s="3083" t="s">
        <v>3231</v>
      </c>
      <c r="AE6" s="3083" t="s">
        <v>1298</v>
      </c>
      <c r="AF6" s="3083">
        <v>1561</v>
      </c>
      <c r="AG6" s="3083">
        <v>7805</v>
      </c>
      <c r="AH6" s="3083">
        <v>7805</v>
      </c>
      <c r="AI6" s="3083">
        <v>350.05</v>
      </c>
      <c r="AJ6" s="3083">
        <v>350.05</v>
      </c>
      <c r="AK6" s="3083">
        <v>1312.7</v>
      </c>
      <c r="AL6" s="3083">
        <v>1312.7</v>
      </c>
      <c r="AM6" s="3083" t="s">
        <v>1298</v>
      </c>
      <c r="AN6" s="3083" t="s">
        <v>1298</v>
      </c>
      <c r="AO6" s="3083">
        <v>0</v>
      </c>
      <c r="AP6" s="3083" t="s">
        <v>3224</v>
      </c>
      <c r="AQ6" s="3083" t="s">
        <v>1298</v>
      </c>
      <c r="AR6" s="3083" t="s">
        <v>1298</v>
      </c>
      <c r="AS6" s="3083" t="s">
        <v>1298</v>
      </c>
      <c r="AT6" s="3083" t="s">
        <v>3225</v>
      </c>
    </row>
    <row r="7" spans="1:46" s="3083" customFormat="1">
      <c r="A7" s="3083" t="s">
        <v>3207</v>
      </c>
      <c r="B7" s="3083" t="s">
        <v>3208</v>
      </c>
      <c r="C7" s="3083" t="s">
        <v>3209</v>
      </c>
      <c r="D7" s="3083" t="s">
        <v>3210</v>
      </c>
      <c r="E7" s="3083" t="s">
        <v>3211</v>
      </c>
      <c r="F7" s="3083" t="s">
        <v>3207</v>
      </c>
      <c r="G7" s="3083" t="s">
        <v>3212</v>
      </c>
      <c r="H7" s="3083" t="s">
        <v>3233</v>
      </c>
      <c r="I7" s="3083" t="s">
        <v>3214</v>
      </c>
      <c r="J7" s="3083">
        <v>56468.52</v>
      </c>
      <c r="K7" s="3083">
        <v>84702.78</v>
      </c>
      <c r="L7" s="3083" t="s">
        <v>3215</v>
      </c>
      <c r="M7" s="3083" t="s">
        <v>1298</v>
      </c>
      <c r="N7" s="3083" t="s">
        <v>3216</v>
      </c>
      <c r="O7" s="3083" t="s">
        <v>1298</v>
      </c>
      <c r="P7" s="3083" t="s">
        <v>1298</v>
      </c>
      <c r="Q7" s="3083" t="s">
        <v>1298</v>
      </c>
      <c r="R7" s="3083" t="s">
        <v>1298</v>
      </c>
      <c r="S7" s="3083" t="s">
        <v>1298</v>
      </c>
      <c r="T7" s="3083" t="s">
        <v>1298</v>
      </c>
      <c r="U7" s="3083" t="s">
        <v>1298</v>
      </c>
      <c r="V7" s="3083" t="s">
        <v>1298</v>
      </c>
      <c r="W7" s="3083" t="s">
        <v>3217</v>
      </c>
      <c r="X7" s="3083" t="s">
        <v>3218</v>
      </c>
      <c r="Y7" s="3083" t="s">
        <v>3219</v>
      </c>
      <c r="Z7" s="3083" t="s">
        <v>3220</v>
      </c>
      <c r="AA7" s="3083" t="s">
        <v>3220</v>
      </c>
      <c r="AB7" s="3083" t="s">
        <v>3221</v>
      </c>
      <c r="AC7" s="3083" t="s">
        <v>3222</v>
      </c>
      <c r="AD7" s="3083" t="s">
        <v>3223</v>
      </c>
      <c r="AE7" s="3083" t="s">
        <v>1298</v>
      </c>
      <c r="AF7" s="3083">
        <v>4070</v>
      </c>
      <c r="AG7" s="3083">
        <v>13568.94</v>
      </c>
      <c r="AH7" s="3083">
        <v>13568.94</v>
      </c>
      <c r="AI7" s="3083">
        <v>160.19</v>
      </c>
      <c r="AJ7" s="3083">
        <v>160.19</v>
      </c>
      <c r="AK7" s="3083">
        <v>1601.94</v>
      </c>
      <c r="AL7" s="3083">
        <v>1601.95</v>
      </c>
      <c r="AM7" s="3083" t="s">
        <v>1298</v>
      </c>
      <c r="AN7" s="3083" t="s">
        <v>1298</v>
      </c>
      <c r="AO7" s="3083">
        <v>0</v>
      </c>
      <c r="AP7" s="3083" t="s">
        <v>3224</v>
      </c>
      <c r="AQ7" s="3083" t="s">
        <v>1298</v>
      </c>
      <c r="AR7" s="3083" t="s">
        <v>1298</v>
      </c>
      <c r="AS7" s="3083" t="s">
        <v>1298</v>
      </c>
      <c r="AT7" s="3083" t="s">
        <v>3225</v>
      </c>
    </row>
    <row r="8" spans="1:46" s="3083" customFormat="1">
      <c r="A8" s="3083" t="s">
        <v>3207</v>
      </c>
      <c r="B8" s="3083" t="s">
        <v>3208</v>
      </c>
      <c r="C8" s="3083" t="s">
        <v>3209</v>
      </c>
      <c r="D8" s="3083" t="s">
        <v>3210</v>
      </c>
      <c r="E8" s="3083" t="s">
        <v>3211</v>
      </c>
      <c r="F8" s="3083" t="s">
        <v>3207</v>
      </c>
      <c r="G8" s="3083" t="s">
        <v>3212</v>
      </c>
      <c r="H8" s="3083" t="s">
        <v>3234</v>
      </c>
      <c r="I8" s="3083" t="s">
        <v>3214</v>
      </c>
      <c r="J8" s="3083">
        <v>31415.200000000001</v>
      </c>
      <c r="K8" s="3083">
        <v>47122.8</v>
      </c>
      <c r="L8" s="3083" t="s">
        <v>3215</v>
      </c>
      <c r="M8" s="3083" t="s">
        <v>1298</v>
      </c>
      <c r="N8" s="3083" t="s">
        <v>3216</v>
      </c>
      <c r="O8" s="3083" t="s">
        <v>1298</v>
      </c>
      <c r="P8" s="3083" t="s">
        <v>1298</v>
      </c>
      <c r="Q8" s="3083" t="s">
        <v>1298</v>
      </c>
      <c r="R8" s="3083" t="s">
        <v>1298</v>
      </c>
      <c r="S8" s="3083" t="s">
        <v>1298</v>
      </c>
      <c r="T8" s="3083" t="s">
        <v>1298</v>
      </c>
      <c r="U8" s="3083" t="s">
        <v>1298</v>
      </c>
      <c r="V8" s="3083" t="s">
        <v>1298</v>
      </c>
      <c r="W8" s="3083" t="s">
        <v>3217</v>
      </c>
      <c r="X8" s="3083" t="s">
        <v>3218</v>
      </c>
      <c r="Y8" s="3083" t="s">
        <v>3219</v>
      </c>
      <c r="Z8" s="3083" t="s">
        <v>3220</v>
      </c>
      <c r="AA8" s="3083" t="s">
        <v>3220</v>
      </c>
      <c r="AB8" s="3083" t="s">
        <v>3221</v>
      </c>
      <c r="AC8" s="3083" t="s">
        <v>3222</v>
      </c>
      <c r="AD8" s="3083" t="s">
        <v>3223</v>
      </c>
      <c r="AE8" s="3083" t="s">
        <v>1298</v>
      </c>
      <c r="AF8" s="3083">
        <v>2264</v>
      </c>
      <c r="AG8" s="3083">
        <v>7548.61</v>
      </c>
      <c r="AH8" s="3083">
        <v>7548.61</v>
      </c>
      <c r="AI8" s="3083">
        <v>160.19</v>
      </c>
      <c r="AJ8" s="3083">
        <v>160.19</v>
      </c>
      <c r="AK8" s="3083">
        <v>1601.9</v>
      </c>
      <c r="AL8" s="3083">
        <v>1601.9</v>
      </c>
      <c r="AM8" s="3083" t="s">
        <v>1298</v>
      </c>
      <c r="AN8" s="3083" t="s">
        <v>1298</v>
      </c>
      <c r="AO8" s="3083">
        <v>0</v>
      </c>
      <c r="AP8" s="3083" t="s">
        <v>3224</v>
      </c>
      <c r="AQ8" s="3083" t="s">
        <v>1298</v>
      </c>
      <c r="AR8" s="3083" t="s">
        <v>1298</v>
      </c>
      <c r="AS8" s="3083" t="s">
        <v>1298</v>
      </c>
      <c r="AT8" s="3083" t="s">
        <v>3225</v>
      </c>
    </row>
    <row r="9" spans="1:46" s="3083" customFormat="1">
      <c r="A9" s="3083" t="s">
        <v>3235</v>
      </c>
      <c r="B9" s="3083" t="s">
        <v>3208</v>
      </c>
      <c r="C9" s="3083" t="s">
        <v>3209</v>
      </c>
      <c r="D9" s="3083" t="s">
        <v>3210</v>
      </c>
      <c r="E9" s="3083" t="s">
        <v>3236</v>
      </c>
      <c r="F9" s="3083" t="s">
        <v>3235</v>
      </c>
      <c r="G9" s="3083" t="s">
        <v>3237</v>
      </c>
      <c r="H9" s="3083" t="s">
        <v>3238</v>
      </c>
      <c r="I9" s="3083" t="s">
        <v>3214</v>
      </c>
      <c r="J9" s="3083">
        <v>6721.14</v>
      </c>
      <c r="K9" s="3083">
        <v>40998.949999999997</v>
      </c>
      <c r="L9" s="3083" t="s">
        <v>3239</v>
      </c>
      <c r="M9" s="3083" t="s">
        <v>1298</v>
      </c>
      <c r="N9" s="3083" t="s">
        <v>3240</v>
      </c>
      <c r="O9" s="3083" t="s">
        <v>1298</v>
      </c>
      <c r="P9" s="3083" t="s">
        <v>1298</v>
      </c>
      <c r="Q9" s="3083" t="s">
        <v>1298</v>
      </c>
      <c r="R9" s="3083" t="s">
        <v>1298</v>
      </c>
      <c r="S9" s="3083" t="s">
        <v>1298</v>
      </c>
      <c r="T9" s="3083" t="s">
        <v>1298</v>
      </c>
      <c r="U9" s="3083" t="s">
        <v>1298</v>
      </c>
      <c r="V9" s="3083" t="s">
        <v>1298</v>
      </c>
      <c r="W9" s="3083" t="s">
        <v>3217</v>
      </c>
      <c r="X9" s="3083" t="s">
        <v>3241</v>
      </c>
      <c r="Y9" s="3083" t="s">
        <v>3242</v>
      </c>
      <c r="Z9" s="3083" t="s">
        <v>3242</v>
      </c>
      <c r="AA9" s="3083" t="s">
        <v>3242</v>
      </c>
      <c r="AB9" s="3083" t="s">
        <v>3243</v>
      </c>
      <c r="AC9" s="3083" t="s">
        <v>3222</v>
      </c>
      <c r="AD9" s="3083" t="s">
        <v>3244</v>
      </c>
      <c r="AE9" s="3083" t="s">
        <v>3245</v>
      </c>
      <c r="AF9" s="3083">
        <v>2095</v>
      </c>
      <c r="AG9" s="3083">
        <v>10473.120000000001</v>
      </c>
      <c r="AH9" s="3083">
        <v>10473.120000000001</v>
      </c>
      <c r="AI9" s="3083">
        <v>1038.82</v>
      </c>
      <c r="AJ9" s="3083">
        <v>1038.82</v>
      </c>
      <c r="AK9" s="3083">
        <v>2554.48</v>
      </c>
      <c r="AL9" s="3083">
        <v>2554.48</v>
      </c>
      <c r="AM9" s="3083" t="s">
        <v>1298</v>
      </c>
      <c r="AN9" s="3083" t="s">
        <v>1298</v>
      </c>
      <c r="AO9" s="3083">
        <v>0</v>
      </c>
      <c r="AP9" s="3083" t="s">
        <v>3224</v>
      </c>
      <c r="AQ9" s="3083" t="s">
        <v>1298</v>
      </c>
      <c r="AR9" s="3083" t="s">
        <v>1298</v>
      </c>
      <c r="AS9" s="3083" t="s">
        <v>1298</v>
      </c>
      <c r="AT9" s="3083" t="s">
        <v>3246</v>
      </c>
    </row>
    <row r="10" spans="1:46" s="3083" customFormat="1">
      <c r="A10" s="3083" t="s">
        <v>3247</v>
      </c>
      <c r="B10" s="3083" t="s">
        <v>3208</v>
      </c>
      <c r="C10" s="3083" t="s">
        <v>3209</v>
      </c>
      <c r="D10" s="3083" t="s">
        <v>3210</v>
      </c>
      <c r="E10" s="3083" t="s">
        <v>3211</v>
      </c>
      <c r="F10" s="3083" t="s">
        <v>3247</v>
      </c>
      <c r="G10" s="3083" t="s">
        <v>3212</v>
      </c>
      <c r="H10" s="3083" t="s">
        <v>3248</v>
      </c>
      <c r="I10" s="3083" t="s">
        <v>3229</v>
      </c>
      <c r="J10" s="3083">
        <v>29420.79</v>
      </c>
      <c r="K10" s="3083">
        <v>117683.16</v>
      </c>
      <c r="L10" s="3083" t="s">
        <v>3230</v>
      </c>
      <c r="M10" s="3083" t="s">
        <v>1298</v>
      </c>
      <c r="N10" s="3083" t="s">
        <v>3216</v>
      </c>
      <c r="O10" s="3083" t="s">
        <v>1298</v>
      </c>
      <c r="P10" s="3083" t="s">
        <v>1298</v>
      </c>
      <c r="Q10" s="3083" t="s">
        <v>1298</v>
      </c>
      <c r="R10" s="3083" t="s">
        <v>1298</v>
      </c>
      <c r="S10" s="3083" t="s">
        <v>1298</v>
      </c>
      <c r="T10" s="3083" t="s">
        <v>1298</v>
      </c>
      <c r="U10" s="3083" t="s">
        <v>1298</v>
      </c>
      <c r="V10" s="3083" t="s">
        <v>1298</v>
      </c>
      <c r="W10" s="3083" t="s">
        <v>3217</v>
      </c>
      <c r="X10" s="3083" t="s">
        <v>3241</v>
      </c>
      <c r="Y10" s="3083" t="s">
        <v>3249</v>
      </c>
      <c r="Z10" s="3083" t="s">
        <v>3219</v>
      </c>
      <c r="AA10" s="3083" t="s">
        <v>3219</v>
      </c>
      <c r="AB10" s="3083" t="s">
        <v>3250</v>
      </c>
      <c r="AC10" s="3083" t="s">
        <v>3222</v>
      </c>
      <c r="AD10" s="3083" t="s">
        <v>3251</v>
      </c>
      <c r="AE10" s="3083" t="s">
        <v>1298</v>
      </c>
      <c r="AF10" s="3083">
        <v>3089</v>
      </c>
      <c r="AG10" s="3083">
        <v>15445.5</v>
      </c>
      <c r="AH10" s="3083">
        <v>15445.5</v>
      </c>
      <c r="AI10" s="3083">
        <v>349.99</v>
      </c>
      <c r="AJ10" s="3083">
        <v>349.99</v>
      </c>
      <c r="AK10" s="3083">
        <v>1312.46</v>
      </c>
      <c r="AL10" s="3083">
        <v>1312.46</v>
      </c>
      <c r="AM10" s="3083" t="s">
        <v>1298</v>
      </c>
      <c r="AN10" s="3083" t="s">
        <v>1298</v>
      </c>
      <c r="AO10" s="3083">
        <v>0</v>
      </c>
      <c r="AP10" s="3083" t="s">
        <v>3224</v>
      </c>
      <c r="AQ10" s="3083" t="s">
        <v>1298</v>
      </c>
      <c r="AR10" s="3083" t="s">
        <v>1298</v>
      </c>
      <c r="AS10" s="3083" t="s">
        <v>1298</v>
      </c>
      <c r="AT10" s="3083" t="s">
        <v>3225</v>
      </c>
    </row>
    <row r="11" spans="1:46" s="3083" customFormat="1">
      <c r="A11" s="3083" t="s">
        <v>3247</v>
      </c>
      <c r="B11" s="3083" t="s">
        <v>3208</v>
      </c>
      <c r="C11" s="3083" t="s">
        <v>3209</v>
      </c>
      <c r="D11" s="3083" t="s">
        <v>3210</v>
      </c>
      <c r="E11" s="3083" t="s">
        <v>3211</v>
      </c>
      <c r="F11" s="3083" t="s">
        <v>3247</v>
      </c>
      <c r="G11" s="3083" t="s">
        <v>3212</v>
      </c>
      <c r="H11" s="3083" t="s">
        <v>3252</v>
      </c>
      <c r="I11" s="3083" t="s">
        <v>3214</v>
      </c>
      <c r="J11" s="3083">
        <v>43686.66</v>
      </c>
      <c r="K11" s="3083">
        <v>196589.97</v>
      </c>
      <c r="L11" s="3083" t="s">
        <v>3253</v>
      </c>
      <c r="M11" s="3083" t="s">
        <v>1298</v>
      </c>
      <c r="N11" s="3083" t="s">
        <v>3254</v>
      </c>
      <c r="O11" s="3083" t="s">
        <v>1298</v>
      </c>
      <c r="P11" s="3083" t="s">
        <v>1298</v>
      </c>
      <c r="Q11" s="3083" t="s">
        <v>1298</v>
      </c>
      <c r="R11" s="3083" t="s">
        <v>1298</v>
      </c>
      <c r="S11" s="3083" t="s">
        <v>1298</v>
      </c>
      <c r="T11" s="3083" t="s">
        <v>1298</v>
      </c>
      <c r="U11" s="3083" t="s">
        <v>1298</v>
      </c>
      <c r="V11" s="3083" t="s">
        <v>1298</v>
      </c>
      <c r="W11" s="3083" t="s">
        <v>3217</v>
      </c>
      <c r="X11" s="3083" t="s">
        <v>3241</v>
      </c>
      <c r="Y11" s="3083" t="s">
        <v>3249</v>
      </c>
      <c r="Z11" s="3083" t="s">
        <v>3219</v>
      </c>
      <c r="AA11" s="3083" t="s">
        <v>3219</v>
      </c>
      <c r="AB11" s="3083" t="s">
        <v>3250</v>
      </c>
      <c r="AC11" s="3083" t="s">
        <v>3222</v>
      </c>
      <c r="AD11" s="3083" t="s">
        <v>3255</v>
      </c>
      <c r="AE11" s="3083" t="s">
        <v>1298</v>
      </c>
      <c r="AF11" s="3083">
        <v>5081</v>
      </c>
      <c r="AG11" s="3083">
        <v>25405.97</v>
      </c>
      <c r="AH11" s="3083">
        <v>25405.97</v>
      </c>
      <c r="AI11" s="3083">
        <v>387.7</v>
      </c>
      <c r="AJ11" s="3083">
        <v>387.7</v>
      </c>
      <c r="AK11" s="3083">
        <v>1292.33</v>
      </c>
      <c r="AL11" s="3083">
        <v>1292.32</v>
      </c>
      <c r="AM11" s="3083" t="s">
        <v>1298</v>
      </c>
      <c r="AN11" s="3083" t="s">
        <v>1298</v>
      </c>
      <c r="AO11" s="3083">
        <v>0</v>
      </c>
      <c r="AP11" s="3083" t="s">
        <v>3224</v>
      </c>
      <c r="AQ11" s="3083" t="s">
        <v>1298</v>
      </c>
      <c r="AR11" s="3083" t="s">
        <v>1298</v>
      </c>
      <c r="AS11" s="3083" t="s">
        <v>1298</v>
      </c>
      <c r="AT11" s="3083" t="s">
        <v>3225</v>
      </c>
    </row>
    <row r="12" spans="1:46" s="3083" customFormat="1">
      <c r="A12" s="3083" t="s">
        <v>3256</v>
      </c>
      <c r="B12" s="3083" t="s">
        <v>3208</v>
      </c>
      <c r="C12" s="3083" t="s">
        <v>3209</v>
      </c>
      <c r="D12" s="3083" t="s">
        <v>3210</v>
      </c>
      <c r="E12" s="3083" t="s">
        <v>1298</v>
      </c>
      <c r="F12" s="3083" t="s">
        <v>3256</v>
      </c>
      <c r="G12" s="3083" t="s">
        <v>3212</v>
      </c>
      <c r="H12" s="3083" t="s">
        <v>3257</v>
      </c>
      <c r="I12" s="3083" t="s">
        <v>3229</v>
      </c>
      <c r="J12" s="3083">
        <v>34360.870000000003</v>
      </c>
      <c r="K12" s="3083">
        <v>120263.05</v>
      </c>
      <c r="L12" s="3083" t="s">
        <v>3258</v>
      </c>
      <c r="M12" s="3083" t="s">
        <v>1298</v>
      </c>
      <c r="N12" s="3083" t="s">
        <v>3254</v>
      </c>
      <c r="O12" s="3083" t="s">
        <v>1298</v>
      </c>
      <c r="P12" s="3083" t="s">
        <v>1298</v>
      </c>
      <c r="Q12" s="3083" t="s">
        <v>1298</v>
      </c>
      <c r="R12" s="3083" t="s">
        <v>1298</v>
      </c>
      <c r="S12" s="3083" t="s">
        <v>1298</v>
      </c>
      <c r="T12" s="3083" t="s">
        <v>1298</v>
      </c>
      <c r="U12" s="3083" t="s">
        <v>1298</v>
      </c>
      <c r="V12" s="3083" t="s">
        <v>1298</v>
      </c>
      <c r="W12" s="3083" t="s">
        <v>3217</v>
      </c>
      <c r="X12" s="3083" t="s">
        <v>3259</v>
      </c>
      <c r="Y12" s="3083" t="s">
        <v>3260</v>
      </c>
      <c r="Z12" s="3083" t="s">
        <v>3261</v>
      </c>
      <c r="AA12" s="3083" t="s">
        <v>3261</v>
      </c>
      <c r="AB12" s="3083" t="s">
        <v>3262</v>
      </c>
      <c r="AC12" s="3083" t="s">
        <v>3222</v>
      </c>
      <c r="AD12" s="3083" t="s">
        <v>3263</v>
      </c>
      <c r="AE12" s="3083" t="s">
        <v>3264</v>
      </c>
      <c r="AF12" s="3083">
        <v>23400</v>
      </c>
      <c r="AG12" s="3083">
        <v>46798.31</v>
      </c>
      <c r="AH12" s="3083">
        <v>46798.31</v>
      </c>
      <c r="AI12" s="3083">
        <v>907.98</v>
      </c>
      <c r="AJ12" s="3083">
        <v>907.98</v>
      </c>
      <c r="AK12" s="3083">
        <v>3891.32</v>
      </c>
      <c r="AL12" s="3083">
        <v>3891.32</v>
      </c>
      <c r="AM12" s="3083" t="s">
        <v>1298</v>
      </c>
      <c r="AN12" s="3083" t="s">
        <v>1298</v>
      </c>
      <c r="AO12" s="3083">
        <v>0</v>
      </c>
      <c r="AP12" s="3083" t="s">
        <v>3224</v>
      </c>
      <c r="AQ12" s="3083" t="s">
        <v>1298</v>
      </c>
      <c r="AR12" s="3083" t="s">
        <v>1298</v>
      </c>
      <c r="AS12" s="3083" t="s">
        <v>1298</v>
      </c>
      <c r="AT12" s="3083" t="s">
        <v>3265</v>
      </c>
    </row>
    <row r="13" spans="1:46" s="3086" customFormat="1">
      <c r="A13" s="3086" t="s">
        <v>3266</v>
      </c>
      <c r="B13" s="3086" t="s">
        <v>3208</v>
      </c>
      <c r="C13" s="3086" t="s">
        <v>3209</v>
      </c>
      <c r="D13" s="3086" t="s">
        <v>3210</v>
      </c>
      <c r="E13" s="3086" t="s">
        <v>3267</v>
      </c>
      <c r="F13" s="3086" t="s">
        <v>3266</v>
      </c>
      <c r="G13" s="3086" t="s">
        <v>3212</v>
      </c>
      <c r="H13" s="3086" t="s">
        <v>3268</v>
      </c>
      <c r="I13" s="3086" t="s">
        <v>3214</v>
      </c>
      <c r="J13" s="3086">
        <v>3267.11</v>
      </c>
      <c r="K13" s="3086">
        <v>3267.11</v>
      </c>
      <c r="L13" s="3086" t="s">
        <v>3269</v>
      </c>
      <c r="M13" s="3086" t="s">
        <v>1298</v>
      </c>
      <c r="N13" s="3086" t="s">
        <v>3270</v>
      </c>
      <c r="O13" s="3086" t="s">
        <v>1298</v>
      </c>
      <c r="P13" s="3086" t="s">
        <v>1298</v>
      </c>
      <c r="Q13" s="3086" t="s">
        <v>1298</v>
      </c>
      <c r="R13" s="3086" t="s">
        <v>1298</v>
      </c>
      <c r="S13" s="3086" t="s">
        <v>1298</v>
      </c>
      <c r="T13" s="3086" t="s">
        <v>1298</v>
      </c>
      <c r="U13" s="3086" t="s">
        <v>1298</v>
      </c>
      <c r="V13" s="3086" t="s">
        <v>1298</v>
      </c>
      <c r="W13" s="3086" t="s">
        <v>3217</v>
      </c>
      <c r="X13" s="3086" t="s">
        <v>3259</v>
      </c>
      <c r="Y13" s="3086" t="s">
        <v>3260</v>
      </c>
      <c r="Z13" s="3086" t="s">
        <v>3271</v>
      </c>
      <c r="AA13" s="3086" t="s">
        <v>3271</v>
      </c>
      <c r="AB13" s="3086" t="s">
        <v>3262</v>
      </c>
      <c r="AC13" s="3086" t="s">
        <v>3222</v>
      </c>
      <c r="AD13" s="3086" t="s">
        <v>3272</v>
      </c>
      <c r="AE13" s="3086" t="s">
        <v>3273</v>
      </c>
      <c r="AF13" s="3086">
        <v>331</v>
      </c>
      <c r="AG13" s="3086">
        <v>1651.29</v>
      </c>
      <c r="AH13" s="3086">
        <v>1651.29</v>
      </c>
      <c r="AI13" s="3086">
        <v>336.95</v>
      </c>
      <c r="AJ13" s="3086">
        <v>336.95</v>
      </c>
      <c r="AK13" s="3086">
        <v>5054.3100000000004</v>
      </c>
      <c r="AL13" s="3086">
        <v>5054.3100000000004</v>
      </c>
      <c r="AM13" s="3086" t="s">
        <v>1298</v>
      </c>
      <c r="AN13" s="3086" t="s">
        <v>1298</v>
      </c>
      <c r="AO13" s="3086">
        <v>0</v>
      </c>
      <c r="AP13" s="3086" t="s">
        <v>3224</v>
      </c>
      <c r="AQ13" s="3086" t="s">
        <v>1298</v>
      </c>
      <c r="AR13" s="3086" t="s">
        <v>1298</v>
      </c>
      <c r="AS13" s="3086" t="s">
        <v>1298</v>
      </c>
      <c r="AT13" s="3086" t="s">
        <v>3246</v>
      </c>
    </row>
    <row r="14" spans="1:46" s="3083" customFormat="1">
      <c r="A14" s="3083" t="s">
        <v>3274</v>
      </c>
      <c r="B14" s="3083" t="s">
        <v>3208</v>
      </c>
      <c r="C14" s="3083" t="s">
        <v>3209</v>
      </c>
      <c r="D14" s="3083" t="s">
        <v>3210</v>
      </c>
      <c r="E14" s="3083" t="s">
        <v>1298</v>
      </c>
      <c r="F14" s="3083" t="s">
        <v>3274</v>
      </c>
      <c r="G14" s="3083" t="s">
        <v>3212</v>
      </c>
      <c r="H14" s="3083" t="s">
        <v>3275</v>
      </c>
      <c r="I14" s="3083" t="s">
        <v>3214</v>
      </c>
      <c r="J14" s="3083">
        <v>13837.87</v>
      </c>
      <c r="K14" s="3083">
        <v>55351.48</v>
      </c>
      <c r="L14" s="3083" t="s">
        <v>3230</v>
      </c>
      <c r="M14" s="3083" t="s">
        <v>1298</v>
      </c>
      <c r="N14" s="3083" t="s">
        <v>3254</v>
      </c>
      <c r="O14" s="3083" t="s">
        <v>1298</v>
      </c>
      <c r="P14" s="3083" t="s">
        <v>1298</v>
      </c>
      <c r="Q14" s="3083" t="s">
        <v>1298</v>
      </c>
      <c r="R14" s="3083" t="s">
        <v>1298</v>
      </c>
      <c r="S14" s="3083" t="s">
        <v>1298</v>
      </c>
      <c r="T14" s="3083" t="s">
        <v>1298</v>
      </c>
      <c r="U14" s="3083" t="s">
        <v>1298</v>
      </c>
      <c r="V14" s="3083" t="s">
        <v>1298</v>
      </c>
      <c r="W14" s="3083" t="s">
        <v>3217</v>
      </c>
      <c r="X14" s="3083" t="s">
        <v>3259</v>
      </c>
      <c r="Y14" s="3083" t="s">
        <v>3260</v>
      </c>
      <c r="Z14" s="3083" t="s">
        <v>3271</v>
      </c>
      <c r="AA14" s="3083" t="s">
        <v>3271</v>
      </c>
      <c r="AB14" s="3083" t="s">
        <v>3262</v>
      </c>
      <c r="AC14" s="3083" t="s">
        <v>3222</v>
      </c>
      <c r="AD14" s="3083" t="s">
        <v>3263</v>
      </c>
      <c r="AE14" s="3083" t="s">
        <v>3264</v>
      </c>
      <c r="AF14" s="3083">
        <v>5855</v>
      </c>
      <c r="AG14" s="3083">
        <v>11708.63</v>
      </c>
      <c r="AH14" s="3083">
        <v>11708.63</v>
      </c>
      <c r="AI14" s="3083">
        <v>564.09</v>
      </c>
      <c r="AJ14" s="3083">
        <v>564.09</v>
      </c>
      <c r="AK14" s="3083">
        <v>2115.3200000000002</v>
      </c>
      <c r="AL14" s="3083">
        <v>2115.3200000000002</v>
      </c>
      <c r="AM14" s="3083" t="s">
        <v>1298</v>
      </c>
      <c r="AN14" s="3083" t="s">
        <v>1298</v>
      </c>
      <c r="AO14" s="3083">
        <v>0</v>
      </c>
      <c r="AP14" s="3083" t="s">
        <v>3224</v>
      </c>
      <c r="AQ14" s="3083" t="s">
        <v>1298</v>
      </c>
      <c r="AR14" s="3083" t="s">
        <v>1298</v>
      </c>
      <c r="AS14" s="3083" t="s">
        <v>1298</v>
      </c>
      <c r="AT14" s="3083" t="s">
        <v>3246</v>
      </c>
    </row>
    <row r="15" spans="1:46" s="3083" customFormat="1">
      <c r="A15" s="3083" t="s">
        <v>3276</v>
      </c>
      <c r="B15" s="3083" t="s">
        <v>3208</v>
      </c>
      <c r="C15" s="3083" t="s">
        <v>3209</v>
      </c>
      <c r="D15" s="3083" t="s">
        <v>3210</v>
      </c>
      <c r="E15" s="3083" t="s">
        <v>1298</v>
      </c>
      <c r="F15" s="3083" t="s">
        <v>3276</v>
      </c>
      <c r="G15" s="3083" t="s">
        <v>3237</v>
      </c>
      <c r="H15" s="3083" t="s">
        <v>3277</v>
      </c>
      <c r="I15" s="3083" t="s">
        <v>3214</v>
      </c>
      <c r="J15" s="3083">
        <v>9647.85</v>
      </c>
      <c r="K15" s="3083">
        <v>48239.25</v>
      </c>
      <c r="L15" s="3083" t="s">
        <v>3278</v>
      </c>
      <c r="M15" s="3083" t="s">
        <v>1298</v>
      </c>
      <c r="N15" s="3083" t="s">
        <v>3254</v>
      </c>
      <c r="O15" s="3083" t="s">
        <v>1298</v>
      </c>
      <c r="P15" s="3083" t="s">
        <v>1298</v>
      </c>
      <c r="Q15" s="3083" t="s">
        <v>1298</v>
      </c>
      <c r="R15" s="3083" t="s">
        <v>1298</v>
      </c>
      <c r="S15" s="3083" t="s">
        <v>1298</v>
      </c>
      <c r="T15" s="3083" t="s">
        <v>1298</v>
      </c>
      <c r="U15" s="3083" t="s">
        <v>1298</v>
      </c>
      <c r="V15" s="3083" t="s">
        <v>1298</v>
      </c>
      <c r="W15" s="3083" t="s">
        <v>3217</v>
      </c>
      <c r="X15" s="3083" t="s">
        <v>3241</v>
      </c>
      <c r="Y15" s="3083" t="s">
        <v>3271</v>
      </c>
      <c r="Z15" s="3083" t="s">
        <v>3271</v>
      </c>
      <c r="AA15" s="3083" t="s">
        <v>3271</v>
      </c>
      <c r="AB15" s="3083" t="s">
        <v>3279</v>
      </c>
      <c r="AC15" s="3083" t="s">
        <v>3222</v>
      </c>
      <c r="AD15" s="3083" t="s">
        <v>3280</v>
      </c>
      <c r="AE15" s="3083" t="s">
        <v>1298</v>
      </c>
      <c r="AF15" s="3083">
        <v>6859</v>
      </c>
      <c r="AG15" s="3083">
        <v>22862.59</v>
      </c>
      <c r="AH15" s="3083">
        <v>23112.59</v>
      </c>
      <c r="AI15" s="3083">
        <v>1579.81</v>
      </c>
      <c r="AJ15" s="3083">
        <v>1597.08</v>
      </c>
      <c r="AK15" s="3083">
        <v>4739.41</v>
      </c>
      <c r="AL15" s="3083">
        <v>4791.2299999999996</v>
      </c>
      <c r="AM15" s="3083" t="s">
        <v>1298</v>
      </c>
      <c r="AN15" s="3083" t="s">
        <v>1298</v>
      </c>
      <c r="AO15" s="3083">
        <v>1.0900000000000001</v>
      </c>
      <c r="AP15" s="3083" t="s">
        <v>3224</v>
      </c>
      <c r="AQ15" s="3083" t="s">
        <v>1298</v>
      </c>
      <c r="AR15" s="3083" t="s">
        <v>1298</v>
      </c>
      <c r="AS15" s="3083" t="s">
        <v>1298</v>
      </c>
      <c r="AT15" s="3083" t="s">
        <v>3246</v>
      </c>
    </row>
    <row r="16" spans="1:46" s="3083" customFormat="1">
      <c r="A16" s="3083" t="s">
        <v>3256</v>
      </c>
      <c r="B16" s="3083" t="s">
        <v>3208</v>
      </c>
      <c r="C16" s="3083" t="s">
        <v>3209</v>
      </c>
      <c r="D16" s="3083" t="s">
        <v>3210</v>
      </c>
      <c r="E16" s="3083" t="s">
        <v>1298</v>
      </c>
      <c r="F16" s="3083" t="s">
        <v>3256</v>
      </c>
      <c r="G16" s="3083" t="s">
        <v>3212</v>
      </c>
      <c r="H16" s="3083" t="s">
        <v>3281</v>
      </c>
      <c r="I16" s="3083" t="s">
        <v>3214</v>
      </c>
      <c r="J16" s="3083">
        <v>15358.29</v>
      </c>
      <c r="K16" s="3083">
        <v>53754.02</v>
      </c>
      <c r="L16" s="3083" t="s">
        <v>3258</v>
      </c>
      <c r="M16" s="3083" t="s">
        <v>1298</v>
      </c>
      <c r="N16" s="3083" t="s">
        <v>3254</v>
      </c>
      <c r="O16" s="3083" t="s">
        <v>1298</v>
      </c>
      <c r="P16" s="3083" t="s">
        <v>1298</v>
      </c>
      <c r="Q16" s="3083" t="s">
        <v>1298</v>
      </c>
      <c r="R16" s="3083" t="s">
        <v>1298</v>
      </c>
      <c r="S16" s="3083" t="s">
        <v>1298</v>
      </c>
      <c r="T16" s="3083" t="s">
        <v>1298</v>
      </c>
      <c r="U16" s="3083" t="s">
        <v>1298</v>
      </c>
      <c r="V16" s="3083" t="s">
        <v>1298</v>
      </c>
      <c r="W16" s="3083" t="s">
        <v>3217</v>
      </c>
      <c r="X16" s="3083" t="s">
        <v>3259</v>
      </c>
      <c r="Y16" s="3083" t="s">
        <v>3260</v>
      </c>
      <c r="Z16" s="3083" t="s">
        <v>3271</v>
      </c>
      <c r="AA16" s="3083" t="s">
        <v>3271</v>
      </c>
      <c r="AB16" s="3083" t="s">
        <v>3262</v>
      </c>
      <c r="AC16" s="3083" t="s">
        <v>3222</v>
      </c>
      <c r="AD16" s="3083" t="s">
        <v>3263</v>
      </c>
      <c r="AE16" s="3083" t="s">
        <v>3264</v>
      </c>
      <c r="AF16" s="3083">
        <v>11198</v>
      </c>
      <c r="AG16" s="3083">
        <v>22394.880000000001</v>
      </c>
      <c r="AH16" s="3083">
        <v>22394.880000000001</v>
      </c>
      <c r="AI16" s="3083">
        <v>972.11</v>
      </c>
      <c r="AJ16" s="3083">
        <v>972.11</v>
      </c>
      <c r="AK16" s="3083">
        <v>4166.17</v>
      </c>
      <c r="AL16" s="3083">
        <v>4166.18</v>
      </c>
      <c r="AM16" s="3083" t="s">
        <v>1298</v>
      </c>
      <c r="AN16" s="3083" t="s">
        <v>1298</v>
      </c>
      <c r="AO16" s="3083">
        <v>0</v>
      </c>
      <c r="AP16" s="3083" t="s">
        <v>3224</v>
      </c>
      <c r="AQ16" s="3083" t="s">
        <v>1298</v>
      </c>
      <c r="AR16" s="3083" t="s">
        <v>1298</v>
      </c>
      <c r="AS16" s="3083" t="s">
        <v>1298</v>
      </c>
      <c r="AT16" s="3083" t="s">
        <v>3246</v>
      </c>
    </row>
    <row r="17" spans="1:46" s="3083" customFormat="1">
      <c r="A17" s="3083" t="s">
        <v>3282</v>
      </c>
      <c r="B17" s="3083" t="s">
        <v>3208</v>
      </c>
      <c r="C17" s="3083" t="s">
        <v>3209</v>
      </c>
      <c r="D17" s="3083" t="s">
        <v>3210</v>
      </c>
      <c r="E17" s="3083" t="s">
        <v>1298</v>
      </c>
      <c r="F17" s="3083" t="s">
        <v>3282</v>
      </c>
      <c r="G17" s="3083" t="s">
        <v>3212</v>
      </c>
      <c r="H17" s="3083" t="s">
        <v>3283</v>
      </c>
      <c r="I17" s="3083" t="s">
        <v>3214</v>
      </c>
      <c r="J17" s="3083">
        <v>5478.89</v>
      </c>
      <c r="K17" s="3083">
        <v>19176.12</v>
      </c>
      <c r="L17" s="3083" t="s">
        <v>3258</v>
      </c>
      <c r="M17" s="3083" t="s">
        <v>1298</v>
      </c>
      <c r="N17" s="3083" t="s">
        <v>3254</v>
      </c>
      <c r="O17" s="3083" t="s">
        <v>1298</v>
      </c>
      <c r="P17" s="3083" t="s">
        <v>1298</v>
      </c>
      <c r="Q17" s="3083" t="s">
        <v>1298</v>
      </c>
      <c r="R17" s="3083" t="s">
        <v>1298</v>
      </c>
      <c r="S17" s="3083" t="s">
        <v>1298</v>
      </c>
      <c r="T17" s="3083" t="s">
        <v>1298</v>
      </c>
      <c r="U17" s="3083" t="s">
        <v>1298</v>
      </c>
      <c r="V17" s="3083" t="s">
        <v>1298</v>
      </c>
      <c r="W17" s="3083" t="s">
        <v>3217</v>
      </c>
      <c r="X17" s="3083" t="s">
        <v>3259</v>
      </c>
      <c r="Y17" s="3083" t="s">
        <v>3260</v>
      </c>
      <c r="Z17" s="3083" t="s">
        <v>3271</v>
      </c>
      <c r="AA17" s="3083" t="s">
        <v>3271</v>
      </c>
      <c r="AB17" s="3083" t="s">
        <v>3262</v>
      </c>
      <c r="AC17" s="3083" t="s">
        <v>3222</v>
      </c>
      <c r="AD17" s="3083" t="s">
        <v>3263</v>
      </c>
      <c r="AE17" s="3083" t="s">
        <v>3264</v>
      </c>
      <c r="AF17" s="3083">
        <v>4135</v>
      </c>
      <c r="AG17" s="3083">
        <v>8269.31</v>
      </c>
      <c r="AH17" s="3083">
        <v>8269.31</v>
      </c>
      <c r="AI17" s="3083">
        <v>1006.2</v>
      </c>
      <c r="AJ17" s="3083">
        <v>1006.2</v>
      </c>
      <c r="AK17" s="3083">
        <v>4312.3</v>
      </c>
      <c r="AL17" s="3083">
        <v>4312.3</v>
      </c>
      <c r="AM17" s="3083" t="s">
        <v>1298</v>
      </c>
      <c r="AN17" s="3083" t="s">
        <v>1298</v>
      </c>
      <c r="AO17" s="3083">
        <v>0</v>
      </c>
      <c r="AP17" s="3083" t="s">
        <v>3224</v>
      </c>
      <c r="AQ17" s="3083" t="s">
        <v>1298</v>
      </c>
      <c r="AR17" s="3083" t="s">
        <v>1298</v>
      </c>
      <c r="AS17" s="3083" t="s">
        <v>1298</v>
      </c>
      <c r="AT17" s="3083" t="s">
        <v>3246</v>
      </c>
    </row>
    <row r="18" spans="1:46" s="3083" customFormat="1">
      <c r="A18" s="3083" t="s">
        <v>3266</v>
      </c>
      <c r="B18" s="3083" t="s">
        <v>3208</v>
      </c>
      <c r="C18" s="3083" t="s">
        <v>3209</v>
      </c>
      <c r="D18" s="3083" t="s">
        <v>3210</v>
      </c>
      <c r="E18" s="3083" t="s">
        <v>3267</v>
      </c>
      <c r="F18" s="3083" t="s">
        <v>3266</v>
      </c>
      <c r="G18" s="3083" t="s">
        <v>3237</v>
      </c>
      <c r="H18" s="3083" t="s">
        <v>3284</v>
      </c>
      <c r="I18" s="3083" t="s">
        <v>3214</v>
      </c>
      <c r="J18" s="3083">
        <v>2407.25</v>
      </c>
      <c r="K18" s="3083">
        <v>1203.6300000000001</v>
      </c>
      <c r="L18" s="3083" t="s">
        <v>3285</v>
      </c>
      <c r="M18" s="3083" t="s">
        <v>1298</v>
      </c>
      <c r="N18" s="3083" t="s">
        <v>3286</v>
      </c>
      <c r="O18" s="3083" t="s">
        <v>1298</v>
      </c>
      <c r="P18" s="3083" t="s">
        <v>1298</v>
      </c>
      <c r="Q18" s="3083" t="s">
        <v>1298</v>
      </c>
      <c r="R18" s="3083" t="s">
        <v>1298</v>
      </c>
      <c r="S18" s="3083" t="s">
        <v>1298</v>
      </c>
      <c r="T18" s="3083" t="s">
        <v>1298</v>
      </c>
      <c r="U18" s="3083" t="s">
        <v>1298</v>
      </c>
      <c r="V18" s="3083" t="s">
        <v>1298</v>
      </c>
      <c r="W18" s="3083" t="s">
        <v>3217</v>
      </c>
      <c r="X18" s="3083" t="s">
        <v>3259</v>
      </c>
      <c r="Y18" s="3083" t="s">
        <v>3287</v>
      </c>
      <c r="Z18" s="3083" t="s">
        <v>3287</v>
      </c>
      <c r="AA18" s="3083" t="s">
        <v>3287</v>
      </c>
      <c r="AB18" s="3083" t="s">
        <v>3288</v>
      </c>
      <c r="AC18" s="3083" t="s">
        <v>3222</v>
      </c>
      <c r="AD18" s="3083" t="s">
        <v>3289</v>
      </c>
      <c r="AE18" s="3083" t="s">
        <v>1298</v>
      </c>
      <c r="AF18" s="3083">
        <v>3589</v>
      </c>
      <c r="AG18" s="3083">
        <v>7176.68</v>
      </c>
      <c r="AH18" s="3083">
        <v>7176.68</v>
      </c>
      <c r="AI18" s="3083">
        <v>1987.52</v>
      </c>
      <c r="AJ18" s="3083">
        <v>1987.52</v>
      </c>
      <c r="AK18" s="3083">
        <v>59625.3</v>
      </c>
      <c r="AL18" s="3083">
        <v>59625.3</v>
      </c>
      <c r="AM18" s="3083" t="s">
        <v>1298</v>
      </c>
      <c r="AN18" s="3083" t="s">
        <v>1298</v>
      </c>
      <c r="AO18" s="3083">
        <v>0</v>
      </c>
      <c r="AP18" s="3083" t="s">
        <v>3224</v>
      </c>
      <c r="AQ18" s="3083" t="s">
        <v>1298</v>
      </c>
      <c r="AR18" s="3083" t="s">
        <v>1298</v>
      </c>
      <c r="AS18" s="3083" t="s">
        <v>1298</v>
      </c>
      <c r="AT18" s="3083" t="s">
        <v>3246</v>
      </c>
    </row>
    <row r="19" spans="1:46" s="3083" customFormat="1">
      <c r="A19" s="3083" t="s">
        <v>3276</v>
      </c>
      <c r="B19" s="3083" t="s">
        <v>3208</v>
      </c>
      <c r="C19" s="3083" t="s">
        <v>3209</v>
      </c>
      <c r="D19" s="3083" t="s">
        <v>3210</v>
      </c>
      <c r="E19" s="3083" t="s">
        <v>1298</v>
      </c>
      <c r="F19" s="3083" t="s">
        <v>3276</v>
      </c>
      <c r="G19" s="3083" t="s">
        <v>3237</v>
      </c>
      <c r="H19" s="3083" t="s">
        <v>3290</v>
      </c>
      <c r="I19" s="3083" t="s">
        <v>3214</v>
      </c>
      <c r="J19" s="3083">
        <v>14284.83</v>
      </c>
      <c r="K19" s="3083">
        <v>54996.6</v>
      </c>
      <c r="L19" s="3083" t="s">
        <v>3291</v>
      </c>
      <c r="M19" s="3083" t="s">
        <v>1298</v>
      </c>
      <c r="N19" s="3083" t="s">
        <v>3240</v>
      </c>
      <c r="O19" s="3083" t="s">
        <v>1298</v>
      </c>
      <c r="P19" s="3083" t="s">
        <v>1298</v>
      </c>
      <c r="Q19" s="3083" t="s">
        <v>1298</v>
      </c>
      <c r="R19" s="3083" t="s">
        <v>1298</v>
      </c>
      <c r="S19" s="3083" t="s">
        <v>1298</v>
      </c>
      <c r="T19" s="3083" t="s">
        <v>1298</v>
      </c>
      <c r="U19" s="3083" t="s">
        <v>1298</v>
      </c>
      <c r="V19" s="3083" t="s">
        <v>1298</v>
      </c>
      <c r="W19" s="3083" t="s">
        <v>3217</v>
      </c>
      <c r="X19" s="3083" t="s">
        <v>3259</v>
      </c>
      <c r="Y19" s="3083" t="s">
        <v>3292</v>
      </c>
      <c r="Z19" s="3083" t="s">
        <v>3292</v>
      </c>
      <c r="AA19" s="3083" t="s">
        <v>3292</v>
      </c>
      <c r="AB19" s="3083" t="s">
        <v>3293</v>
      </c>
      <c r="AC19" s="3083" t="s">
        <v>3222</v>
      </c>
      <c r="AD19" s="3083" t="s">
        <v>3294</v>
      </c>
      <c r="AE19" s="3083" t="s">
        <v>3273</v>
      </c>
      <c r="AF19" s="3083">
        <v>866</v>
      </c>
      <c r="AG19" s="3083">
        <v>4328.8500000000004</v>
      </c>
      <c r="AH19" s="3083">
        <v>4328.8500000000004</v>
      </c>
      <c r="AI19" s="3083">
        <v>202.03</v>
      </c>
      <c r="AJ19" s="3083">
        <v>202.03</v>
      </c>
      <c r="AK19" s="3083">
        <v>787.11</v>
      </c>
      <c r="AL19" s="3083">
        <v>787.11</v>
      </c>
      <c r="AM19" s="3083" t="s">
        <v>1298</v>
      </c>
      <c r="AN19" s="3083" t="s">
        <v>1298</v>
      </c>
      <c r="AO19" s="3083">
        <v>0</v>
      </c>
      <c r="AP19" s="3083" t="s">
        <v>3224</v>
      </c>
      <c r="AQ19" s="3083" t="s">
        <v>1298</v>
      </c>
      <c r="AR19" s="3083" t="s">
        <v>1298</v>
      </c>
      <c r="AS19" s="3083" t="s">
        <v>1298</v>
      </c>
      <c r="AT19" s="3083" t="s">
        <v>3246</v>
      </c>
    </row>
    <row r="20" spans="1:46" s="3083" customFormat="1">
      <c r="A20" s="3083" t="s">
        <v>3266</v>
      </c>
      <c r="B20" s="3083" t="s">
        <v>3208</v>
      </c>
      <c r="C20" s="3083" t="s">
        <v>3209</v>
      </c>
      <c r="D20" s="3083" t="s">
        <v>3210</v>
      </c>
      <c r="E20" s="3083" t="s">
        <v>3267</v>
      </c>
      <c r="F20" s="3083" t="s">
        <v>3266</v>
      </c>
      <c r="G20" s="3083" t="s">
        <v>3212</v>
      </c>
      <c r="H20" s="3083" t="s">
        <v>3295</v>
      </c>
      <c r="I20" s="3083" t="s">
        <v>3214</v>
      </c>
      <c r="J20" s="3083">
        <v>1110.04</v>
      </c>
      <c r="K20" s="3083">
        <v>6660.24</v>
      </c>
      <c r="L20" s="3083" t="s">
        <v>3296</v>
      </c>
      <c r="M20" s="3083" t="s">
        <v>1298</v>
      </c>
      <c r="N20" s="3083" t="s">
        <v>3240</v>
      </c>
      <c r="O20" s="3083" t="s">
        <v>1298</v>
      </c>
      <c r="P20" s="3083" t="s">
        <v>1298</v>
      </c>
      <c r="Q20" s="3083" t="s">
        <v>1298</v>
      </c>
      <c r="R20" s="3083" t="s">
        <v>1298</v>
      </c>
      <c r="S20" s="3083" t="s">
        <v>1298</v>
      </c>
      <c r="T20" s="3083" t="s">
        <v>1298</v>
      </c>
      <c r="U20" s="3083" t="s">
        <v>1298</v>
      </c>
      <c r="V20" s="3083" t="s">
        <v>1298</v>
      </c>
      <c r="W20" s="3083" t="s">
        <v>3217</v>
      </c>
      <c r="X20" s="3083" t="s">
        <v>3297</v>
      </c>
      <c r="Y20" s="3083" t="s">
        <v>3298</v>
      </c>
      <c r="Z20" s="3083" t="s">
        <v>3299</v>
      </c>
      <c r="AA20" s="3083" t="s">
        <v>3299</v>
      </c>
      <c r="AB20" s="3083" t="s">
        <v>3300</v>
      </c>
      <c r="AC20" s="3083" t="s">
        <v>3222</v>
      </c>
      <c r="AD20" s="3083" t="s">
        <v>3301</v>
      </c>
      <c r="AE20" s="3083" t="s">
        <v>1298</v>
      </c>
      <c r="AF20" s="3083">
        <v>1843</v>
      </c>
      <c r="AG20" s="3083">
        <v>3685.69</v>
      </c>
      <c r="AH20" s="3083">
        <v>3685.69</v>
      </c>
      <c r="AI20" s="3083">
        <v>2213.5500000000002</v>
      </c>
      <c r="AJ20" s="3083">
        <v>2213.5500000000002</v>
      </c>
      <c r="AK20" s="3083">
        <v>5533.86</v>
      </c>
      <c r="AL20" s="3083">
        <v>5533.86</v>
      </c>
      <c r="AM20" s="3083" t="s">
        <v>1298</v>
      </c>
      <c r="AN20" s="3083" t="s">
        <v>1298</v>
      </c>
      <c r="AO20" s="3083">
        <v>0</v>
      </c>
      <c r="AP20" s="3083" t="s">
        <v>3224</v>
      </c>
      <c r="AQ20" s="3083" t="s">
        <v>1298</v>
      </c>
      <c r="AR20" s="3083" t="s">
        <v>1298</v>
      </c>
      <c r="AS20" s="3083" t="s">
        <v>1298</v>
      </c>
      <c r="AT20" s="3083" t="s">
        <v>3246</v>
      </c>
    </row>
    <row r="21" spans="1:46" s="3083" customFormat="1">
      <c r="A21" s="3083" t="s">
        <v>3266</v>
      </c>
      <c r="B21" s="3083" t="s">
        <v>3208</v>
      </c>
      <c r="C21" s="3083" t="s">
        <v>3209</v>
      </c>
      <c r="D21" s="3083" t="s">
        <v>3210</v>
      </c>
      <c r="E21" s="3083" t="s">
        <v>3267</v>
      </c>
      <c r="F21" s="3083" t="s">
        <v>3266</v>
      </c>
      <c r="G21" s="3083" t="s">
        <v>3212</v>
      </c>
      <c r="H21" s="3083" t="s">
        <v>3302</v>
      </c>
      <c r="I21" s="3083" t="s">
        <v>3214</v>
      </c>
      <c r="J21" s="3083">
        <v>984.38</v>
      </c>
      <c r="K21" s="3083">
        <v>4990.8100000000004</v>
      </c>
      <c r="L21" s="3083" t="s">
        <v>3303</v>
      </c>
      <c r="M21" s="3083" t="s">
        <v>1298</v>
      </c>
      <c r="N21" s="3083" t="s">
        <v>3304</v>
      </c>
      <c r="O21" s="3083" t="s">
        <v>1298</v>
      </c>
      <c r="P21" s="3083" t="s">
        <v>1298</v>
      </c>
      <c r="Q21" s="3083" t="s">
        <v>1298</v>
      </c>
      <c r="R21" s="3083" t="s">
        <v>1298</v>
      </c>
      <c r="S21" s="3083" t="s">
        <v>1298</v>
      </c>
      <c r="T21" s="3083" t="s">
        <v>1298</v>
      </c>
      <c r="U21" s="3083" t="s">
        <v>1298</v>
      </c>
      <c r="V21" s="3083" t="s">
        <v>1298</v>
      </c>
      <c r="W21" s="3083" t="s">
        <v>3217</v>
      </c>
      <c r="X21" s="3083" t="s">
        <v>3297</v>
      </c>
      <c r="Y21" s="3083" t="s">
        <v>3298</v>
      </c>
      <c r="Z21" s="3083" t="s">
        <v>3299</v>
      </c>
      <c r="AA21" s="3083" t="s">
        <v>3299</v>
      </c>
      <c r="AB21" s="3083" t="s">
        <v>3300</v>
      </c>
      <c r="AC21" s="3083" t="s">
        <v>3222</v>
      </c>
      <c r="AD21" s="3083" t="s">
        <v>3301</v>
      </c>
      <c r="AE21" s="3083" t="s">
        <v>1298</v>
      </c>
      <c r="AF21" s="3083">
        <v>1634</v>
      </c>
      <c r="AG21" s="3083">
        <v>3266.36</v>
      </c>
      <c r="AH21" s="3083">
        <v>3266.36</v>
      </c>
      <c r="AI21" s="3083">
        <v>2212.13</v>
      </c>
      <c r="AJ21" s="3083">
        <v>2212.13</v>
      </c>
      <c r="AK21" s="3083">
        <v>6544.74</v>
      </c>
      <c r="AL21" s="3083">
        <v>6544.75</v>
      </c>
      <c r="AM21" s="3083" t="s">
        <v>1298</v>
      </c>
      <c r="AN21" s="3083" t="s">
        <v>1298</v>
      </c>
      <c r="AO21" s="3083">
        <v>0</v>
      </c>
      <c r="AP21" s="3083" t="s">
        <v>3224</v>
      </c>
      <c r="AQ21" s="3083" t="s">
        <v>1298</v>
      </c>
      <c r="AR21" s="3083" t="s">
        <v>1298</v>
      </c>
      <c r="AS21" s="3083" t="s">
        <v>1298</v>
      </c>
      <c r="AT21" s="3083" t="s">
        <v>3246</v>
      </c>
    </row>
    <row r="22" spans="1:46" s="3083" customFormat="1">
      <c r="A22" s="3083" t="s">
        <v>3266</v>
      </c>
      <c r="B22" s="3083" t="s">
        <v>3208</v>
      </c>
      <c r="C22" s="3083" t="s">
        <v>3209</v>
      </c>
      <c r="D22" s="3083" t="s">
        <v>3210</v>
      </c>
      <c r="E22" s="3083" t="s">
        <v>3267</v>
      </c>
      <c r="F22" s="3083" t="s">
        <v>3266</v>
      </c>
      <c r="G22" s="3083" t="s">
        <v>3212</v>
      </c>
      <c r="H22" s="3083" t="s">
        <v>3305</v>
      </c>
      <c r="I22" s="3083" t="s">
        <v>3214</v>
      </c>
      <c r="J22" s="3083">
        <v>741.23</v>
      </c>
      <c r="K22" s="3083">
        <v>3758.04</v>
      </c>
      <c r="L22" s="3083" t="s">
        <v>3303</v>
      </c>
      <c r="M22" s="3083" t="s">
        <v>1298</v>
      </c>
      <c r="N22" s="3083" t="s">
        <v>3304</v>
      </c>
      <c r="O22" s="3083" t="s">
        <v>1298</v>
      </c>
      <c r="P22" s="3083" t="s">
        <v>1298</v>
      </c>
      <c r="Q22" s="3083" t="s">
        <v>1298</v>
      </c>
      <c r="R22" s="3083" t="s">
        <v>1298</v>
      </c>
      <c r="S22" s="3083" t="s">
        <v>1298</v>
      </c>
      <c r="T22" s="3083" t="s">
        <v>1298</v>
      </c>
      <c r="U22" s="3083" t="s">
        <v>1298</v>
      </c>
      <c r="V22" s="3083" t="s">
        <v>1298</v>
      </c>
      <c r="W22" s="3083" t="s">
        <v>3217</v>
      </c>
      <c r="X22" s="3083" t="s">
        <v>3297</v>
      </c>
      <c r="Y22" s="3083" t="s">
        <v>3298</v>
      </c>
      <c r="Z22" s="3083" t="s">
        <v>3299</v>
      </c>
      <c r="AA22" s="3083" t="s">
        <v>3299</v>
      </c>
      <c r="AB22" s="3083" t="s">
        <v>3300</v>
      </c>
      <c r="AC22" s="3083" t="s">
        <v>3222</v>
      </c>
      <c r="AD22" s="3083" t="s">
        <v>3301</v>
      </c>
      <c r="AE22" s="3083" t="s">
        <v>1298</v>
      </c>
      <c r="AF22" s="3083">
        <v>1225</v>
      </c>
      <c r="AG22" s="3083">
        <v>2449.7600000000002</v>
      </c>
      <c r="AH22" s="3083">
        <v>2449.7600000000002</v>
      </c>
      <c r="AI22" s="3083">
        <v>2203.33</v>
      </c>
      <c r="AJ22" s="3083">
        <v>2203.33</v>
      </c>
      <c r="AK22" s="3083">
        <v>6518.74</v>
      </c>
      <c r="AL22" s="3083">
        <v>6518.73</v>
      </c>
      <c r="AM22" s="3083" t="s">
        <v>1298</v>
      </c>
      <c r="AN22" s="3083" t="s">
        <v>1298</v>
      </c>
      <c r="AO22" s="3083">
        <v>0</v>
      </c>
      <c r="AP22" s="3083" t="s">
        <v>3224</v>
      </c>
      <c r="AQ22" s="3083" t="s">
        <v>1298</v>
      </c>
      <c r="AR22" s="3083" t="s">
        <v>1298</v>
      </c>
      <c r="AS22" s="3083" t="s">
        <v>1298</v>
      </c>
      <c r="AT22" s="3083" t="s">
        <v>3246</v>
      </c>
    </row>
    <row r="23" spans="1:46" s="3083" customFormat="1">
      <c r="A23" s="3083" t="s">
        <v>3207</v>
      </c>
      <c r="B23" s="3083" t="s">
        <v>3208</v>
      </c>
      <c r="C23" s="3083" t="s">
        <v>3209</v>
      </c>
      <c r="D23" s="3083" t="s">
        <v>3210</v>
      </c>
      <c r="E23" s="3083" t="s">
        <v>3211</v>
      </c>
      <c r="F23" s="3083" t="s">
        <v>3207</v>
      </c>
      <c r="G23" s="3083" t="s">
        <v>3237</v>
      </c>
      <c r="H23" s="3083" t="s">
        <v>3306</v>
      </c>
      <c r="I23" s="3083" t="s">
        <v>3214</v>
      </c>
      <c r="J23" s="3083">
        <v>14909.6</v>
      </c>
      <c r="K23" s="3083">
        <v>59638.400000000001</v>
      </c>
      <c r="L23" s="3083" t="s">
        <v>3230</v>
      </c>
      <c r="M23" s="3083" t="s">
        <v>1298</v>
      </c>
      <c r="N23" s="3083" t="s">
        <v>3307</v>
      </c>
      <c r="O23" s="3083" t="s">
        <v>1298</v>
      </c>
      <c r="P23" s="3083" t="s">
        <v>1298</v>
      </c>
      <c r="Q23" s="3083" t="s">
        <v>1298</v>
      </c>
      <c r="R23" s="3083" t="s">
        <v>1298</v>
      </c>
      <c r="S23" s="3083" t="s">
        <v>1298</v>
      </c>
      <c r="T23" s="3083" t="s">
        <v>1298</v>
      </c>
      <c r="U23" s="3083" t="s">
        <v>1298</v>
      </c>
      <c r="V23" s="3083" t="s">
        <v>1298</v>
      </c>
      <c r="W23" s="3083" t="s">
        <v>3217</v>
      </c>
      <c r="X23" s="3083" t="s">
        <v>3308</v>
      </c>
      <c r="Y23" s="3083" t="s">
        <v>3309</v>
      </c>
      <c r="Z23" s="3083" t="s">
        <v>3309</v>
      </c>
      <c r="AA23" s="3083" t="s">
        <v>3309</v>
      </c>
      <c r="AB23" s="3083" t="s">
        <v>3310</v>
      </c>
      <c r="AC23" s="3083" t="s">
        <v>3222</v>
      </c>
      <c r="AD23" s="3083" t="s">
        <v>3311</v>
      </c>
      <c r="AE23" s="3083" t="s">
        <v>1298</v>
      </c>
      <c r="AF23" s="3083">
        <v>1978</v>
      </c>
      <c r="AG23" s="3083">
        <v>3957.71</v>
      </c>
      <c r="AH23" s="3083">
        <v>3957.71</v>
      </c>
      <c r="AI23" s="3083">
        <v>176.96</v>
      </c>
      <c r="AJ23" s="3083">
        <v>176.96</v>
      </c>
      <c r="AK23" s="3083">
        <v>663.61</v>
      </c>
      <c r="AL23" s="3083">
        <v>663.62</v>
      </c>
      <c r="AM23" s="3083" t="s">
        <v>1298</v>
      </c>
      <c r="AN23" s="3083" t="s">
        <v>1298</v>
      </c>
      <c r="AO23" s="3083">
        <v>0</v>
      </c>
      <c r="AP23" s="3083" t="s">
        <v>3224</v>
      </c>
      <c r="AQ23" s="3083" t="s">
        <v>1298</v>
      </c>
      <c r="AR23" s="3083" t="s">
        <v>1298</v>
      </c>
      <c r="AS23" s="3083" t="s">
        <v>1298</v>
      </c>
      <c r="AT23" s="3083" t="s">
        <v>3225</v>
      </c>
    </row>
    <row r="24" spans="1:46" s="3083" customFormat="1">
      <c r="A24" s="3083" t="s">
        <v>3207</v>
      </c>
      <c r="B24" s="3083" t="s">
        <v>3208</v>
      </c>
      <c r="C24" s="3083" t="s">
        <v>3209</v>
      </c>
      <c r="D24" s="3083" t="s">
        <v>3210</v>
      </c>
      <c r="E24" s="3083" t="s">
        <v>3211</v>
      </c>
      <c r="F24" s="3083" t="s">
        <v>3207</v>
      </c>
      <c r="G24" s="3083" t="s">
        <v>3212</v>
      </c>
      <c r="H24" s="3083" t="s">
        <v>3312</v>
      </c>
      <c r="I24" s="3083" t="s">
        <v>3313</v>
      </c>
      <c r="J24" s="3083">
        <v>58857.85</v>
      </c>
      <c r="K24" s="3083">
        <v>353147.1</v>
      </c>
      <c r="L24" s="3083" t="s">
        <v>3314</v>
      </c>
      <c r="M24" s="3083" t="s">
        <v>1298</v>
      </c>
      <c r="N24" s="3083" t="s">
        <v>3315</v>
      </c>
      <c r="O24" s="3083" t="s">
        <v>1298</v>
      </c>
      <c r="P24" s="3083" t="s">
        <v>1298</v>
      </c>
      <c r="Q24" s="3083" t="s">
        <v>1298</v>
      </c>
      <c r="R24" s="3083" t="s">
        <v>1298</v>
      </c>
      <c r="S24" s="3083" t="s">
        <v>1298</v>
      </c>
      <c r="T24" s="3083" t="s">
        <v>1298</v>
      </c>
      <c r="U24" s="3083" t="s">
        <v>1298</v>
      </c>
      <c r="V24" s="3083" t="s">
        <v>1298</v>
      </c>
      <c r="W24" s="3083" t="s">
        <v>3316</v>
      </c>
      <c r="X24" s="3083" t="s">
        <v>3317</v>
      </c>
      <c r="Y24" s="3083" t="s">
        <v>3318</v>
      </c>
      <c r="Z24" s="3083" t="s">
        <v>3319</v>
      </c>
      <c r="AA24" s="3083" t="s">
        <v>3319</v>
      </c>
      <c r="AB24" s="3083" t="s">
        <v>3320</v>
      </c>
      <c r="AC24" s="3083" t="s">
        <v>3222</v>
      </c>
      <c r="AD24" s="3083" t="s">
        <v>3223</v>
      </c>
      <c r="AE24" s="3083" t="s">
        <v>1298</v>
      </c>
      <c r="AF24" s="3083">
        <v>8475.5300000000007</v>
      </c>
      <c r="AG24" s="3083">
        <v>28251.77</v>
      </c>
      <c r="AH24" s="3083">
        <v>28251.77</v>
      </c>
      <c r="AI24" s="3083">
        <v>320</v>
      </c>
      <c r="AJ24" s="3083">
        <v>320</v>
      </c>
      <c r="AK24" s="3083">
        <v>800</v>
      </c>
      <c r="AL24" s="3083">
        <v>800</v>
      </c>
      <c r="AM24" s="3083" t="s">
        <v>1298</v>
      </c>
      <c r="AN24" s="3083" t="s">
        <v>1298</v>
      </c>
      <c r="AO24" s="3083">
        <v>0</v>
      </c>
      <c r="AP24" s="3083">
        <v>40</v>
      </c>
      <c r="AQ24" s="3083" t="s">
        <v>1298</v>
      </c>
      <c r="AR24" s="3083" t="s">
        <v>1298</v>
      </c>
      <c r="AS24" s="3083" t="s">
        <v>1298</v>
      </c>
      <c r="AT24" s="3083" t="s">
        <v>3225</v>
      </c>
    </row>
    <row r="25" spans="1:46" s="3083" customFormat="1">
      <c r="A25" s="3083" t="s">
        <v>3207</v>
      </c>
      <c r="B25" s="3083" t="s">
        <v>3208</v>
      </c>
      <c r="C25" s="3083" t="s">
        <v>3209</v>
      </c>
      <c r="D25" s="3083" t="s">
        <v>3210</v>
      </c>
      <c r="E25" s="3083" t="s">
        <v>3321</v>
      </c>
      <c r="F25" s="3083" t="s">
        <v>3207</v>
      </c>
      <c r="G25" s="3083" t="s">
        <v>3237</v>
      </c>
      <c r="H25" s="3083" t="s">
        <v>3322</v>
      </c>
      <c r="I25" s="3083" t="s">
        <v>3313</v>
      </c>
      <c r="J25" s="3083">
        <v>15608.61</v>
      </c>
      <c r="K25" s="3083">
        <v>46825.83</v>
      </c>
      <c r="L25" s="3083" t="s">
        <v>3323</v>
      </c>
      <c r="M25" s="3083" t="s">
        <v>1298</v>
      </c>
      <c r="N25" s="3083" t="s">
        <v>3324</v>
      </c>
      <c r="O25" s="3083" t="s">
        <v>1298</v>
      </c>
      <c r="P25" s="3083" t="s">
        <v>1298</v>
      </c>
      <c r="Q25" s="3083" t="s">
        <v>1298</v>
      </c>
      <c r="R25" s="3083" t="s">
        <v>1298</v>
      </c>
      <c r="S25" s="3083" t="s">
        <v>1298</v>
      </c>
      <c r="T25" s="3083" t="s">
        <v>1298</v>
      </c>
      <c r="U25" s="3083" t="s">
        <v>1298</v>
      </c>
      <c r="V25" s="3083" t="s">
        <v>1298</v>
      </c>
      <c r="W25" s="3083" t="s">
        <v>3316</v>
      </c>
      <c r="X25" s="3083" t="s">
        <v>3325</v>
      </c>
      <c r="Y25" s="3083" t="s">
        <v>3326</v>
      </c>
      <c r="Z25" s="3083" t="s">
        <v>3326</v>
      </c>
      <c r="AA25" s="3083" t="s">
        <v>3326</v>
      </c>
      <c r="AB25" s="3083" t="s">
        <v>3327</v>
      </c>
      <c r="AC25" s="3083" t="s">
        <v>3222</v>
      </c>
      <c r="AD25" s="3083" t="s">
        <v>3328</v>
      </c>
      <c r="AE25" s="3083" t="s">
        <v>3329</v>
      </c>
      <c r="AF25" s="3083">
        <v>1849.39</v>
      </c>
      <c r="AG25" s="3083">
        <v>3698.78</v>
      </c>
      <c r="AH25" s="3083">
        <v>3698.78</v>
      </c>
      <c r="AI25" s="3083">
        <v>157.97999999999999</v>
      </c>
      <c r="AJ25" s="3083">
        <v>157.97999999999999</v>
      </c>
      <c r="AK25" s="3083">
        <v>789.9</v>
      </c>
      <c r="AL25" s="3083">
        <v>789.89</v>
      </c>
      <c r="AM25" s="3083" t="s">
        <v>1298</v>
      </c>
      <c r="AN25" s="3083" t="s">
        <v>1298</v>
      </c>
      <c r="AO25" s="3083">
        <v>0</v>
      </c>
      <c r="AP25" s="3083" t="s">
        <v>3224</v>
      </c>
      <c r="AQ25" s="3083" t="s">
        <v>1298</v>
      </c>
      <c r="AR25" s="3083" t="s">
        <v>1298</v>
      </c>
      <c r="AS25" s="3083" t="s">
        <v>1298</v>
      </c>
      <c r="AT25" s="3083" t="s">
        <v>3330</v>
      </c>
    </row>
    <row r="26" spans="1:46" s="3083" customFormat="1">
      <c r="A26" s="3083" t="s">
        <v>3207</v>
      </c>
      <c r="B26" s="3083" t="s">
        <v>3208</v>
      </c>
      <c r="C26" s="3083" t="s">
        <v>3209</v>
      </c>
      <c r="D26" s="3083" t="s">
        <v>3210</v>
      </c>
      <c r="E26" s="3083" t="s">
        <v>3321</v>
      </c>
      <c r="F26" s="3083" t="s">
        <v>3207</v>
      </c>
      <c r="G26" s="3083" t="s">
        <v>3237</v>
      </c>
      <c r="H26" s="3083" t="s">
        <v>3331</v>
      </c>
      <c r="I26" s="3083" t="s">
        <v>3332</v>
      </c>
      <c r="J26" s="3083">
        <v>31147.040000000001</v>
      </c>
      <c r="K26" s="3083">
        <v>87211.71</v>
      </c>
      <c r="L26" s="3083" t="s">
        <v>3333</v>
      </c>
      <c r="M26" s="3083" t="s">
        <v>1298</v>
      </c>
      <c r="N26" s="3083" t="s">
        <v>3334</v>
      </c>
      <c r="O26" s="3083" t="s">
        <v>1298</v>
      </c>
      <c r="P26" s="3083" t="s">
        <v>1298</v>
      </c>
      <c r="Q26" s="3083" t="s">
        <v>1298</v>
      </c>
      <c r="R26" s="3083" t="s">
        <v>1298</v>
      </c>
      <c r="S26" s="3083" t="s">
        <v>1298</v>
      </c>
      <c r="T26" s="3083" t="s">
        <v>1298</v>
      </c>
      <c r="U26" s="3083" t="s">
        <v>1298</v>
      </c>
      <c r="V26" s="3083" t="s">
        <v>1298</v>
      </c>
      <c r="W26" s="3083" t="s">
        <v>3316</v>
      </c>
      <c r="X26" s="3083" t="s">
        <v>3325</v>
      </c>
      <c r="Y26" s="3083" t="s">
        <v>3326</v>
      </c>
      <c r="Z26" s="3083" t="s">
        <v>3326</v>
      </c>
      <c r="AA26" s="3083" t="s">
        <v>3326</v>
      </c>
      <c r="AB26" s="3083" t="s">
        <v>3327</v>
      </c>
      <c r="AC26" s="3083" t="s">
        <v>3222</v>
      </c>
      <c r="AD26" s="3083" t="s">
        <v>3328</v>
      </c>
      <c r="AE26" s="3083" t="s">
        <v>3329</v>
      </c>
      <c r="AF26" s="3083">
        <v>3690.88</v>
      </c>
      <c r="AG26" s="3083">
        <v>7381.76</v>
      </c>
      <c r="AH26" s="3083">
        <v>7381.76</v>
      </c>
      <c r="AI26" s="3083">
        <v>158</v>
      </c>
      <c r="AJ26" s="3083">
        <v>158</v>
      </c>
      <c r="AK26" s="3083">
        <v>846.41</v>
      </c>
      <c r="AL26" s="3083">
        <v>846.41</v>
      </c>
      <c r="AM26" s="3083" t="s">
        <v>1298</v>
      </c>
      <c r="AN26" s="3083" t="s">
        <v>1298</v>
      </c>
      <c r="AO26" s="3083">
        <v>0</v>
      </c>
      <c r="AP26" s="3083" t="s">
        <v>3224</v>
      </c>
      <c r="AQ26" s="3083" t="s">
        <v>1298</v>
      </c>
      <c r="AR26" s="3083" t="s">
        <v>1298</v>
      </c>
      <c r="AS26" s="3083" t="s">
        <v>1298</v>
      </c>
      <c r="AT26" s="3083" t="s">
        <v>3330</v>
      </c>
    </row>
    <row r="27" spans="1:46" s="3083" customFormat="1">
      <c r="A27" s="3083" t="s">
        <v>3207</v>
      </c>
      <c r="B27" s="3083" t="s">
        <v>3208</v>
      </c>
      <c r="C27" s="3083" t="s">
        <v>3209</v>
      </c>
      <c r="D27" s="3083" t="s">
        <v>3210</v>
      </c>
      <c r="E27" s="3083" t="s">
        <v>3321</v>
      </c>
      <c r="F27" s="3083" t="s">
        <v>3207</v>
      </c>
      <c r="G27" s="3083" t="s">
        <v>3237</v>
      </c>
      <c r="H27" s="3083" t="s">
        <v>3335</v>
      </c>
      <c r="I27" s="3083" t="s">
        <v>3332</v>
      </c>
      <c r="J27" s="3083">
        <v>18740.11</v>
      </c>
      <c r="K27" s="3083">
        <v>37480.22</v>
      </c>
      <c r="L27" s="3083" t="s">
        <v>3336</v>
      </c>
      <c r="M27" s="3083" t="s">
        <v>1298</v>
      </c>
      <c r="N27" s="3083" t="s">
        <v>3334</v>
      </c>
      <c r="O27" s="3083" t="s">
        <v>1298</v>
      </c>
      <c r="P27" s="3083" t="s">
        <v>1298</v>
      </c>
      <c r="Q27" s="3083" t="s">
        <v>1298</v>
      </c>
      <c r="R27" s="3083" t="s">
        <v>1298</v>
      </c>
      <c r="S27" s="3083" t="s">
        <v>1298</v>
      </c>
      <c r="T27" s="3083" t="s">
        <v>1298</v>
      </c>
      <c r="U27" s="3083" t="s">
        <v>1298</v>
      </c>
      <c r="V27" s="3083" t="s">
        <v>1298</v>
      </c>
      <c r="W27" s="3083" t="s">
        <v>3316</v>
      </c>
      <c r="X27" s="3083" t="s">
        <v>3325</v>
      </c>
      <c r="Y27" s="3083" t="s">
        <v>3326</v>
      </c>
      <c r="Z27" s="3083" t="s">
        <v>3326</v>
      </c>
      <c r="AA27" s="3083" t="s">
        <v>3326</v>
      </c>
      <c r="AB27" s="3083" t="s">
        <v>3327</v>
      </c>
      <c r="AC27" s="3083" t="s">
        <v>3222</v>
      </c>
      <c r="AD27" s="3083" t="s">
        <v>3328</v>
      </c>
      <c r="AE27" s="3083" t="s">
        <v>3329</v>
      </c>
      <c r="AF27" s="3083">
        <v>2220.69</v>
      </c>
      <c r="AG27" s="3083">
        <v>4441.38</v>
      </c>
      <c r="AH27" s="3083">
        <v>4441.38</v>
      </c>
      <c r="AI27" s="3083">
        <v>158</v>
      </c>
      <c r="AJ27" s="3083">
        <v>158</v>
      </c>
      <c r="AK27" s="3083">
        <v>1184.99</v>
      </c>
      <c r="AL27" s="3083">
        <v>1184.99</v>
      </c>
      <c r="AM27" s="3083" t="s">
        <v>1298</v>
      </c>
      <c r="AN27" s="3083" t="s">
        <v>1298</v>
      </c>
      <c r="AO27" s="3083">
        <v>0</v>
      </c>
      <c r="AP27" s="3083" t="s">
        <v>3224</v>
      </c>
      <c r="AQ27" s="3083" t="s">
        <v>1298</v>
      </c>
      <c r="AR27" s="3083" t="s">
        <v>1298</v>
      </c>
      <c r="AS27" s="3083" t="s">
        <v>1298</v>
      </c>
      <c r="AT27" s="3083" t="s">
        <v>3330</v>
      </c>
    </row>
    <row r="28" spans="1:46" s="3083" customFormat="1">
      <c r="A28" s="3083" t="s">
        <v>3337</v>
      </c>
      <c r="B28" s="3083" t="s">
        <v>3208</v>
      </c>
      <c r="C28" s="3083" t="s">
        <v>3209</v>
      </c>
      <c r="D28" s="3083" t="s">
        <v>3210</v>
      </c>
      <c r="E28" s="3083" t="s">
        <v>1298</v>
      </c>
      <c r="F28" s="3083" t="s">
        <v>3337</v>
      </c>
      <c r="G28" s="3083" t="s">
        <v>3237</v>
      </c>
      <c r="H28" s="3083" t="s">
        <v>3338</v>
      </c>
      <c r="I28" s="3083" t="s">
        <v>3214</v>
      </c>
      <c r="J28" s="3083">
        <v>3349.46</v>
      </c>
      <c r="K28" s="3083">
        <v>1674.73</v>
      </c>
      <c r="L28" s="3083" t="s">
        <v>3285</v>
      </c>
      <c r="M28" s="3083" t="s">
        <v>1298</v>
      </c>
      <c r="N28" s="3083" t="s">
        <v>3286</v>
      </c>
      <c r="O28" s="3083" t="s">
        <v>1298</v>
      </c>
      <c r="P28" s="3083" t="s">
        <v>1298</v>
      </c>
      <c r="Q28" s="3083" t="s">
        <v>1298</v>
      </c>
      <c r="R28" s="3083" t="s">
        <v>1298</v>
      </c>
      <c r="S28" s="3083" t="s">
        <v>1298</v>
      </c>
      <c r="T28" s="3083" t="s">
        <v>1298</v>
      </c>
      <c r="U28" s="3083" t="s">
        <v>1298</v>
      </c>
      <c r="V28" s="3083" t="s">
        <v>1298</v>
      </c>
      <c r="W28" s="3083" t="s">
        <v>3316</v>
      </c>
      <c r="X28" s="3083" t="s">
        <v>3339</v>
      </c>
      <c r="Y28" s="3083" t="s">
        <v>3340</v>
      </c>
      <c r="Z28" s="3083" t="s">
        <v>3340</v>
      </c>
      <c r="AA28" s="3083" t="s">
        <v>3340</v>
      </c>
      <c r="AB28" s="3083" t="s">
        <v>3341</v>
      </c>
      <c r="AC28" s="3083" t="s">
        <v>3222</v>
      </c>
      <c r="AD28" s="3083" t="s">
        <v>3289</v>
      </c>
      <c r="AE28" s="3083" t="s">
        <v>1298</v>
      </c>
      <c r="AF28" s="3083">
        <v>997.73</v>
      </c>
      <c r="AG28" s="3083">
        <v>1995.45</v>
      </c>
      <c r="AH28" s="3083">
        <v>1995.45</v>
      </c>
      <c r="AI28" s="3083">
        <v>397.17</v>
      </c>
      <c r="AJ28" s="3083">
        <v>397.17</v>
      </c>
      <c r="AK28" s="3083">
        <v>11915.05</v>
      </c>
      <c r="AL28" s="3083">
        <v>11915.04</v>
      </c>
      <c r="AM28" s="3083" t="s">
        <v>1298</v>
      </c>
      <c r="AN28" s="3083" t="s">
        <v>1298</v>
      </c>
      <c r="AO28" s="3083">
        <v>0</v>
      </c>
      <c r="AP28" s="3083" t="s">
        <v>3224</v>
      </c>
      <c r="AQ28" s="3083" t="s">
        <v>1298</v>
      </c>
      <c r="AR28" s="3083" t="s">
        <v>1298</v>
      </c>
      <c r="AS28" s="3083" t="s">
        <v>1298</v>
      </c>
      <c r="AT28" s="3083" t="s">
        <v>3265</v>
      </c>
    </row>
    <row r="29" spans="1:46" s="3085" customFormat="1" ht="12.75">
      <c r="A29" s="3085" t="s">
        <v>3342</v>
      </c>
      <c r="B29" s="3085" t="s">
        <v>3208</v>
      </c>
      <c r="C29" s="3085" t="s">
        <v>3209</v>
      </c>
      <c r="D29" s="3085" t="s">
        <v>3210</v>
      </c>
      <c r="E29" s="3085" t="s">
        <v>3343</v>
      </c>
      <c r="F29" s="3085" t="s">
        <v>3342</v>
      </c>
      <c r="G29" s="3085" t="s">
        <v>3212</v>
      </c>
      <c r="H29" s="3085" t="s">
        <v>3344</v>
      </c>
      <c r="I29" s="3085" t="s">
        <v>3332</v>
      </c>
      <c r="J29" s="3085">
        <v>17591.72</v>
      </c>
      <c r="K29" s="3085">
        <v>35183.440000000002</v>
      </c>
      <c r="L29" s="3085" t="s">
        <v>3345</v>
      </c>
      <c r="M29" s="3085" t="s">
        <v>1298</v>
      </c>
      <c r="N29" s="3085" t="s">
        <v>3334</v>
      </c>
      <c r="O29" s="3085" t="s">
        <v>1298</v>
      </c>
      <c r="P29" s="3085" t="s">
        <v>1298</v>
      </c>
      <c r="Q29" s="3085" t="s">
        <v>1298</v>
      </c>
      <c r="R29" s="3085" t="s">
        <v>1298</v>
      </c>
      <c r="S29" s="3085" t="s">
        <v>1298</v>
      </c>
      <c r="T29" s="3085" t="s">
        <v>1298</v>
      </c>
      <c r="U29" s="3085" t="s">
        <v>1298</v>
      </c>
      <c r="V29" s="3085" t="s">
        <v>1298</v>
      </c>
      <c r="W29" s="3085" t="s">
        <v>3316</v>
      </c>
      <c r="X29" s="3085" t="s">
        <v>3346</v>
      </c>
      <c r="Y29" s="3085" t="s">
        <v>3347</v>
      </c>
      <c r="Z29" s="3085" t="s">
        <v>3348</v>
      </c>
      <c r="AA29" s="3085" t="s">
        <v>3348</v>
      </c>
      <c r="AB29" s="3085" t="s">
        <v>3349</v>
      </c>
      <c r="AC29" s="3085" t="s">
        <v>3222</v>
      </c>
      <c r="AD29" s="3085" t="s">
        <v>3350</v>
      </c>
      <c r="AE29" s="3085" t="s">
        <v>3264</v>
      </c>
      <c r="AF29" s="3085">
        <v>14911</v>
      </c>
      <c r="AG29" s="3085">
        <v>29820.7</v>
      </c>
      <c r="AH29" s="3085">
        <v>29820.7</v>
      </c>
      <c r="AI29" s="3085">
        <v>1130.0999999999999</v>
      </c>
      <c r="AJ29" s="3085">
        <v>1130.0999999999999</v>
      </c>
      <c r="AK29" s="3085">
        <v>8475.77</v>
      </c>
      <c r="AL29" s="3085">
        <v>8475.7800000000007</v>
      </c>
      <c r="AM29" s="3085" t="s">
        <v>1298</v>
      </c>
      <c r="AN29" s="3085" t="s">
        <v>1298</v>
      </c>
      <c r="AO29" s="3085">
        <v>0</v>
      </c>
      <c r="AP29" s="3085">
        <v>40</v>
      </c>
      <c r="AQ29" s="3085" t="s">
        <v>1298</v>
      </c>
      <c r="AR29" s="3085" t="s">
        <v>1298</v>
      </c>
      <c r="AS29" s="3085" t="s">
        <v>1298</v>
      </c>
      <c r="AT29" s="3085" t="s">
        <v>3246</v>
      </c>
    </row>
    <row r="30" spans="1:46" s="3083" customFormat="1">
      <c r="A30" s="3083" t="s">
        <v>3276</v>
      </c>
      <c r="B30" s="3083" t="s">
        <v>3208</v>
      </c>
      <c r="C30" s="3083" t="s">
        <v>3209</v>
      </c>
      <c r="D30" s="3083" t="s">
        <v>3210</v>
      </c>
      <c r="E30" s="3083" t="s">
        <v>3343</v>
      </c>
      <c r="F30" s="3083" t="s">
        <v>3276</v>
      </c>
      <c r="G30" s="3083" t="s">
        <v>3212</v>
      </c>
      <c r="H30" s="3083" t="s">
        <v>3351</v>
      </c>
      <c r="I30" s="3083" t="s">
        <v>3352</v>
      </c>
      <c r="J30" s="3083">
        <v>13919.19</v>
      </c>
      <c r="K30" s="3083">
        <v>55676.76</v>
      </c>
      <c r="L30" s="3083" t="s">
        <v>3353</v>
      </c>
      <c r="M30" s="3083" t="s">
        <v>1298</v>
      </c>
      <c r="N30" s="3083" t="s">
        <v>3354</v>
      </c>
      <c r="O30" s="3083" t="s">
        <v>1298</v>
      </c>
      <c r="P30" s="3083" t="s">
        <v>1298</v>
      </c>
      <c r="Q30" s="3083" t="s">
        <v>1298</v>
      </c>
      <c r="R30" s="3083" t="s">
        <v>1298</v>
      </c>
      <c r="S30" s="3083" t="s">
        <v>1298</v>
      </c>
      <c r="T30" s="3083" t="s">
        <v>1298</v>
      </c>
      <c r="U30" s="3083" t="s">
        <v>1298</v>
      </c>
      <c r="V30" s="3083" t="s">
        <v>1298</v>
      </c>
      <c r="W30" s="3083" t="s">
        <v>3316</v>
      </c>
      <c r="X30" s="3083" t="s">
        <v>3346</v>
      </c>
      <c r="Y30" s="3083" t="s">
        <v>3347</v>
      </c>
      <c r="Z30" s="3083" t="s">
        <v>3348</v>
      </c>
      <c r="AA30" s="3083" t="s">
        <v>3348</v>
      </c>
      <c r="AB30" s="3083" t="s">
        <v>3349</v>
      </c>
      <c r="AC30" s="3083" t="s">
        <v>3222</v>
      </c>
      <c r="AD30" s="3083" t="s">
        <v>3350</v>
      </c>
      <c r="AE30" s="3083" t="s">
        <v>3264</v>
      </c>
      <c r="AF30" s="3083">
        <v>10691</v>
      </c>
      <c r="AG30" s="3083">
        <v>21381.11</v>
      </c>
      <c r="AH30" s="3083">
        <v>21381.11</v>
      </c>
      <c r="AI30" s="3083">
        <v>1024.06</v>
      </c>
      <c r="AJ30" s="3083">
        <v>1024.06</v>
      </c>
      <c r="AK30" s="3083">
        <v>3840.22</v>
      </c>
      <c r="AL30" s="3083">
        <v>3840.21</v>
      </c>
      <c r="AM30" s="3083" t="s">
        <v>1298</v>
      </c>
      <c r="AN30" s="3083" t="s">
        <v>1298</v>
      </c>
      <c r="AO30" s="3083">
        <v>0</v>
      </c>
      <c r="AP30" s="3083" t="s">
        <v>3355</v>
      </c>
      <c r="AQ30" s="3083" t="s">
        <v>1298</v>
      </c>
      <c r="AR30" s="3083" t="s">
        <v>1298</v>
      </c>
      <c r="AS30" s="3083" t="s">
        <v>1298</v>
      </c>
      <c r="AT30" s="3083" t="s">
        <v>3246</v>
      </c>
    </row>
    <row r="31" spans="1:46" s="3083" customFormat="1">
      <c r="A31" s="3083" t="s">
        <v>3276</v>
      </c>
      <c r="B31" s="3083" t="s">
        <v>3208</v>
      </c>
      <c r="C31" s="3083" t="s">
        <v>3209</v>
      </c>
      <c r="D31" s="3083" t="s">
        <v>3210</v>
      </c>
      <c r="E31" s="3083" t="s">
        <v>3343</v>
      </c>
      <c r="F31" s="3083" t="s">
        <v>3276</v>
      </c>
      <c r="G31" s="3083" t="s">
        <v>3212</v>
      </c>
      <c r="H31" s="3083" t="s">
        <v>3356</v>
      </c>
      <c r="I31" s="3083" t="s">
        <v>3352</v>
      </c>
      <c r="J31" s="3083">
        <v>8530.94</v>
      </c>
      <c r="K31" s="3083">
        <v>29858.29</v>
      </c>
      <c r="L31" s="3083" t="s">
        <v>3357</v>
      </c>
      <c r="M31" s="3083" t="s">
        <v>1298</v>
      </c>
      <c r="N31" s="3083" t="s">
        <v>3354</v>
      </c>
      <c r="O31" s="3083" t="s">
        <v>1298</v>
      </c>
      <c r="P31" s="3083" t="s">
        <v>1298</v>
      </c>
      <c r="Q31" s="3083" t="s">
        <v>1298</v>
      </c>
      <c r="R31" s="3083" t="s">
        <v>1298</v>
      </c>
      <c r="S31" s="3083" t="s">
        <v>1298</v>
      </c>
      <c r="T31" s="3083" t="s">
        <v>1298</v>
      </c>
      <c r="U31" s="3083" t="s">
        <v>1298</v>
      </c>
      <c r="V31" s="3083" t="s">
        <v>1298</v>
      </c>
      <c r="W31" s="3083" t="s">
        <v>3316</v>
      </c>
      <c r="X31" s="3083" t="s">
        <v>3346</v>
      </c>
      <c r="Y31" s="3083" t="s">
        <v>3347</v>
      </c>
      <c r="Z31" s="3083" t="s">
        <v>3348</v>
      </c>
      <c r="AA31" s="3083" t="s">
        <v>3348</v>
      </c>
      <c r="AB31" s="3083" t="s">
        <v>3349</v>
      </c>
      <c r="AC31" s="3083" t="s">
        <v>3222</v>
      </c>
      <c r="AD31" s="3083" t="s">
        <v>3350</v>
      </c>
      <c r="AE31" s="3083" t="s">
        <v>3264</v>
      </c>
      <c r="AF31" s="3083">
        <v>6554</v>
      </c>
      <c r="AG31" s="3083">
        <v>13107.2</v>
      </c>
      <c r="AH31" s="3083">
        <v>13107.2</v>
      </c>
      <c r="AI31" s="3083">
        <v>1024.29</v>
      </c>
      <c r="AJ31" s="3083">
        <v>1024.29</v>
      </c>
      <c r="AK31" s="3083">
        <v>4389.8</v>
      </c>
      <c r="AL31" s="3083">
        <v>4389.8</v>
      </c>
      <c r="AM31" s="3083" t="s">
        <v>1298</v>
      </c>
      <c r="AN31" s="3083" t="s">
        <v>1298</v>
      </c>
      <c r="AO31" s="3083">
        <v>0</v>
      </c>
      <c r="AP31" s="3083" t="s">
        <v>3355</v>
      </c>
      <c r="AQ31" s="3083" t="s">
        <v>1298</v>
      </c>
      <c r="AR31" s="3083" t="s">
        <v>1298</v>
      </c>
      <c r="AS31" s="3083" t="s">
        <v>1298</v>
      </c>
      <c r="AT31" s="3083" t="s">
        <v>3246</v>
      </c>
    </row>
    <row r="32" spans="1:46" s="3083" customFormat="1">
      <c r="A32" s="3083" t="s">
        <v>3358</v>
      </c>
      <c r="B32" s="3083" t="s">
        <v>3208</v>
      </c>
      <c r="C32" s="3083" t="s">
        <v>3209</v>
      </c>
      <c r="D32" s="3083" t="s">
        <v>3210</v>
      </c>
      <c r="E32" s="3083" t="s">
        <v>3359</v>
      </c>
      <c r="F32" s="3083" t="s">
        <v>3358</v>
      </c>
      <c r="G32" s="3083" t="s">
        <v>3212</v>
      </c>
      <c r="H32" s="3083" t="s">
        <v>3360</v>
      </c>
      <c r="I32" s="3083" t="s">
        <v>3332</v>
      </c>
      <c r="J32" s="3083">
        <v>37137</v>
      </c>
      <c r="K32" s="3083">
        <v>37137</v>
      </c>
      <c r="L32" s="3083" t="s">
        <v>3361</v>
      </c>
      <c r="M32" s="3083" t="s">
        <v>1298</v>
      </c>
      <c r="N32" s="3083" t="s">
        <v>3362</v>
      </c>
      <c r="O32" s="3083" t="s">
        <v>1298</v>
      </c>
      <c r="P32" s="3083" t="s">
        <v>1298</v>
      </c>
      <c r="Q32" s="3083" t="s">
        <v>1298</v>
      </c>
      <c r="R32" s="3083" t="s">
        <v>1298</v>
      </c>
      <c r="S32" s="3083" t="s">
        <v>1298</v>
      </c>
      <c r="T32" s="3083" t="s">
        <v>1298</v>
      </c>
      <c r="U32" s="3083" t="s">
        <v>1298</v>
      </c>
      <c r="V32" s="3083" t="s">
        <v>1298</v>
      </c>
      <c r="W32" s="3083" t="s">
        <v>3316</v>
      </c>
      <c r="X32" s="3083" t="s">
        <v>3346</v>
      </c>
      <c r="Y32" s="3083" t="s">
        <v>3347</v>
      </c>
      <c r="Z32" s="3083" t="s">
        <v>3348</v>
      </c>
      <c r="AA32" s="3083" t="s">
        <v>3348</v>
      </c>
      <c r="AB32" s="3083" t="s">
        <v>3349</v>
      </c>
      <c r="AC32" s="3083" t="s">
        <v>3222</v>
      </c>
      <c r="AD32" s="3083" t="s">
        <v>3363</v>
      </c>
      <c r="AE32" s="3083" t="s">
        <v>1298</v>
      </c>
      <c r="AF32" s="3083">
        <v>4095</v>
      </c>
      <c r="AG32" s="3083">
        <v>8189.36</v>
      </c>
      <c r="AH32" s="3083">
        <v>8189.36</v>
      </c>
      <c r="AI32" s="3083">
        <v>147.01</v>
      </c>
      <c r="AJ32" s="3083">
        <v>147.01</v>
      </c>
      <c r="AK32" s="3083">
        <v>2205.17</v>
      </c>
      <c r="AL32" s="3083">
        <v>2205.17</v>
      </c>
      <c r="AM32" s="3083" t="s">
        <v>1298</v>
      </c>
      <c r="AN32" s="3083" t="s">
        <v>1298</v>
      </c>
      <c r="AO32" s="3083">
        <v>0</v>
      </c>
      <c r="AP32" s="3083">
        <v>40</v>
      </c>
      <c r="AQ32" s="3083" t="s">
        <v>1298</v>
      </c>
      <c r="AR32" s="3083" t="s">
        <v>1298</v>
      </c>
      <c r="AS32" s="3083" t="s">
        <v>1298</v>
      </c>
      <c r="AT32" s="3083" t="s">
        <v>3265</v>
      </c>
    </row>
    <row r="33" spans="1:46" s="3083" customFormat="1">
      <c r="A33" s="3083" t="s">
        <v>3358</v>
      </c>
      <c r="B33" s="3083" t="s">
        <v>3208</v>
      </c>
      <c r="C33" s="3083" t="s">
        <v>3209</v>
      </c>
      <c r="D33" s="3083" t="s">
        <v>3210</v>
      </c>
      <c r="E33" s="3083" t="s">
        <v>3359</v>
      </c>
      <c r="F33" s="3083" t="s">
        <v>3358</v>
      </c>
      <c r="G33" s="3083" t="s">
        <v>3212</v>
      </c>
      <c r="H33" s="3083" t="s">
        <v>3364</v>
      </c>
      <c r="I33" s="3083" t="s">
        <v>3332</v>
      </c>
      <c r="J33" s="3083">
        <v>40146</v>
      </c>
      <c r="K33" s="3083">
        <v>44160.6</v>
      </c>
      <c r="L33" s="3083" t="s">
        <v>3365</v>
      </c>
      <c r="M33" s="3083" t="s">
        <v>1298</v>
      </c>
      <c r="N33" s="3083" t="s">
        <v>3362</v>
      </c>
      <c r="O33" s="3083" t="s">
        <v>1298</v>
      </c>
      <c r="P33" s="3083" t="s">
        <v>1298</v>
      </c>
      <c r="Q33" s="3083" t="s">
        <v>1298</v>
      </c>
      <c r="R33" s="3083" t="s">
        <v>1298</v>
      </c>
      <c r="S33" s="3083" t="s">
        <v>1298</v>
      </c>
      <c r="T33" s="3083" t="s">
        <v>1298</v>
      </c>
      <c r="U33" s="3083" t="s">
        <v>1298</v>
      </c>
      <c r="V33" s="3083" t="s">
        <v>1298</v>
      </c>
      <c r="W33" s="3083" t="s">
        <v>3316</v>
      </c>
      <c r="X33" s="3083" t="s">
        <v>3346</v>
      </c>
      <c r="Y33" s="3083" t="s">
        <v>3347</v>
      </c>
      <c r="Z33" s="3083" t="s">
        <v>3348</v>
      </c>
      <c r="AA33" s="3083" t="s">
        <v>3348</v>
      </c>
      <c r="AB33" s="3083" t="s">
        <v>3349</v>
      </c>
      <c r="AC33" s="3083" t="s">
        <v>3222</v>
      </c>
      <c r="AD33" s="3083" t="s">
        <v>3363</v>
      </c>
      <c r="AE33" s="3083" t="s">
        <v>1298</v>
      </c>
      <c r="AF33" s="3083">
        <v>4427</v>
      </c>
      <c r="AG33" s="3083">
        <v>8852.34</v>
      </c>
      <c r="AH33" s="3083">
        <v>8852.34</v>
      </c>
      <c r="AI33" s="3083">
        <v>147</v>
      </c>
      <c r="AJ33" s="3083">
        <v>147</v>
      </c>
      <c r="AK33" s="3083">
        <v>2004.57</v>
      </c>
      <c r="AL33" s="3083">
        <v>2004.57</v>
      </c>
      <c r="AM33" s="3083" t="s">
        <v>1298</v>
      </c>
      <c r="AN33" s="3083" t="s">
        <v>1298</v>
      </c>
      <c r="AO33" s="3083">
        <v>0</v>
      </c>
      <c r="AP33" s="3083">
        <v>40</v>
      </c>
      <c r="AQ33" s="3083" t="s">
        <v>1298</v>
      </c>
      <c r="AR33" s="3083" t="s">
        <v>1298</v>
      </c>
      <c r="AS33" s="3083" t="s">
        <v>1298</v>
      </c>
      <c r="AT33" s="3083" t="s">
        <v>3265</v>
      </c>
    </row>
    <row r="34" spans="1:46" s="3083" customFormat="1">
      <c r="A34" s="3083" t="s">
        <v>3266</v>
      </c>
      <c r="B34" s="3083" t="s">
        <v>3208</v>
      </c>
      <c r="C34" s="3083" t="s">
        <v>3209</v>
      </c>
      <c r="D34" s="3083" t="s">
        <v>3210</v>
      </c>
      <c r="E34" s="3083" t="s">
        <v>3267</v>
      </c>
      <c r="F34" s="3083" t="s">
        <v>3266</v>
      </c>
      <c r="G34" s="3083" t="s">
        <v>3237</v>
      </c>
      <c r="H34" s="3083" t="s">
        <v>3366</v>
      </c>
      <c r="I34" s="3083" t="s">
        <v>3313</v>
      </c>
      <c r="J34" s="3083">
        <v>19222.38</v>
      </c>
      <c r="K34" s="3083">
        <v>153202.4</v>
      </c>
      <c r="L34" s="3083" t="s">
        <v>3367</v>
      </c>
      <c r="M34" s="3083" t="s">
        <v>1298</v>
      </c>
      <c r="N34" s="3083" t="s">
        <v>3334</v>
      </c>
      <c r="O34" s="3083" t="s">
        <v>1298</v>
      </c>
      <c r="P34" s="3083" t="s">
        <v>1298</v>
      </c>
      <c r="Q34" s="3083" t="s">
        <v>1298</v>
      </c>
      <c r="R34" s="3083" t="s">
        <v>1298</v>
      </c>
      <c r="S34" s="3083" t="s">
        <v>1298</v>
      </c>
      <c r="T34" s="3083" t="s">
        <v>1298</v>
      </c>
      <c r="U34" s="3083" t="s">
        <v>1298</v>
      </c>
      <c r="V34" s="3083" t="s">
        <v>1298</v>
      </c>
      <c r="W34" s="3083" t="s">
        <v>3316</v>
      </c>
      <c r="X34" s="3083" t="s">
        <v>3346</v>
      </c>
      <c r="Y34" s="3083" t="s">
        <v>3368</v>
      </c>
      <c r="Z34" s="3083" t="s">
        <v>3368</v>
      </c>
      <c r="AA34" s="3083" t="s">
        <v>3368</v>
      </c>
      <c r="AB34" s="3083" t="s">
        <v>3369</v>
      </c>
      <c r="AC34" s="3083" t="s">
        <v>3222</v>
      </c>
      <c r="AD34" s="3083" t="s">
        <v>3301</v>
      </c>
      <c r="AE34" s="3083" t="s">
        <v>3273</v>
      </c>
      <c r="AF34" s="3083">
        <v>17644</v>
      </c>
      <c r="AG34" s="3083">
        <v>35287.910000000003</v>
      </c>
      <c r="AH34" s="3083">
        <v>35287.910000000003</v>
      </c>
      <c r="AI34" s="3083">
        <v>1223.8499999999999</v>
      </c>
      <c r="AJ34" s="3083">
        <v>1223.8499999999999</v>
      </c>
      <c r="AK34" s="3083">
        <v>2303.35</v>
      </c>
      <c r="AL34" s="3083">
        <v>2303.34</v>
      </c>
      <c r="AM34" s="3083" t="s">
        <v>1298</v>
      </c>
      <c r="AN34" s="3083" t="s">
        <v>1298</v>
      </c>
      <c r="AO34" s="3083">
        <v>0</v>
      </c>
      <c r="AP34" s="3083">
        <v>40</v>
      </c>
      <c r="AQ34" s="3083" t="s">
        <v>1298</v>
      </c>
      <c r="AR34" s="3083" t="s">
        <v>1298</v>
      </c>
      <c r="AS34" s="3083" t="s">
        <v>1298</v>
      </c>
      <c r="AT34" s="3083" t="s">
        <v>3246</v>
      </c>
    </row>
    <row r="35" spans="1:46" s="3083" customFormat="1">
      <c r="A35" s="3083" t="s">
        <v>3266</v>
      </c>
      <c r="B35" s="3083" t="s">
        <v>3208</v>
      </c>
      <c r="C35" s="3083" t="s">
        <v>3209</v>
      </c>
      <c r="D35" s="3083" t="s">
        <v>3210</v>
      </c>
      <c r="E35" s="3083" t="s">
        <v>3267</v>
      </c>
      <c r="F35" s="3083" t="s">
        <v>3266</v>
      </c>
      <c r="G35" s="3083" t="s">
        <v>3237</v>
      </c>
      <c r="H35" s="3083" t="s">
        <v>3370</v>
      </c>
      <c r="I35" s="3083" t="s">
        <v>3313</v>
      </c>
      <c r="J35" s="3083">
        <v>30687.74</v>
      </c>
      <c r="K35" s="3083">
        <v>245501.9</v>
      </c>
      <c r="L35" s="3083" t="s">
        <v>3371</v>
      </c>
      <c r="M35" s="3083" t="s">
        <v>1298</v>
      </c>
      <c r="N35" s="3083" t="s">
        <v>3334</v>
      </c>
      <c r="O35" s="3083" t="s">
        <v>1298</v>
      </c>
      <c r="P35" s="3083" t="s">
        <v>1298</v>
      </c>
      <c r="Q35" s="3083" t="s">
        <v>1298</v>
      </c>
      <c r="R35" s="3083" t="s">
        <v>1298</v>
      </c>
      <c r="S35" s="3083" t="s">
        <v>1298</v>
      </c>
      <c r="T35" s="3083" t="s">
        <v>1298</v>
      </c>
      <c r="U35" s="3083" t="s">
        <v>1298</v>
      </c>
      <c r="V35" s="3083" t="s">
        <v>1298</v>
      </c>
      <c r="W35" s="3083" t="s">
        <v>3316</v>
      </c>
      <c r="X35" s="3083" t="s">
        <v>3346</v>
      </c>
      <c r="Y35" s="3083" t="s">
        <v>3368</v>
      </c>
      <c r="Z35" s="3083" t="s">
        <v>3368</v>
      </c>
      <c r="AA35" s="3083" t="s">
        <v>3368</v>
      </c>
      <c r="AB35" s="3083" t="s">
        <v>3369</v>
      </c>
      <c r="AC35" s="3083" t="s">
        <v>3222</v>
      </c>
      <c r="AD35" s="3083" t="s">
        <v>3301</v>
      </c>
      <c r="AE35" s="3083" t="s">
        <v>3273</v>
      </c>
      <c r="AF35" s="3083">
        <v>34891</v>
      </c>
      <c r="AG35" s="3083">
        <v>69781.47</v>
      </c>
      <c r="AH35" s="3083">
        <v>69781.47</v>
      </c>
      <c r="AI35" s="3083">
        <v>1515.95</v>
      </c>
      <c r="AJ35" s="3083">
        <v>1515.95</v>
      </c>
      <c r="AK35" s="3083">
        <v>2842.4</v>
      </c>
      <c r="AL35" s="3083">
        <v>2842.4</v>
      </c>
      <c r="AM35" s="3083" t="s">
        <v>1298</v>
      </c>
      <c r="AN35" s="3083" t="s">
        <v>1298</v>
      </c>
      <c r="AO35" s="3083">
        <v>0</v>
      </c>
      <c r="AP35" s="3083">
        <v>40</v>
      </c>
      <c r="AQ35" s="3083" t="s">
        <v>1298</v>
      </c>
      <c r="AR35" s="3083" t="s">
        <v>1298</v>
      </c>
      <c r="AS35" s="3083" t="s">
        <v>1298</v>
      </c>
      <c r="AT35" s="3083" t="s">
        <v>3246</v>
      </c>
    </row>
    <row r="36" spans="1:46" s="3083" customFormat="1">
      <c r="A36" s="3083" t="s">
        <v>3266</v>
      </c>
      <c r="B36" s="3083" t="s">
        <v>3208</v>
      </c>
      <c r="C36" s="3083" t="s">
        <v>3209</v>
      </c>
      <c r="D36" s="3083" t="s">
        <v>3210</v>
      </c>
      <c r="E36" s="3083" t="s">
        <v>3267</v>
      </c>
      <c r="F36" s="3083" t="s">
        <v>3266</v>
      </c>
      <c r="G36" s="3083" t="s">
        <v>3237</v>
      </c>
      <c r="H36" s="3083" t="s">
        <v>3372</v>
      </c>
      <c r="I36" s="3083" t="s">
        <v>3313</v>
      </c>
      <c r="J36" s="3083">
        <v>5519.89</v>
      </c>
      <c r="K36" s="3083">
        <v>24177.119999999999</v>
      </c>
      <c r="L36" s="3083" t="s">
        <v>3373</v>
      </c>
      <c r="M36" s="3083" t="s">
        <v>1298</v>
      </c>
      <c r="N36" s="3083" t="s">
        <v>3334</v>
      </c>
      <c r="O36" s="3083" t="s">
        <v>1298</v>
      </c>
      <c r="P36" s="3083" t="s">
        <v>1298</v>
      </c>
      <c r="Q36" s="3083" t="s">
        <v>1298</v>
      </c>
      <c r="R36" s="3083" t="s">
        <v>1298</v>
      </c>
      <c r="S36" s="3083" t="s">
        <v>1298</v>
      </c>
      <c r="T36" s="3083" t="s">
        <v>1298</v>
      </c>
      <c r="U36" s="3083" t="s">
        <v>1298</v>
      </c>
      <c r="V36" s="3083" t="s">
        <v>1298</v>
      </c>
      <c r="W36" s="3083" t="s">
        <v>3316</v>
      </c>
      <c r="X36" s="3083" t="s">
        <v>3346</v>
      </c>
      <c r="Y36" s="3083" t="s">
        <v>3368</v>
      </c>
      <c r="Z36" s="3083" t="s">
        <v>3368</v>
      </c>
      <c r="AA36" s="3083" t="s">
        <v>3368</v>
      </c>
      <c r="AB36" s="3083" t="s">
        <v>3369</v>
      </c>
      <c r="AC36" s="3083" t="s">
        <v>3222</v>
      </c>
      <c r="AD36" s="3083" t="s">
        <v>3301</v>
      </c>
      <c r="AE36" s="3083" t="s">
        <v>3273</v>
      </c>
      <c r="AF36" s="3083">
        <v>3437</v>
      </c>
      <c r="AG36" s="3083">
        <v>6872.39</v>
      </c>
      <c r="AH36" s="3083">
        <v>6872.39</v>
      </c>
      <c r="AI36" s="3083">
        <v>830.02</v>
      </c>
      <c r="AJ36" s="3083">
        <v>830.02</v>
      </c>
      <c r="AK36" s="3083">
        <v>2842.52</v>
      </c>
      <c r="AL36" s="3083">
        <v>2842.51</v>
      </c>
      <c r="AM36" s="3083" t="s">
        <v>1298</v>
      </c>
      <c r="AN36" s="3083" t="s">
        <v>1298</v>
      </c>
      <c r="AO36" s="3083">
        <v>0</v>
      </c>
      <c r="AP36" s="3083">
        <v>40</v>
      </c>
      <c r="AQ36" s="3083" t="s">
        <v>1298</v>
      </c>
      <c r="AR36" s="3083" t="s">
        <v>1298</v>
      </c>
      <c r="AS36" s="3083" t="s">
        <v>1298</v>
      </c>
      <c r="AT36" s="3083" t="s">
        <v>3246</v>
      </c>
    </row>
    <row r="37" spans="1:46" s="3083" customFormat="1">
      <c r="A37" s="3083" t="s">
        <v>3266</v>
      </c>
      <c r="B37" s="3083" t="s">
        <v>3208</v>
      </c>
      <c r="C37" s="3083" t="s">
        <v>3209</v>
      </c>
      <c r="D37" s="3083" t="s">
        <v>3210</v>
      </c>
      <c r="E37" s="3083" t="s">
        <v>3267</v>
      </c>
      <c r="F37" s="3083" t="s">
        <v>3266</v>
      </c>
      <c r="G37" s="3083" t="s">
        <v>3237</v>
      </c>
      <c r="H37" s="3083" t="s">
        <v>3374</v>
      </c>
      <c r="I37" s="3083" t="s">
        <v>3313</v>
      </c>
      <c r="J37" s="3083">
        <v>60076.800000000003</v>
      </c>
      <c r="K37" s="3083">
        <v>295577.90000000002</v>
      </c>
      <c r="L37" s="3083" t="s">
        <v>3375</v>
      </c>
      <c r="M37" s="3083" t="s">
        <v>1298</v>
      </c>
      <c r="N37" s="3083" t="s">
        <v>3376</v>
      </c>
      <c r="O37" s="3083" t="s">
        <v>1298</v>
      </c>
      <c r="P37" s="3083" t="s">
        <v>1298</v>
      </c>
      <c r="Q37" s="3083" t="s">
        <v>1298</v>
      </c>
      <c r="R37" s="3083" t="s">
        <v>1298</v>
      </c>
      <c r="S37" s="3083" t="s">
        <v>1298</v>
      </c>
      <c r="T37" s="3083" t="s">
        <v>1298</v>
      </c>
      <c r="U37" s="3083" t="s">
        <v>1298</v>
      </c>
      <c r="V37" s="3083" t="s">
        <v>1298</v>
      </c>
      <c r="W37" s="3083" t="s">
        <v>3316</v>
      </c>
      <c r="X37" s="3083" t="s">
        <v>3346</v>
      </c>
      <c r="Y37" s="3083" t="s">
        <v>3368</v>
      </c>
      <c r="Z37" s="3083" t="s">
        <v>3368</v>
      </c>
      <c r="AA37" s="3083" t="s">
        <v>3368</v>
      </c>
      <c r="AB37" s="3083" t="s">
        <v>3369</v>
      </c>
      <c r="AC37" s="3083" t="s">
        <v>3222</v>
      </c>
      <c r="AD37" s="3083" t="s">
        <v>3301</v>
      </c>
      <c r="AE37" s="3083" t="s">
        <v>3273</v>
      </c>
      <c r="AF37" s="3083">
        <v>42041</v>
      </c>
      <c r="AG37" s="3083">
        <v>84081.96</v>
      </c>
      <c r="AH37" s="3083">
        <v>84081.96</v>
      </c>
      <c r="AI37" s="3083">
        <v>933.05</v>
      </c>
      <c r="AJ37" s="3083">
        <v>933.05</v>
      </c>
      <c r="AK37" s="3083">
        <v>2844.66</v>
      </c>
      <c r="AL37" s="3083">
        <v>2844.65</v>
      </c>
      <c r="AM37" s="3083" t="s">
        <v>1298</v>
      </c>
      <c r="AN37" s="3083" t="s">
        <v>1298</v>
      </c>
      <c r="AO37" s="3083">
        <v>0</v>
      </c>
      <c r="AP37" s="3083">
        <v>40</v>
      </c>
      <c r="AQ37" s="3083" t="s">
        <v>1298</v>
      </c>
      <c r="AR37" s="3083" t="s">
        <v>1298</v>
      </c>
      <c r="AS37" s="3083" t="s">
        <v>1298</v>
      </c>
      <c r="AT37" s="3083" t="s">
        <v>3246</v>
      </c>
    </row>
    <row r="38" spans="1:46" s="3083" customFormat="1">
      <c r="A38" s="3083" t="s">
        <v>3235</v>
      </c>
      <c r="B38" s="3083" t="s">
        <v>3208</v>
      </c>
      <c r="C38" s="3083" t="s">
        <v>3209</v>
      </c>
      <c r="D38" s="3083" t="s">
        <v>3210</v>
      </c>
      <c r="E38" s="3083" t="s">
        <v>3377</v>
      </c>
      <c r="F38" s="3083" t="s">
        <v>3235</v>
      </c>
      <c r="G38" s="3083" t="s">
        <v>3237</v>
      </c>
      <c r="H38" s="3083" t="s">
        <v>3378</v>
      </c>
      <c r="I38" s="3083" t="s">
        <v>3313</v>
      </c>
      <c r="J38" s="3083">
        <v>39324.49</v>
      </c>
      <c r="K38" s="3083">
        <v>161230.39999999999</v>
      </c>
      <c r="L38" s="3083" t="s">
        <v>3379</v>
      </c>
      <c r="M38" s="3083" t="s">
        <v>1298</v>
      </c>
      <c r="N38" s="3083" t="s">
        <v>3380</v>
      </c>
      <c r="O38" s="3083" t="s">
        <v>1298</v>
      </c>
      <c r="P38" s="3083" t="s">
        <v>1298</v>
      </c>
      <c r="Q38" s="3083" t="s">
        <v>1298</v>
      </c>
      <c r="R38" s="3083" t="s">
        <v>1298</v>
      </c>
      <c r="S38" s="3083" t="s">
        <v>1298</v>
      </c>
      <c r="T38" s="3083" t="s">
        <v>1298</v>
      </c>
      <c r="U38" s="3083" t="s">
        <v>1298</v>
      </c>
      <c r="V38" s="3083" t="s">
        <v>1298</v>
      </c>
      <c r="W38" s="3083" t="s">
        <v>3316</v>
      </c>
      <c r="X38" s="3083" t="s">
        <v>3381</v>
      </c>
      <c r="Y38" s="3083" t="s">
        <v>3382</v>
      </c>
      <c r="Z38" s="3083" t="s">
        <v>3382</v>
      </c>
      <c r="AA38" s="3083" t="s">
        <v>3382</v>
      </c>
      <c r="AB38" s="3083" t="s">
        <v>3383</v>
      </c>
      <c r="AC38" s="3083" t="s">
        <v>3222</v>
      </c>
      <c r="AD38" s="3083" t="s">
        <v>3384</v>
      </c>
      <c r="AE38" s="3083" t="s">
        <v>3245</v>
      </c>
      <c r="AF38" s="3083">
        <v>29201</v>
      </c>
      <c r="AG38" s="3083">
        <v>58400.09</v>
      </c>
      <c r="AH38" s="3083">
        <v>58400.09</v>
      </c>
      <c r="AI38" s="3083">
        <v>990.05</v>
      </c>
      <c r="AJ38" s="3083">
        <v>990.05</v>
      </c>
      <c r="AK38" s="3083">
        <v>3622.15</v>
      </c>
      <c r="AL38" s="3083">
        <v>3622.15</v>
      </c>
      <c r="AM38" s="3083" t="s">
        <v>1298</v>
      </c>
      <c r="AN38" s="3083" t="s">
        <v>1298</v>
      </c>
      <c r="AO38" s="3083">
        <v>0</v>
      </c>
      <c r="AP38" s="3083">
        <v>40</v>
      </c>
      <c r="AQ38" s="3083" t="s">
        <v>1298</v>
      </c>
      <c r="AR38" s="3083" t="s">
        <v>1298</v>
      </c>
      <c r="AS38" s="3083" t="s">
        <v>1298</v>
      </c>
      <c r="AT38" s="3083" t="s">
        <v>3265</v>
      </c>
    </row>
    <row r="39" spans="1:46" s="3083" customFormat="1">
      <c r="A39" s="3083" t="s">
        <v>3235</v>
      </c>
      <c r="B39" s="3083" t="s">
        <v>3208</v>
      </c>
      <c r="C39" s="3083" t="s">
        <v>3209</v>
      </c>
      <c r="D39" s="3083" t="s">
        <v>3210</v>
      </c>
      <c r="E39" s="3083" t="s">
        <v>3377</v>
      </c>
      <c r="F39" s="3083" t="s">
        <v>3235</v>
      </c>
      <c r="G39" s="3083" t="s">
        <v>3237</v>
      </c>
      <c r="H39" s="3083" t="s">
        <v>3385</v>
      </c>
      <c r="I39" s="3083" t="s">
        <v>3313</v>
      </c>
      <c r="J39" s="3083">
        <v>19444.73</v>
      </c>
      <c r="K39" s="3083">
        <v>149724.4</v>
      </c>
      <c r="L39" s="3083" t="s">
        <v>3386</v>
      </c>
      <c r="M39" s="3083" t="s">
        <v>1298</v>
      </c>
      <c r="N39" s="3083" t="s">
        <v>3387</v>
      </c>
      <c r="O39" s="3083" t="s">
        <v>1298</v>
      </c>
      <c r="P39" s="3083" t="s">
        <v>1298</v>
      </c>
      <c r="Q39" s="3083" t="s">
        <v>1298</v>
      </c>
      <c r="R39" s="3083" t="s">
        <v>1298</v>
      </c>
      <c r="S39" s="3083" t="s">
        <v>1298</v>
      </c>
      <c r="T39" s="3083" t="s">
        <v>1298</v>
      </c>
      <c r="U39" s="3083" t="s">
        <v>1298</v>
      </c>
      <c r="V39" s="3083" t="s">
        <v>1298</v>
      </c>
      <c r="W39" s="3083" t="s">
        <v>3316</v>
      </c>
      <c r="X39" s="3083" t="s">
        <v>3381</v>
      </c>
      <c r="Y39" s="3083" t="s">
        <v>3382</v>
      </c>
      <c r="Z39" s="3083" t="s">
        <v>3382</v>
      </c>
      <c r="AA39" s="3083" t="s">
        <v>3382</v>
      </c>
      <c r="AB39" s="3083" t="s">
        <v>3383</v>
      </c>
      <c r="AC39" s="3083" t="s">
        <v>3222</v>
      </c>
      <c r="AD39" s="3083" t="s">
        <v>3384</v>
      </c>
      <c r="AE39" s="3083" t="s">
        <v>3245</v>
      </c>
      <c r="AF39" s="3083">
        <v>24999</v>
      </c>
      <c r="AG39" s="3083">
        <v>49997.37</v>
      </c>
      <c r="AH39" s="3083">
        <v>49997.37</v>
      </c>
      <c r="AI39" s="3083">
        <v>1714.17</v>
      </c>
      <c r="AJ39" s="3083">
        <v>1714.17</v>
      </c>
      <c r="AK39" s="3083">
        <v>3339.29</v>
      </c>
      <c r="AL39" s="3083">
        <v>3339.28</v>
      </c>
      <c r="AM39" s="3083" t="s">
        <v>1298</v>
      </c>
      <c r="AN39" s="3083" t="s">
        <v>1298</v>
      </c>
      <c r="AO39" s="3083">
        <v>0</v>
      </c>
      <c r="AP39" s="3083">
        <v>40</v>
      </c>
      <c r="AQ39" s="3083" t="s">
        <v>1298</v>
      </c>
      <c r="AR39" s="3083" t="s">
        <v>1298</v>
      </c>
      <c r="AS39" s="3083" t="s">
        <v>1298</v>
      </c>
      <c r="AT39" s="3083" t="s">
        <v>3265</v>
      </c>
    </row>
    <row r="40" spans="1:46" s="3087" customFormat="1">
      <c r="A40" s="3087" t="s">
        <v>3388</v>
      </c>
      <c r="B40" s="3087" t="s">
        <v>3208</v>
      </c>
      <c r="C40" s="3087" t="s">
        <v>3209</v>
      </c>
      <c r="D40" s="3087" t="s">
        <v>3210</v>
      </c>
      <c r="E40" s="3087" t="s">
        <v>1298</v>
      </c>
      <c r="F40" s="3087" t="s">
        <v>3388</v>
      </c>
      <c r="G40" s="3087" t="s">
        <v>3237</v>
      </c>
      <c r="H40" s="3087" t="s">
        <v>3389</v>
      </c>
      <c r="I40" s="3087" t="s">
        <v>3454</v>
      </c>
      <c r="J40" s="3087">
        <v>2997.98</v>
      </c>
      <c r="K40" s="3087">
        <v>1498.99</v>
      </c>
      <c r="L40" s="3087" t="s">
        <v>3455</v>
      </c>
      <c r="M40" s="3087" t="s">
        <v>1298</v>
      </c>
      <c r="N40" s="3087" t="s">
        <v>3390</v>
      </c>
      <c r="O40" s="3087" t="s">
        <v>1298</v>
      </c>
      <c r="P40" s="3087" t="s">
        <v>1298</v>
      </c>
      <c r="Q40" s="3087" t="s">
        <v>1298</v>
      </c>
      <c r="R40" s="3087" t="s">
        <v>1298</v>
      </c>
      <c r="S40" s="3087" t="s">
        <v>1298</v>
      </c>
      <c r="T40" s="3087" t="s">
        <v>1298</v>
      </c>
      <c r="U40" s="3087" t="s">
        <v>1298</v>
      </c>
      <c r="V40" s="3087" t="s">
        <v>1298</v>
      </c>
      <c r="W40" s="3087" t="s">
        <v>3316</v>
      </c>
      <c r="X40" s="3087" t="s">
        <v>3391</v>
      </c>
      <c r="Y40" s="3087" t="s">
        <v>3392</v>
      </c>
      <c r="Z40" s="3087" t="s">
        <v>3392</v>
      </c>
      <c r="AA40" s="3087" t="s">
        <v>3392</v>
      </c>
      <c r="AB40" s="3087" t="s">
        <v>3393</v>
      </c>
      <c r="AC40" s="3087" t="s">
        <v>3222</v>
      </c>
      <c r="AD40" s="3087" t="s">
        <v>3456</v>
      </c>
      <c r="AE40" s="3087" t="s">
        <v>3457</v>
      </c>
      <c r="AF40" s="3087">
        <v>855</v>
      </c>
      <c r="AG40" s="3087">
        <v>1710</v>
      </c>
      <c r="AH40" s="3087">
        <v>1710</v>
      </c>
      <c r="AI40" s="3087">
        <v>380.26</v>
      </c>
      <c r="AJ40" s="3087">
        <v>380.26</v>
      </c>
      <c r="AK40" s="3087">
        <v>11407.68</v>
      </c>
      <c r="AL40" s="3087">
        <v>11407.68</v>
      </c>
      <c r="AM40" s="3087" t="s">
        <v>1298</v>
      </c>
      <c r="AN40" s="3087" t="s">
        <v>1298</v>
      </c>
      <c r="AO40" s="3087">
        <v>0</v>
      </c>
      <c r="AP40" s="3087">
        <v>40</v>
      </c>
      <c r="AQ40" s="3087" t="s">
        <v>1298</v>
      </c>
      <c r="AR40" s="3087" t="s">
        <v>1298</v>
      </c>
      <c r="AS40" s="3087" t="s">
        <v>1298</v>
      </c>
      <c r="AT40" s="3087" t="s">
        <v>3225</v>
      </c>
    </row>
    <row r="41" spans="1:46" s="3087" customFormat="1">
      <c r="A41" s="3087" t="s">
        <v>3358</v>
      </c>
      <c r="B41" s="3087" t="s">
        <v>3208</v>
      </c>
      <c r="C41" s="3087" t="s">
        <v>3209</v>
      </c>
      <c r="D41" s="3087" t="s">
        <v>3210</v>
      </c>
      <c r="E41" s="3087" t="s">
        <v>3267</v>
      </c>
      <c r="F41" s="3087" t="s">
        <v>3358</v>
      </c>
      <c r="G41" s="3087" t="s">
        <v>3212</v>
      </c>
      <c r="H41" s="3087" t="s">
        <v>3394</v>
      </c>
      <c r="I41" s="3087" t="s">
        <v>3458</v>
      </c>
      <c r="J41" s="3087">
        <v>39984.769999999997</v>
      </c>
      <c r="K41" s="3087">
        <v>59977.15</v>
      </c>
      <c r="L41" s="3087" t="s">
        <v>3451</v>
      </c>
      <c r="M41" s="3087" t="s">
        <v>1298</v>
      </c>
      <c r="N41" s="3087" t="s">
        <v>3376</v>
      </c>
      <c r="O41" s="3087" t="s">
        <v>1298</v>
      </c>
      <c r="P41" s="3087" t="s">
        <v>1298</v>
      </c>
      <c r="Q41" s="3087" t="s">
        <v>1298</v>
      </c>
      <c r="R41" s="3087" t="s">
        <v>1298</v>
      </c>
      <c r="S41" s="3087" t="s">
        <v>1298</v>
      </c>
      <c r="T41" s="3087" t="s">
        <v>1298</v>
      </c>
      <c r="U41" s="3087" t="s">
        <v>1298</v>
      </c>
      <c r="V41" s="3087" t="s">
        <v>1298</v>
      </c>
      <c r="W41" s="3087" t="s">
        <v>3316</v>
      </c>
      <c r="X41" s="3087" t="s">
        <v>3395</v>
      </c>
      <c r="Y41" s="3087" t="s">
        <v>3396</v>
      </c>
      <c r="Z41" s="3087" t="s">
        <v>3397</v>
      </c>
      <c r="AA41" s="3087" t="s">
        <v>3397</v>
      </c>
      <c r="AB41" s="3087" t="s">
        <v>3398</v>
      </c>
      <c r="AC41" s="3087" t="s">
        <v>3222</v>
      </c>
      <c r="AD41" s="3087" t="s">
        <v>3459</v>
      </c>
      <c r="AE41" s="3087" t="s">
        <v>3460</v>
      </c>
      <c r="AF41" s="3087">
        <v>1584</v>
      </c>
      <c r="AG41" s="3087">
        <v>7916.97</v>
      </c>
      <c r="AH41" s="3087">
        <v>7916.97</v>
      </c>
      <c r="AI41" s="3087">
        <v>132</v>
      </c>
      <c r="AJ41" s="3087">
        <v>132</v>
      </c>
      <c r="AK41" s="3087">
        <v>1319.99</v>
      </c>
      <c r="AL41" s="3087">
        <v>1320</v>
      </c>
      <c r="AM41" s="3087" t="s">
        <v>1298</v>
      </c>
      <c r="AN41" s="3087" t="s">
        <v>1298</v>
      </c>
      <c r="AO41" s="3087">
        <v>0</v>
      </c>
      <c r="AP41" s="3087">
        <v>40</v>
      </c>
      <c r="AQ41" s="3087" t="s">
        <v>1298</v>
      </c>
      <c r="AR41" s="3087" t="s">
        <v>1298</v>
      </c>
      <c r="AS41" s="3087" t="s">
        <v>1298</v>
      </c>
      <c r="AT41" s="3087" t="s">
        <v>3265</v>
      </c>
    </row>
    <row r="42" spans="1:46" s="3086" customFormat="1">
      <c r="A42" s="3086" t="s">
        <v>3358</v>
      </c>
      <c r="B42" s="3086" t="s">
        <v>3208</v>
      </c>
      <c r="C42" s="3086" t="s">
        <v>3209</v>
      </c>
      <c r="D42" s="3086" t="s">
        <v>3210</v>
      </c>
      <c r="E42" s="3086" t="s">
        <v>3267</v>
      </c>
      <c r="F42" s="3086" t="s">
        <v>3358</v>
      </c>
      <c r="G42" s="3086" t="s">
        <v>3212</v>
      </c>
      <c r="H42" s="3086" t="s">
        <v>3399</v>
      </c>
      <c r="I42" s="3086" t="s">
        <v>3458</v>
      </c>
      <c r="J42" s="3086">
        <v>29997.26</v>
      </c>
      <c r="K42" s="3086">
        <v>11998.9</v>
      </c>
      <c r="L42" s="3086" t="s">
        <v>3461</v>
      </c>
      <c r="M42" s="3086" t="s">
        <v>1298</v>
      </c>
      <c r="N42" s="3086" t="s">
        <v>3390</v>
      </c>
      <c r="O42" s="3086" t="s">
        <v>1298</v>
      </c>
      <c r="P42" s="3086" t="s">
        <v>1298</v>
      </c>
      <c r="Q42" s="3086" t="s">
        <v>1298</v>
      </c>
      <c r="R42" s="3086" t="s">
        <v>1298</v>
      </c>
      <c r="S42" s="3086" t="s">
        <v>1298</v>
      </c>
      <c r="T42" s="3086" t="s">
        <v>1298</v>
      </c>
      <c r="U42" s="3086" t="s">
        <v>1298</v>
      </c>
      <c r="V42" s="3086" t="s">
        <v>1298</v>
      </c>
      <c r="W42" s="3086" t="s">
        <v>3316</v>
      </c>
      <c r="X42" s="3086" t="s">
        <v>3395</v>
      </c>
      <c r="Y42" s="3086" t="s">
        <v>3396</v>
      </c>
      <c r="Z42" s="3086" t="s">
        <v>3397</v>
      </c>
      <c r="AA42" s="3086" t="s">
        <v>3397</v>
      </c>
      <c r="AB42" s="3086" t="s">
        <v>3398</v>
      </c>
      <c r="AC42" s="3086" t="s">
        <v>3222</v>
      </c>
      <c r="AD42" s="3086" t="s">
        <v>3459</v>
      </c>
      <c r="AE42" s="3086" t="s">
        <v>3460</v>
      </c>
      <c r="AF42" s="3086">
        <v>1188</v>
      </c>
      <c r="AG42" s="3086">
        <v>5939.46</v>
      </c>
      <c r="AH42" s="3086">
        <v>5939.46</v>
      </c>
      <c r="AI42" s="3086">
        <v>132</v>
      </c>
      <c r="AJ42" s="3086">
        <v>132</v>
      </c>
      <c r="AK42" s="3086">
        <v>4950</v>
      </c>
      <c r="AL42" s="3086">
        <v>4950</v>
      </c>
      <c r="AM42" s="3086" t="s">
        <v>1298</v>
      </c>
      <c r="AN42" s="3086" t="s">
        <v>1298</v>
      </c>
      <c r="AO42" s="3086">
        <v>0</v>
      </c>
      <c r="AP42" s="3086">
        <v>40</v>
      </c>
      <c r="AQ42" s="3086" t="s">
        <v>1298</v>
      </c>
      <c r="AR42" s="3086" t="s">
        <v>1298</v>
      </c>
      <c r="AS42" s="3086" t="s">
        <v>1298</v>
      </c>
      <c r="AT42" s="3086" t="s">
        <v>3265</v>
      </c>
    </row>
    <row r="43" spans="1:46" s="3087" customFormat="1">
      <c r="A43" s="3087" t="s">
        <v>3400</v>
      </c>
      <c r="B43" s="3087" t="s">
        <v>3208</v>
      </c>
      <c r="C43" s="3087" t="s">
        <v>3209</v>
      </c>
      <c r="D43" s="3087" t="s">
        <v>3210</v>
      </c>
      <c r="E43" s="3087" t="s">
        <v>3211</v>
      </c>
      <c r="F43" s="3087" t="s">
        <v>3400</v>
      </c>
      <c r="G43" s="3087" t="s">
        <v>3212</v>
      </c>
      <c r="H43" s="3087" t="s">
        <v>3401</v>
      </c>
      <c r="I43" s="3087" t="s">
        <v>3462</v>
      </c>
      <c r="J43" s="3087">
        <v>14174.06</v>
      </c>
      <c r="K43" s="3087">
        <v>49609.21</v>
      </c>
      <c r="L43" s="3087" t="s">
        <v>3463</v>
      </c>
      <c r="M43" s="3087" t="s">
        <v>1298</v>
      </c>
      <c r="N43" s="3087" t="s">
        <v>3354</v>
      </c>
      <c r="O43" s="3087" t="s">
        <v>1298</v>
      </c>
      <c r="P43" s="3087" t="s">
        <v>1298</v>
      </c>
      <c r="Q43" s="3087" t="s">
        <v>1298</v>
      </c>
      <c r="R43" s="3087" t="s">
        <v>1298</v>
      </c>
      <c r="S43" s="3087" t="s">
        <v>1298</v>
      </c>
      <c r="T43" s="3087" t="s">
        <v>1298</v>
      </c>
      <c r="U43" s="3087" t="s">
        <v>1298</v>
      </c>
      <c r="V43" s="3087" t="s">
        <v>1298</v>
      </c>
      <c r="W43" s="3087" t="s">
        <v>3316</v>
      </c>
      <c r="X43" s="3087" t="s">
        <v>3402</v>
      </c>
      <c r="Y43" s="3087" t="s">
        <v>3403</v>
      </c>
      <c r="Z43" s="3087" t="s">
        <v>3404</v>
      </c>
      <c r="AA43" s="3087" t="s">
        <v>3404</v>
      </c>
      <c r="AB43" s="3087" t="s">
        <v>3405</v>
      </c>
      <c r="AC43" s="3087" t="s">
        <v>3222</v>
      </c>
      <c r="AD43" s="3087" t="s">
        <v>3464</v>
      </c>
      <c r="AE43" s="3087" t="s">
        <v>3457</v>
      </c>
      <c r="AF43" s="3087">
        <v>744.1</v>
      </c>
      <c r="AG43" s="3087">
        <v>3720.5</v>
      </c>
      <c r="AH43" s="3087">
        <v>3720.5</v>
      </c>
      <c r="AI43" s="3087">
        <v>174.99</v>
      </c>
      <c r="AJ43" s="3087">
        <v>174.99</v>
      </c>
      <c r="AK43" s="3087">
        <v>749.96</v>
      </c>
      <c r="AL43" s="3087">
        <v>749.96</v>
      </c>
      <c r="AM43" s="3087" t="s">
        <v>1298</v>
      </c>
      <c r="AN43" s="3087" t="s">
        <v>1298</v>
      </c>
      <c r="AO43" s="3087">
        <v>0</v>
      </c>
      <c r="AP43" s="3087">
        <v>40</v>
      </c>
      <c r="AQ43" s="3087" t="s">
        <v>1298</v>
      </c>
      <c r="AR43" s="3087" t="s">
        <v>1298</v>
      </c>
      <c r="AS43" s="3087" t="s">
        <v>1298</v>
      </c>
      <c r="AT43" s="3087" t="s">
        <v>3330</v>
      </c>
    </row>
    <row r="44" spans="1:46" s="3087" customFormat="1">
      <c r="A44" s="3087" t="s">
        <v>3276</v>
      </c>
      <c r="B44" s="3087" t="s">
        <v>3208</v>
      </c>
      <c r="C44" s="3087" t="s">
        <v>3209</v>
      </c>
      <c r="D44" s="3087" t="s">
        <v>3210</v>
      </c>
      <c r="E44" s="3087" t="s">
        <v>3406</v>
      </c>
      <c r="F44" s="3087" t="s">
        <v>3276</v>
      </c>
      <c r="G44" s="3087" t="s">
        <v>3237</v>
      </c>
      <c r="H44" s="3087" t="s">
        <v>3407</v>
      </c>
      <c r="I44" s="3087" t="s">
        <v>3462</v>
      </c>
      <c r="J44" s="3087">
        <v>9773.06</v>
      </c>
      <c r="K44" s="3087">
        <v>24432.65</v>
      </c>
      <c r="L44" s="3087" t="s">
        <v>3465</v>
      </c>
      <c r="M44" s="3087" t="s">
        <v>1298</v>
      </c>
      <c r="N44" s="3087" t="s">
        <v>3334</v>
      </c>
      <c r="O44" s="3087" t="s">
        <v>1298</v>
      </c>
      <c r="P44" s="3087" t="s">
        <v>1298</v>
      </c>
      <c r="Q44" s="3087" t="s">
        <v>1298</v>
      </c>
      <c r="R44" s="3087" t="s">
        <v>1298</v>
      </c>
      <c r="S44" s="3087" t="s">
        <v>1298</v>
      </c>
      <c r="T44" s="3087" t="s">
        <v>1298</v>
      </c>
      <c r="U44" s="3087" t="s">
        <v>1298</v>
      </c>
      <c r="V44" s="3087" t="s">
        <v>1298</v>
      </c>
      <c r="W44" s="3087" t="s">
        <v>3316</v>
      </c>
      <c r="X44" s="3087" t="s">
        <v>3402</v>
      </c>
      <c r="Y44" s="3087" t="s">
        <v>3396</v>
      </c>
      <c r="Z44" s="3087" t="s">
        <v>3396</v>
      </c>
      <c r="AA44" s="3087" t="s">
        <v>3396</v>
      </c>
      <c r="AB44" s="3087" t="s">
        <v>3408</v>
      </c>
      <c r="AC44" s="3087" t="s">
        <v>3222</v>
      </c>
      <c r="AD44" s="3087" t="s">
        <v>3466</v>
      </c>
      <c r="AE44" s="3087" t="s">
        <v>3467</v>
      </c>
      <c r="AF44" s="3087">
        <v>4904</v>
      </c>
      <c r="AG44" s="3087">
        <v>9807.5400000000009</v>
      </c>
      <c r="AH44" s="3087">
        <v>9807.5400000000009</v>
      </c>
      <c r="AI44" s="3087">
        <v>669.02</v>
      </c>
      <c r="AJ44" s="3087">
        <v>669.02</v>
      </c>
      <c r="AK44" s="3087">
        <v>4014.11</v>
      </c>
      <c r="AL44" s="3087">
        <v>4014.11</v>
      </c>
      <c r="AM44" s="3087" t="s">
        <v>1298</v>
      </c>
      <c r="AN44" s="3087" t="s">
        <v>1298</v>
      </c>
      <c r="AO44" s="3087">
        <v>0</v>
      </c>
      <c r="AP44" s="3087">
        <v>40</v>
      </c>
      <c r="AQ44" s="3087" t="s">
        <v>1298</v>
      </c>
      <c r="AR44" s="3087" t="s">
        <v>1298</v>
      </c>
      <c r="AS44" s="3087" t="s">
        <v>1298</v>
      </c>
      <c r="AT44" s="3087" t="s">
        <v>3246</v>
      </c>
    </row>
    <row r="45" spans="1:46" s="3087" customFormat="1">
      <c r="A45" s="3087" t="s">
        <v>3266</v>
      </c>
      <c r="B45" s="3087" t="s">
        <v>3208</v>
      </c>
      <c r="C45" s="3087" t="s">
        <v>3209</v>
      </c>
      <c r="D45" s="3087" t="s">
        <v>3210</v>
      </c>
      <c r="E45" s="3087" t="s">
        <v>3267</v>
      </c>
      <c r="F45" s="3087" t="s">
        <v>3266</v>
      </c>
      <c r="G45" s="3087" t="s">
        <v>3212</v>
      </c>
      <c r="H45" s="3087" t="s">
        <v>3409</v>
      </c>
      <c r="I45" s="3087" t="s">
        <v>3458</v>
      </c>
      <c r="J45" s="3087">
        <v>20485.05</v>
      </c>
      <c r="K45" s="3087">
        <v>81940.2</v>
      </c>
      <c r="L45" s="3087" t="s">
        <v>3468</v>
      </c>
      <c r="M45" s="3087" t="s">
        <v>1298</v>
      </c>
      <c r="N45" s="3087" t="s">
        <v>3376</v>
      </c>
      <c r="O45" s="3087" t="s">
        <v>1298</v>
      </c>
      <c r="P45" s="3087" t="s">
        <v>1298</v>
      </c>
      <c r="Q45" s="3087" t="s">
        <v>1298</v>
      </c>
      <c r="R45" s="3087" t="s">
        <v>1298</v>
      </c>
      <c r="S45" s="3087" t="s">
        <v>1298</v>
      </c>
      <c r="T45" s="3087" t="s">
        <v>1298</v>
      </c>
      <c r="U45" s="3087" t="s">
        <v>1298</v>
      </c>
      <c r="V45" s="3087" t="s">
        <v>1298</v>
      </c>
      <c r="W45" s="3087" t="s">
        <v>3316</v>
      </c>
      <c r="X45" s="3087" t="s">
        <v>3410</v>
      </c>
      <c r="Y45" s="3087" t="s">
        <v>3411</v>
      </c>
      <c r="Z45" s="3087" t="s">
        <v>3412</v>
      </c>
      <c r="AA45" s="3087" t="s">
        <v>3412</v>
      </c>
      <c r="AB45" s="3087" t="s">
        <v>3413</v>
      </c>
      <c r="AC45" s="3087" t="s">
        <v>3222</v>
      </c>
      <c r="AD45" s="3087" t="s">
        <v>3469</v>
      </c>
      <c r="AE45" s="3087" t="s">
        <v>3457</v>
      </c>
      <c r="AF45" s="3087">
        <v>4106</v>
      </c>
      <c r="AG45" s="3087">
        <v>20527.63</v>
      </c>
      <c r="AH45" s="3087">
        <v>20527.63</v>
      </c>
      <c r="AI45" s="3087">
        <v>668.05</v>
      </c>
      <c r="AJ45" s="3087">
        <v>668.05</v>
      </c>
      <c r="AK45" s="3087">
        <v>2505.19</v>
      </c>
      <c r="AL45" s="3087">
        <v>2505.19</v>
      </c>
      <c r="AM45" s="3087" t="s">
        <v>1298</v>
      </c>
      <c r="AN45" s="3087" t="s">
        <v>1298</v>
      </c>
      <c r="AO45" s="3087">
        <v>0</v>
      </c>
      <c r="AP45" s="3087">
        <v>40</v>
      </c>
      <c r="AQ45" s="3087" t="s">
        <v>1298</v>
      </c>
      <c r="AR45" s="3087" t="s">
        <v>1298</v>
      </c>
      <c r="AS45" s="3087" t="s">
        <v>1298</v>
      </c>
      <c r="AT45" s="3087" t="s">
        <v>3265</v>
      </c>
    </row>
    <row r="46" spans="1:46" s="3083" customFormat="1">
      <c r="A46" s="3083" t="s">
        <v>3414</v>
      </c>
      <c r="B46" s="3083" t="s">
        <v>3208</v>
      </c>
      <c r="C46" s="3083" t="s">
        <v>3209</v>
      </c>
      <c r="D46" s="3083" t="s">
        <v>3210</v>
      </c>
      <c r="E46" s="3083" t="s">
        <v>3415</v>
      </c>
      <c r="F46" s="3083" t="s">
        <v>3414</v>
      </c>
      <c r="G46" s="3083" t="s">
        <v>3212</v>
      </c>
      <c r="H46" s="3083" t="s">
        <v>3416</v>
      </c>
      <c r="I46" s="3083" t="s">
        <v>3313</v>
      </c>
      <c r="J46" s="3083">
        <v>11465.15</v>
      </c>
      <c r="K46" s="3083">
        <v>12611.67</v>
      </c>
      <c r="L46" s="3083" t="s">
        <v>3365</v>
      </c>
      <c r="M46" s="3083" t="s">
        <v>1298</v>
      </c>
      <c r="N46" s="3083" t="s">
        <v>3324</v>
      </c>
      <c r="O46" s="3083" t="s">
        <v>1298</v>
      </c>
      <c r="P46" s="3083" t="s">
        <v>1298</v>
      </c>
      <c r="Q46" s="3083" t="s">
        <v>1298</v>
      </c>
      <c r="R46" s="3083" t="s">
        <v>1298</v>
      </c>
      <c r="S46" s="3083" t="s">
        <v>1298</v>
      </c>
      <c r="T46" s="3083" t="s">
        <v>1298</v>
      </c>
      <c r="U46" s="3083" t="s">
        <v>1298</v>
      </c>
      <c r="V46" s="3083" t="s">
        <v>1298</v>
      </c>
      <c r="W46" s="3083" t="s">
        <v>3316</v>
      </c>
      <c r="X46" s="3083" t="s">
        <v>3417</v>
      </c>
      <c r="Y46" s="3083" t="s">
        <v>3418</v>
      </c>
      <c r="Z46" s="3083" t="s">
        <v>3419</v>
      </c>
      <c r="AA46" s="3083" t="s">
        <v>3419</v>
      </c>
      <c r="AB46" s="3083" t="s">
        <v>3420</v>
      </c>
      <c r="AC46" s="3083" t="s">
        <v>3222</v>
      </c>
      <c r="AD46" s="3083" t="s">
        <v>3421</v>
      </c>
      <c r="AE46" s="3083" t="s">
        <v>3422</v>
      </c>
      <c r="AF46" s="3083">
        <v>2744</v>
      </c>
      <c r="AG46" s="3083">
        <v>13719</v>
      </c>
      <c r="AH46" s="3083">
        <v>13719</v>
      </c>
      <c r="AI46" s="3083">
        <v>797.72</v>
      </c>
      <c r="AJ46" s="3083">
        <v>797.72</v>
      </c>
      <c r="AK46" s="3083">
        <v>10878.02</v>
      </c>
      <c r="AL46" s="3083">
        <v>10878.02</v>
      </c>
      <c r="AM46" s="3083" t="s">
        <v>1298</v>
      </c>
      <c r="AN46" s="3083" t="s">
        <v>1298</v>
      </c>
      <c r="AO46" s="3083">
        <v>0</v>
      </c>
      <c r="AP46" s="3083">
        <v>40</v>
      </c>
      <c r="AQ46" s="3083" t="s">
        <v>1298</v>
      </c>
      <c r="AR46" s="3083" t="s">
        <v>1298</v>
      </c>
      <c r="AS46" s="3083" t="s">
        <v>1298</v>
      </c>
      <c r="AT46" s="3083" t="s">
        <v>3246</v>
      </c>
    </row>
    <row r="47" spans="1:46" s="3083" customFormat="1">
      <c r="A47" s="3083" t="s">
        <v>3414</v>
      </c>
      <c r="B47" s="3083" t="s">
        <v>3208</v>
      </c>
      <c r="C47" s="3083" t="s">
        <v>3209</v>
      </c>
      <c r="D47" s="3083" t="s">
        <v>3210</v>
      </c>
      <c r="E47" s="3083" t="s">
        <v>3415</v>
      </c>
      <c r="F47" s="3083" t="s">
        <v>3414</v>
      </c>
      <c r="G47" s="3083" t="s">
        <v>3212</v>
      </c>
      <c r="H47" s="3083" t="s">
        <v>3423</v>
      </c>
      <c r="I47" s="3083" t="s">
        <v>3313</v>
      </c>
      <c r="J47" s="3083">
        <v>16610.490000000002</v>
      </c>
      <c r="K47" s="3083">
        <v>74747.210000000006</v>
      </c>
      <c r="L47" s="3083" t="s">
        <v>3424</v>
      </c>
      <c r="M47" s="3083" t="s">
        <v>1298</v>
      </c>
      <c r="N47" s="3083" t="s">
        <v>3324</v>
      </c>
      <c r="O47" s="3083" t="s">
        <v>1298</v>
      </c>
      <c r="P47" s="3083" t="s">
        <v>1298</v>
      </c>
      <c r="Q47" s="3083" t="s">
        <v>1298</v>
      </c>
      <c r="R47" s="3083" t="s">
        <v>1298</v>
      </c>
      <c r="S47" s="3083" t="s">
        <v>1298</v>
      </c>
      <c r="T47" s="3083" t="s">
        <v>1298</v>
      </c>
      <c r="U47" s="3083" t="s">
        <v>1298</v>
      </c>
      <c r="V47" s="3083" t="s">
        <v>1298</v>
      </c>
      <c r="W47" s="3083" t="s">
        <v>3316</v>
      </c>
      <c r="X47" s="3083" t="s">
        <v>3417</v>
      </c>
      <c r="Y47" s="3083" t="s">
        <v>3418</v>
      </c>
      <c r="Z47" s="3083" t="s">
        <v>3419</v>
      </c>
      <c r="AA47" s="3083" t="s">
        <v>3419</v>
      </c>
      <c r="AB47" s="3083" t="s">
        <v>3420</v>
      </c>
      <c r="AC47" s="3083" t="s">
        <v>3222</v>
      </c>
      <c r="AD47" s="3083" t="s">
        <v>3421</v>
      </c>
      <c r="AE47" s="3083" t="s">
        <v>3422</v>
      </c>
      <c r="AF47" s="3083">
        <v>5274</v>
      </c>
      <c r="AG47" s="3083">
        <v>26370</v>
      </c>
      <c r="AH47" s="3083">
        <v>26370</v>
      </c>
      <c r="AI47" s="3083">
        <v>1058.3699999999999</v>
      </c>
      <c r="AJ47" s="3083">
        <v>1058.3699999999999</v>
      </c>
      <c r="AK47" s="3083">
        <v>3527.89</v>
      </c>
      <c r="AL47" s="3083">
        <v>3527.88</v>
      </c>
      <c r="AM47" s="3083" t="s">
        <v>1298</v>
      </c>
      <c r="AN47" s="3083" t="s">
        <v>1298</v>
      </c>
      <c r="AO47" s="3083">
        <v>0</v>
      </c>
      <c r="AP47" s="3083">
        <v>40</v>
      </c>
      <c r="AQ47" s="3083" t="s">
        <v>1298</v>
      </c>
      <c r="AR47" s="3083" t="s">
        <v>1298</v>
      </c>
      <c r="AS47" s="3083" t="s">
        <v>1298</v>
      </c>
      <c r="AT47" s="3083" t="s">
        <v>3246</v>
      </c>
    </row>
    <row r="48" spans="1:46" s="3083" customFormat="1">
      <c r="A48" s="3083" t="s">
        <v>3414</v>
      </c>
      <c r="B48" s="3083" t="s">
        <v>3208</v>
      </c>
      <c r="C48" s="3083" t="s">
        <v>3209</v>
      </c>
      <c r="D48" s="3083" t="s">
        <v>3210</v>
      </c>
      <c r="E48" s="3083" t="s">
        <v>3415</v>
      </c>
      <c r="F48" s="3083" t="s">
        <v>3414</v>
      </c>
      <c r="G48" s="3083" t="s">
        <v>3212</v>
      </c>
      <c r="H48" s="3083" t="s">
        <v>3425</v>
      </c>
      <c r="I48" s="3083" t="s">
        <v>3313</v>
      </c>
      <c r="J48" s="3083">
        <v>1990.78</v>
      </c>
      <c r="K48" s="3083">
        <v>6051.97</v>
      </c>
      <c r="L48" s="3083" t="s">
        <v>3426</v>
      </c>
      <c r="M48" s="3083" t="s">
        <v>1298</v>
      </c>
      <c r="N48" s="3083" t="s">
        <v>3324</v>
      </c>
      <c r="O48" s="3083" t="s">
        <v>1298</v>
      </c>
      <c r="P48" s="3083" t="s">
        <v>1298</v>
      </c>
      <c r="Q48" s="3083" t="s">
        <v>1298</v>
      </c>
      <c r="R48" s="3083" t="s">
        <v>1298</v>
      </c>
      <c r="S48" s="3083" t="s">
        <v>1298</v>
      </c>
      <c r="T48" s="3083" t="s">
        <v>1298</v>
      </c>
      <c r="U48" s="3083" t="s">
        <v>1298</v>
      </c>
      <c r="V48" s="3083" t="s">
        <v>1298</v>
      </c>
      <c r="W48" s="3083" t="s">
        <v>3316</v>
      </c>
      <c r="X48" s="3083" t="s">
        <v>3417</v>
      </c>
      <c r="Y48" s="3083" t="s">
        <v>3418</v>
      </c>
      <c r="Z48" s="3083" t="s">
        <v>3419</v>
      </c>
      <c r="AA48" s="3083" t="s">
        <v>3419</v>
      </c>
      <c r="AB48" s="3083" t="s">
        <v>3420</v>
      </c>
      <c r="AC48" s="3083" t="s">
        <v>3222</v>
      </c>
      <c r="AD48" s="3083" t="s">
        <v>3421</v>
      </c>
      <c r="AE48" s="3083" t="s">
        <v>3422</v>
      </c>
      <c r="AF48" s="3083">
        <v>566</v>
      </c>
      <c r="AG48" s="3083">
        <v>2828</v>
      </c>
      <c r="AH48" s="3083">
        <v>2828</v>
      </c>
      <c r="AI48" s="3083">
        <v>947.03</v>
      </c>
      <c r="AJ48" s="3083">
        <v>947.03</v>
      </c>
      <c r="AK48" s="3083">
        <v>4672.8500000000004</v>
      </c>
      <c r="AL48" s="3083">
        <v>4672.8500000000004</v>
      </c>
      <c r="AM48" s="3083" t="s">
        <v>1298</v>
      </c>
      <c r="AN48" s="3083" t="s">
        <v>1298</v>
      </c>
      <c r="AO48" s="3083">
        <v>0</v>
      </c>
      <c r="AP48" s="3083">
        <v>40</v>
      </c>
      <c r="AQ48" s="3083" t="s">
        <v>1298</v>
      </c>
      <c r="AR48" s="3083" t="s">
        <v>1298</v>
      </c>
      <c r="AS48" s="3083" t="s">
        <v>1298</v>
      </c>
      <c r="AT48" s="3083" t="s">
        <v>3246</v>
      </c>
    </row>
    <row r="49" spans="1:46" s="3083" customFormat="1">
      <c r="A49" s="3083" t="s">
        <v>3427</v>
      </c>
      <c r="B49" s="3083" t="s">
        <v>3208</v>
      </c>
      <c r="C49" s="3083" t="s">
        <v>3209</v>
      </c>
      <c r="D49" s="3083" t="s">
        <v>3210</v>
      </c>
      <c r="E49" s="3083" t="s">
        <v>3406</v>
      </c>
      <c r="F49" s="3083" t="s">
        <v>3427</v>
      </c>
      <c r="G49" s="3083" t="s">
        <v>3212</v>
      </c>
      <c r="H49" s="3083" t="s">
        <v>3428</v>
      </c>
      <c r="I49" s="3083" t="s">
        <v>3214</v>
      </c>
      <c r="J49" s="3083">
        <v>39889.360000000001</v>
      </c>
      <c r="K49" s="3083">
        <v>167934.2</v>
      </c>
      <c r="L49" s="3083" t="s">
        <v>3429</v>
      </c>
      <c r="M49" s="3083" t="s">
        <v>1298</v>
      </c>
      <c r="N49" s="3083" t="s">
        <v>3430</v>
      </c>
      <c r="O49" s="3083" t="s">
        <v>1298</v>
      </c>
      <c r="P49" s="3083" t="s">
        <v>1298</v>
      </c>
      <c r="Q49" s="3083" t="s">
        <v>1298</v>
      </c>
      <c r="R49" s="3083" t="s">
        <v>1298</v>
      </c>
      <c r="S49" s="3083" t="s">
        <v>1298</v>
      </c>
      <c r="T49" s="3083" t="s">
        <v>1298</v>
      </c>
      <c r="U49" s="3083" t="s">
        <v>1298</v>
      </c>
      <c r="V49" s="3083" t="s">
        <v>1298</v>
      </c>
      <c r="W49" s="3083" t="s">
        <v>3316</v>
      </c>
      <c r="X49" s="3083" t="s">
        <v>3431</v>
      </c>
      <c r="Y49" s="3083" t="s">
        <v>3432</v>
      </c>
      <c r="Z49" s="3083" t="s">
        <v>3433</v>
      </c>
      <c r="AA49" s="3083" t="s">
        <v>3433</v>
      </c>
      <c r="AB49" s="3083" t="s">
        <v>3434</v>
      </c>
      <c r="AC49" s="3083" t="s">
        <v>3222</v>
      </c>
      <c r="AD49" s="3083" t="s">
        <v>3435</v>
      </c>
      <c r="AE49" s="3083" t="s">
        <v>3436</v>
      </c>
      <c r="AF49" s="3083">
        <v>27736</v>
      </c>
      <c r="AG49" s="3083">
        <v>55471.68</v>
      </c>
      <c r="AH49" s="3083">
        <v>55471.68</v>
      </c>
      <c r="AI49" s="3083">
        <v>927.09</v>
      </c>
      <c r="AJ49" s="3083">
        <v>927.09</v>
      </c>
      <c r="AK49" s="3083">
        <v>3303.17</v>
      </c>
      <c r="AL49" s="3083">
        <v>3303.17</v>
      </c>
      <c r="AM49" s="3083" t="s">
        <v>1298</v>
      </c>
      <c r="AN49" s="3083" t="s">
        <v>1298</v>
      </c>
      <c r="AO49" s="3083">
        <v>0</v>
      </c>
      <c r="AP49" s="3083" t="s">
        <v>3437</v>
      </c>
      <c r="AQ49" s="3083" t="s">
        <v>1298</v>
      </c>
      <c r="AR49" s="3083" t="s">
        <v>1298</v>
      </c>
      <c r="AS49" s="3083" t="s">
        <v>1298</v>
      </c>
      <c r="AT49" s="3083" t="s">
        <v>3246</v>
      </c>
    </row>
    <row r="50" spans="1:46" s="3083" customFormat="1">
      <c r="A50" s="3083" t="s">
        <v>3438</v>
      </c>
      <c r="B50" s="3083" t="s">
        <v>3208</v>
      </c>
      <c r="C50" s="3083" t="s">
        <v>3209</v>
      </c>
      <c r="D50" s="3083" t="s">
        <v>3210</v>
      </c>
      <c r="E50" s="3083" t="s">
        <v>3415</v>
      </c>
      <c r="F50" s="3083" t="s">
        <v>3438</v>
      </c>
      <c r="G50" s="3083" t="s">
        <v>3212</v>
      </c>
      <c r="H50" s="3083" t="s">
        <v>3439</v>
      </c>
      <c r="I50" s="3083" t="s">
        <v>3214</v>
      </c>
      <c r="J50" s="3083">
        <v>12.85</v>
      </c>
      <c r="K50" s="3083">
        <v>38.549999999999997</v>
      </c>
      <c r="L50" s="3083" t="s">
        <v>3440</v>
      </c>
      <c r="M50" s="3083" t="s">
        <v>1298</v>
      </c>
      <c r="N50" s="3083" t="s">
        <v>3441</v>
      </c>
      <c r="O50" s="3083" t="s">
        <v>1298</v>
      </c>
      <c r="P50" s="3083" t="s">
        <v>1298</v>
      </c>
      <c r="Q50" s="3083" t="s">
        <v>1298</v>
      </c>
      <c r="R50" s="3083" t="s">
        <v>1298</v>
      </c>
      <c r="S50" s="3083" t="s">
        <v>1298</v>
      </c>
      <c r="T50" s="3083" t="s">
        <v>1298</v>
      </c>
      <c r="U50" s="3083" t="s">
        <v>1298</v>
      </c>
      <c r="V50" s="3083" t="s">
        <v>1298</v>
      </c>
      <c r="W50" s="3083" t="s">
        <v>3316</v>
      </c>
      <c r="X50" s="3083" t="s">
        <v>3431</v>
      </c>
      <c r="Y50" s="3083" t="s">
        <v>3442</v>
      </c>
      <c r="Z50" s="3083" t="s">
        <v>3443</v>
      </c>
      <c r="AA50" s="3083" t="s">
        <v>3443</v>
      </c>
      <c r="AB50" s="3083" t="s">
        <v>3444</v>
      </c>
      <c r="AC50" s="3083" t="s">
        <v>3222</v>
      </c>
      <c r="AD50" s="3083" t="s">
        <v>3445</v>
      </c>
      <c r="AE50" s="3083" t="s">
        <v>1298</v>
      </c>
      <c r="AF50" s="3083">
        <v>4</v>
      </c>
      <c r="AG50" s="3083">
        <v>16.07</v>
      </c>
      <c r="AH50" s="3083">
        <v>16.07</v>
      </c>
      <c r="AI50" s="3083">
        <v>833.72</v>
      </c>
      <c r="AJ50" s="3083">
        <v>833.72</v>
      </c>
      <c r="AK50" s="3083">
        <v>4171.2</v>
      </c>
      <c r="AL50" s="3083">
        <v>4171.21</v>
      </c>
      <c r="AM50" s="3083" t="s">
        <v>1298</v>
      </c>
      <c r="AN50" s="3083" t="s">
        <v>1298</v>
      </c>
      <c r="AO50" s="3083">
        <v>0</v>
      </c>
      <c r="AP50" s="3083" t="s">
        <v>3446</v>
      </c>
      <c r="AQ50" s="3083" t="s">
        <v>1298</v>
      </c>
      <c r="AR50" s="3083" t="s">
        <v>1298</v>
      </c>
      <c r="AS50" s="3083" t="s">
        <v>1298</v>
      </c>
      <c r="AT50" s="3083" t="s">
        <v>3246</v>
      </c>
    </row>
    <row r="51" spans="1:46" s="3083" customFormat="1">
      <c r="A51" s="3083" t="s">
        <v>3438</v>
      </c>
      <c r="B51" s="3083" t="s">
        <v>3208</v>
      </c>
      <c r="C51" s="3083" t="s">
        <v>3209</v>
      </c>
      <c r="D51" s="3083" t="s">
        <v>3210</v>
      </c>
      <c r="E51" s="3083" t="s">
        <v>3415</v>
      </c>
      <c r="F51" s="3083" t="s">
        <v>3438</v>
      </c>
      <c r="G51" s="3083" t="s">
        <v>3212</v>
      </c>
      <c r="H51" s="3083" t="s">
        <v>3447</v>
      </c>
      <c r="I51" s="3083" t="s">
        <v>3214</v>
      </c>
      <c r="J51" s="3083">
        <v>59.77</v>
      </c>
      <c r="K51" s="3083">
        <v>179.31</v>
      </c>
      <c r="L51" s="3083" t="s">
        <v>3450</v>
      </c>
      <c r="M51" s="3083" t="s">
        <v>1298</v>
      </c>
      <c r="N51" s="3083" t="s">
        <v>3441</v>
      </c>
      <c r="O51" s="3083" t="s">
        <v>1298</v>
      </c>
      <c r="P51" s="3083" t="s">
        <v>1298</v>
      </c>
      <c r="Q51" s="3083" t="s">
        <v>1298</v>
      </c>
      <c r="R51" s="3083" t="s">
        <v>1298</v>
      </c>
      <c r="S51" s="3083" t="s">
        <v>1298</v>
      </c>
      <c r="T51" s="3083" t="s">
        <v>1298</v>
      </c>
      <c r="U51" s="3083" t="s">
        <v>1298</v>
      </c>
      <c r="V51" s="3083" t="s">
        <v>1298</v>
      </c>
      <c r="W51" s="3083" t="s">
        <v>3316</v>
      </c>
      <c r="X51" s="3083" t="s">
        <v>3431</v>
      </c>
      <c r="Y51" s="3083" t="s">
        <v>3442</v>
      </c>
      <c r="Z51" s="3083" t="s">
        <v>3443</v>
      </c>
      <c r="AA51" s="3083" t="s">
        <v>3443</v>
      </c>
      <c r="AB51" s="3083" t="s">
        <v>3444</v>
      </c>
      <c r="AC51" s="3083" t="s">
        <v>3222</v>
      </c>
      <c r="AD51" s="3083" t="s">
        <v>3445</v>
      </c>
      <c r="AE51" s="3083" t="s">
        <v>1298</v>
      </c>
      <c r="AF51" s="3083">
        <v>15</v>
      </c>
      <c r="AG51" s="3083">
        <v>72.349999999999994</v>
      </c>
      <c r="AH51" s="3083">
        <v>72.349999999999994</v>
      </c>
      <c r="AI51" s="3083">
        <v>806.98</v>
      </c>
      <c r="AJ51" s="3083">
        <v>806.98</v>
      </c>
      <c r="AK51" s="3083">
        <v>4035.46</v>
      </c>
      <c r="AL51" s="3083">
        <v>4035.46</v>
      </c>
      <c r="AM51" s="3083" t="s">
        <v>1298</v>
      </c>
      <c r="AN51" s="3083" t="s">
        <v>1298</v>
      </c>
      <c r="AO51" s="3083">
        <v>0</v>
      </c>
      <c r="AP51" s="3083" t="s">
        <v>3446</v>
      </c>
      <c r="AQ51" s="3083" t="s">
        <v>1298</v>
      </c>
      <c r="AR51" s="3083" t="s">
        <v>1298</v>
      </c>
      <c r="AS51" s="3083" t="s">
        <v>1298</v>
      </c>
      <c r="AT51" s="3083" t="s">
        <v>3246</v>
      </c>
    </row>
    <row r="52" spans="1:46" s="3086" customFormat="1">
      <c r="A52" s="3086" t="s">
        <v>3448</v>
      </c>
      <c r="D52" s="3086" t="s">
        <v>3448</v>
      </c>
      <c r="I52" s="3086" t="s">
        <v>3449</v>
      </c>
      <c r="J52" s="3086">
        <v>67120.710000000006</v>
      </c>
      <c r="K52" s="3086">
        <v>100681.07</v>
      </c>
      <c r="L52" s="3086" t="s">
        <v>3451</v>
      </c>
      <c r="AA52" s="3088">
        <v>43997</v>
      </c>
      <c r="AD52" s="3086" t="s">
        <v>3453</v>
      </c>
      <c r="AE52" s="3086" t="s">
        <v>3452</v>
      </c>
      <c r="AH52" s="3086">
        <v>40070.639999999999</v>
      </c>
      <c r="AJ52" s="3086">
        <v>398</v>
      </c>
      <c r="AL52" s="3086">
        <v>3980</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F29" sqref="F29:G29"/>
    </sheetView>
  </sheetViews>
  <sheetFormatPr defaultRowHeight="13.5"/>
  <cols>
    <col min="5" max="5" width="16" customWidth="1"/>
    <col min="6" max="6" width="12.625" customWidth="1"/>
    <col min="7" max="7" width="8.5" customWidth="1"/>
  </cols>
  <sheetData>
    <row r="1" spans="1:8" ht="14.25">
      <c r="A1" s="3114" t="s">
        <v>3069</v>
      </c>
      <c r="B1" s="3114" t="s">
        <v>3070</v>
      </c>
      <c r="C1" s="3114" t="s">
        <v>3071</v>
      </c>
      <c r="D1" s="3114" t="s">
        <v>3072</v>
      </c>
      <c r="E1" s="3114" t="s">
        <v>3639</v>
      </c>
      <c r="F1" s="3115" t="s">
        <v>3638</v>
      </c>
      <c r="G1" s="3114" t="s">
        <v>3648</v>
      </c>
      <c r="H1" s="3116"/>
    </row>
    <row r="2" spans="1:8" ht="14.25">
      <c r="A2" s="3117">
        <v>1</v>
      </c>
      <c r="B2" s="3117" t="s">
        <v>3591</v>
      </c>
      <c r="C2" s="3114" t="s">
        <v>3075</v>
      </c>
      <c r="D2" s="3114" t="s">
        <v>3074</v>
      </c>
      <c r="E2" s="3117">
        <v>419.34</v>
      </c>
      <c r="F2" s="3118">
        <f t="shared" ref="F2:F27" ca="1" si="0">ROUND(E2*$B$38/10000,0)</f>
        <v>1829</v>
      </c>
      <c r="G2" s="3118">
        <f t="shared" ref="G2:G27" ca="1" si="1">ROUND(E2*$B$40/10000,0)</f>
        <v>1567</v>
      </c>
      <c r="H2" s="3116"/>
    </row>
    <row r="3" spans="1:8" ht="14.25">
      <c r="A3" s="3117">
        <v>2</v>
      </c>
      <c r="B3" s="3117" t="s">
        <v>3592</v>
      </c>
      <c r="C3" s="3114" t="s">
        <v>3075</v>
      </c>
      <c r="D3" s="3114" t="s">
        <v>3074</v>
      </c>
      <c r="E3" s="3117">
        <v>1198.3</v>
      </c>
      <c r="F3" s="3118">
        <f t="shared" ca="1" si="0"/>
        <v>5228</v>
      </c>
      <c r="G3" s="3118">
        <f t="shared" ca="1" si="1"/>
        <v>4477</v>
      </c>
      <c r="H3" s="3116"/>
    </row>
    <row r="4" spans="1:8" ht="14.25">
      <c r="A4" s="3117">
        <v>3</v>
      </c>
      <c r="B4" s="3117" t="s">
        <v>3593</v>
      </c>
      <c r="C4" s="3114" t="s">
        <v>3075</v>
      </c>
      <c r="D4" s="3114" t="s">
        <v>3074</v>
      </c>
      <c r="E4" s="3117">
        <v>646.59</v>
      </c>
      <c r="F4" s="3118">
        <f t="shared" ca="1" si="0"/>
        <v>2821</v>
      </c>
      <c r="G4" s="3118">
        <f t="shared" ca="1" si="1"/>
        <v>2416</v>
      </c>
      <c r="H4" s="3116"/>
    </row>
    <row r="5" spans="1:8" ht="14.25">
      <c r="A5" s="3117">
        <v>4</v>
      </c>
      <c r="B5" s="3117" t="s">
        <v>3594</v>
      </c>
      <c r="C5" s="3114" t="s">
        <v>3075</v>
      </c>
      <c r="D5" s="3114" t="s">
        <v>3074</v>
      </c>
      <c r="E5" s="3117">
        <v>653.04</v>
      </c>
      <c r="F5" s="3118">
        <f t="shared" ca="1" si="0"/>
        <v>2849</v>
      </c>
      <c r="G5" s="3118">
        <f t="shared" ca="1" si="1"/>
        <v>2440</v>
      </c>
      <c r="H5" s="3116"/>
    </row>
    <row r="6" spans="1:8" ht="14.25">
      <c r="A6" s="3117">
        <v>5</v>
      </c>
      <c r="B6" s="3117" t="s">
        <v>3595</v>
      </c>
      <c r="C6" s="3114" t="s">
        <v>3075</v>
      </c>
      <c r="D6" s="3114" t="s">
        <v>3074</v>
      </c>
      <c r="E6" s="3117">
        <v>646.59</v>
      </c>
      <c r="F6" s="3118">
        <f t="shared" ca="1" si="0"/>
        <v>2821</v>
      </c>
      <c r="G6" s="3118">
        <f t="shared" ca="1" si="1"/>
        <v>2416</v>
      </c>
      <c r="H6" s="3116"/>
    </row>
    <row r="7" spans="1:8" ht="14.25">
      <c r="A7" s="3117">
        <v>6</v>
      </c>
      <c r="B7" s="3117" t="s">
        <v>3596</v>
      </c>
      <c r="C7" s="3114" t="s">
        <v>3075</v>
      </c>
      <c r="D7" s="3114" t="s">
        <v>3074</v>
      </c>
      <c r="E7" s="3117">
        <v>653.04</v>
      </c>
      <c r="F7" s="3118">
        <f t="shared" ca="1" si="0"/>
        <v>2849</v>
      </c>
      <c r="G7" s="3118">
        <f t="shared" ca="1" si="1"/>
        <v>2440</v>
      </c>
      <c r="H7" s="3116"/>
    </row>
    <row r="8" spans="1:8" ht="14.25">
      <c r="A8" s="3117">
        <v>7</v>
      </c>
      <c r="B8" s="3117" t="s">
        <v>3597</v>
      </c>
      <c r="C8" s="3114" t="s">
        <v>3075</v>
      </c>
      <c r="D8" s="3114" t="s">
        <v>3074</v>
      </c>
      <c r="E8" s="3117">
        <v>653.04</v>
      </c>
      <c r="F8" s="3118">
        <f t="shared" ca="1" si="0"/>
        <v>2849</v>
      </c>
      <c r="G8" s="3118">
        <f t="shared" ca="1" si="1"/>
        <v>2440</v>
      </c>
      <c r="H8" s="3116"/>
    </row>
    <row r="9" spans="1:8" ht="14.25">
      <c r="A9" s="3117">
        <v>8</v>
      </c>
      <c r="B9" s="3117" t="s">
        <v>3598</v>
      </c>
      <c r="C9" s="3114" t="s">
        <v>3075</v>
      </c>
      <c r="D9" s="3114" t="s">
        <v>3074</v>
      </c>
      <c r="E9" s="3117">
        <v>646.59</v>
      </c>
      <c r="F9" s="3118">
        <f t="shared" ca="1" si="0"/>
        <v>2821</v>
      </c>
      <c r="G9" s="3118">
        <f t="shared" ca="1" si="1"/>
        <v>2416</v>
      </c>
      <c r="H9" s="3116"/>
    </row>
    <row r="10" spans="1:8" ht="14.25">
      <c r="A10" s="3117">
        <v>9</v>
      </c>
      <c r="B10" s="3117" t="s">
        <v>3599</v>
      </c>
      <c r="C10" s="3114" t="s">
        <v>3075</v>
      </c>
      <c r="D10" s="3114" t="s">
        <v>3074</v>
      </c>
      <c r="E10" s="3117">
        <v>858.02</v>
      </c>
      <c r="F10" s="3118">
        <f t="shared" ca="1" si="0"/>
        <v>3743</v>
      </c>
      <c r="G10" s="3118">
        <f t="shared" ca="1" si="1"/>
        <v>3206</v>
      </c>
      <c r="H10" s="3116"/>
    </row>
    <row r="11" spans="1:8" ht="14.25">
      <c r="A11" s="3117">
        <v>10</v>
      </c>
      <c r="B11" s="3117" t="s">
        <v>3600</v>
      </c>
      <c r="C11" s="3114" t="s">
        <v>3075</v>
      </c>
      <c r="D11" s="3114" t="s">
        <v>3074</v>
      </c>
      <c r="E11" s="3117">
        <v>548.94000000000005</v>
      </c>
      <c r="F11" s="3118">
        <f t="shared" ca="1" si="0"/>
        <v>2395</v>
      </c>
      <c r="G11" s="3118">
        <f t="shared" ca="1" si="1"/>
        <v>2051</v>
      </c>
      <c r="H11" s="3116"/>
    </row>
    <row r="12" spans="1:8" ht="14.25">
      <c r="A12" s="3117">
        <v>11</v>
      </c>
      <c r="B12" s="3117" t="s">
        <v>3601</v>
      </c>
      <c r="C12" s="3114" t="s">
        <v>3075</v>
      </c>
      <c r="D12" s="3114" t="s">
        <v>3074</v>
      </c>
      <c r="E12" s="3117">
        <v>548.94000000000005</v>
      </c>
      <c r="F12" s="3118">
        <f t="shared" ca="1" si="0"/>
        <v>2395</v>
      </c>
      <c r="G12" s="3118">
        <f t="shared" ca="1" si="1"/>
        <v>2051</v>
      </c>
      <c r="H12" s="3116"/>
    </row>
    <row r="13" spans="1:8" ht="14.25">
      <c r="A13" s="3117">
        <v>12</v>
      </c>
      <c r="B13" s="3117" t="s">
        <v>3602</v>
      </c>
      <c r="C13" s="3114" t="s">
        <v>3075</v>
      </c>
      <c r="D13" s="3114" t="s">
        <v>3074</v>
      </c>
      <c r="E13" s="3117">
        <v>425.68</v>
      </c>
      <c r="F13" s="3118">
        <f t="shared" ca="1" si="0"/>
        <v>1857</v>
      </c>
      <c r="G13" s="3118">
        <f t="shared" ca="1" si="1"/>
        <v>1590</v>
      </c>
      <c r="H13" s="3116"/>
    </row>
    <row r="14" spans="1:8" ht="14.25">
      <c r="A14" s="3117">
        <v>13</v>
      </c>
      <c r="B14" s="3117" t="s">
        <v>3603</v>
      </c>
      <c r="C14" s="3114" t="s">
        <v>3075</v>
      </c>
      <c r="D14" s="3114" t="s">
        <v>3074</v>
      </c>
      <c r="E14" s="3117">
        <v>419.34</v>
      </c>
      <c r="F14" s="3118">
        <f t="shared" ca="1" si="0"/>
        <v>1829</v>
      </c>
      <c r="G14" s="3118">
        <f t="shared" ca="1" si="1"/>
        <v>1567</v>
      </c>
      <c r="H14" s="3116"/>
    </row>
    <row r="15" spans="1:8" ht="14.25">
      <c r="A15" s="3117">
        <v>14</v>
      </c>
      <c r="B15" s="3117" t="s">
        <v>3604</v>
      </c>
      <c r="C15" s="3114" t="s">
        <v>3075</v>
      </c>
      <c r="D15" s="3114" t="s">
        <v>3074</v>
      </c>
      <c r="E15" s="3117">
        <v>425.68</v>
      </c>
      <c r="F15" s="3118">
        <f t="shared" ca="1" si="0"/>
        <v>1857</v>
      </c>
      <c r="G15" s="3118">
        <f t="shared" ca="1" si="1"/>
        <v>1590</v>
      </c>
      <c r="H15" s="3116"/>
    </row>
    <row r="16" spans="1:8" ht="14.25">
      <c r="A16" s="3117">
        <v>15</v>
      </c>
      <c r="B16" s="3117" t="s">
        <v>3605</v>
      </c>
      <c r="C16" s="3114" t="s">
        <v>3075</v>
      </c>
      <c r="D16" s="3114" t="s">
        <v>3074</v>
      </c>
      <c r="E16" s="3117">
        <v>419.34</v>
      </c>
      <c r="F16" s="3118">
        <f t="shared" ca="1" si="0"/>
        <v>1829</v>
      </c>
      <c r="G16" s="3118">
        <f t="shared" ca="1" si="1"/>
        <v>1567</v>
      </c>
      <c r="H16" s="3116"/>
    </row>
    <row r="17" spans="1:8" ht="14.25">
      <c r="A17" s="3117">
        <v>16</v>
      </c>
      <c r="B17" s="3117" t="s">
        <v>3606</v>
      </c>
      <c r="C17" s="3114" t="s">
        <v>3075</v>
      </c>
      <c r="D17" s="3114" t="s">
        <v>3074</v>
      </c>
      <c r="E17" s="3117">
        <v>419.34</v>
      </c>
      <c r="F17" s="3118">
        <f t="shared" ca="1" si="0"/>
        <v>1829</v>
      </c>
      <c r="G17" s="3118">
        <f t="shared" ca="1" si="1"/>
        <v>1567</v>
      </c>
      <c r="H17" s="3116"/>
    </row>
    <row r="18" spans="1:8" ht="14.25">
      <c r="A18" s="3117">
        <v>17</v>
      </c>
      <c r="B18" s="3117" t="s">
        <v>3607</v>
      </c>
      <c r="C18" s="3114" t="s">
        <v>3075</v>
      </c>
      <c r="D18" s="3114" t="s">
        <v>3074</v>
      </c>
      <c r="E18" s="3117">
        <v>419.34</v>
      </c>
      <c r="F18" s="3118">
        <f t="shared" ca="1" si="0"/>
        <v>1829</v>
      </c>
      <c r="G18" s="3118">
        <f t="shared" ca="1" si="1"/>
        <v>1567</v>
      </c>
      <c r="H18" s="3116"/>
    </row>
    <row r="19" spans="1:8" ht="14.25">
      <c r="A19" s="3117">
        <v>18</v>
      </c>
      <c r="B19" s="3117" t="s">
        <v>3608</v>
      </c>
      <c r="C19" s="3114" t="s">
        <v>3075</v>
      </c>
      <c r="D19" s="3114" t="s">
        <v>3074</v>
      </c>
      <c r="E19" s="3117">
        <v>425.68</v>
      </c>
      <c r="F19" s="3118">
        <f t="shared" ca="1" si="0"/>
        <v>1857</v>
      </c>
      <c r="G19" s="3118">
        <f t="shared" ca="1" si="1"/>
        <v>1590</v>
      </c>
      <c r="H19" s="3116"/>
    </row>
    <row r="20" spans="1:8" ht="14.25">
      <c r="A20" s="3117">
        <v>19</v>
      </c>
      <c r="B20" s="3117" t="s">
        <v>3609</v>
      </c>
      <c r="C20" s="3114" t="s">
        <v>3075</v>
      </c>
      <c r="D20" s="3114" t="s">
        <v>3074</v>
      </c>
      <c r="E20" s="3117">
        <v>419.34</v>
      </c>
      <c r="F20" s="3118">
        <f t="shared" ca="1" si="0"/>
        <v>1829</v>
      </c>
      <c r="G20" s="3118">
        <f t="shared" ca="1" si="1"/>
        <v>1567</v>
      </c>
      <c r="H20" s="3116"/>
    </row>
    <row r="21" spans="1:8" ht="14.25">
      <c r="A21" s="3117">
        <v>20</v>
      </c>
      <c r="B21" s="3117" t="s">
        <v>3610</v>
      </c>
      <c r="C21" s="3114" t="s">
        <v>3075</v>
      </c>
      <c r="D21" s="3114" t="s">
        <v>3074</v>
      </c>
      <c r="E21" s="3117">
        <v>425.68</v>
      </c>
      <c r="F21" s="3118">
        <f t="shared" ca="1" si="0"/>
        <v>1857</v>
      </c>
      <c r="G21" s="3118">
        <f t="shared" ca="1" si="1"/>
        <v>1590</v>
      </c>
      <c r="H21" s="3116"/>
    </row>
    <row r="22" spans="1:8" ht="14.25">
      <c r="A22" s="3117">
        <v>21</v>
      </c>
      <c r="B22" s="3117" t="s">
        <v>3611</v>
      </c>
      <c r="C22" s="3114" t="s">
        <v>3075</v>
      </c>
      <c r="D22" s="3114" t="s">
        <v>3074</v>
      </c>
      <c r="E22" s="3117">
        <v>419.34</v>
      </c>
      <c r="F22" s="3118">
        <f t="shared" ca="1" si="0"/>
        <v>1829</v>
      </c>
      <c r="G22" s="3118">
        <f t="shared" ca="1" si="1"/>
        <v>1567</v>
      </c>
      <c r="H22" s="3116"/>
    </row>
    <row r="23" spans="1:8" ht="14.25">
      <c r="A23" s="3117">
        <v>22</v>
      </c>
      <c r="B23" s="3117" t="s">
        <v>3612</v>
      </c>
      <c r="C23" s="3114" t="s">
        <v>3075</v>
      </c>
      <c r="D23" s="3114" t="s">
        <v>3074</v>
      </c>
      <c r="E23" s="3117">
        <v>419.34</v>
      </c>
      <c r="F23" s="3118">
        <f t="shared" ca="1" si="0"/>
        <v>1829</v>
      </c>
      <c r="G23" s="3118">
        <f t="shared" ca="1" si="1"/>
        <v>1567</v>
      </c>
      <c r="H23" s="3116"/>
    </row>
    <row r="24" spans="1:8" ht="14.25">
      <c r="A24" s="3117">
        <v>23</v>
      </c>
      <c r="B24" s="3117" t="s">
        <v>3613</v>
      </c>
      <c r="C24" s="3114" t="s">
        <v>3075</v>
      </c>
      <c r="D24" s="3114" t="s">
        <v>3074</v>
      </c>
      <c r="E24" s="3117">
        <v>425.68</v>
      </c>
      <c r="F24" s="3118">
        <f t="shared" ca="1" si="0"/>
        <v>1857</v>
      </c>
      <c r="G24" s="3118">
        <f t="shared" ca="1" si="1"/>
        <v>1590</v>
      </c>
      <c r="H24" s="3116"/>
    </row>
    <row r="25" spans="1:8" ht="14.25">
      <c r="A25" s="3117">
        <v>24</v>
      </c>
      <c r="B25" s="3117" t="s">
        <v>3614</v>
      </c>
      <c r="C25" s="3114" t="s">
        <v>3075</v>
      </c>
      <c r="D25" s="3114" t="s">
        <v>3074</v>
      </c>
      <c r="E25" s="3117">
        <v>419.34</v>
      </c>
      <c r="F25" s="3118">
        <f t="shared" ca="1" si="0"/>
        <v>1829</v>
      </c>
      <c r="G25" s="3118">
        <f t="shared" ca="1" si="1"/>
        <v>1567</v>
      </c>
      <c r="H25" s="3116"/>
    </row>
    <row r="26" spans="1:8" ht="14.25">
      <c r="A26" s="3117">
        <v>25</v>
      </c>
      <c r="B26" s="3117" t="s">
        <v>3615</v>
      </c>
      <c r="C26" s="3114" t="s">
        <v>3075</v>
      </c>
      <c r="D26" s="3114" t="s">
        <v>3074</v>
      </c>
      <c r="E26" s="3117">
        <v>419.34</v>
      </c>
      <c r="F26" s="3118">
        <f t="shared" ca="1" si="0"/>
        <v>1829</v>
      </c>
      <c r="G26" s="3118">
        <f t="shared" ca="1" si="1"/>
        <v>1567</v>
      </c>
      <c r="H26" s="3116"/>
    </row>
    <row r="27" spans="1:8" ht="14.25">
      <c r="A27" s="3117">
        <v>26</v>
      </c>
      <c r="B27" s="3117" t="s">
        <v>3616</v>
      </c>
      <c r="C27" s="3114" t="s">
        <v>3075</v>
      </c>
      <c r="D27" s="3114" t="s">
        <v>3074</v>
      </c>
      <c r="E27" s="3117">
        <v>425.68</v>
      </c>
      <c r="F27" s="3118">
        <f t="shared" ca="1" si="0"/>
        <v>1857</v>
      </c>
      <c r="G27" s="3118">
        <f t="shared" ca="1" si="1"/>
        <v>1590</v>
      </c>
      <c r="H27" s="3116"/>
    </row>
    <row r="28" spans="1:8" ht="14.25">
      <c r="A28" s="3117">
        <v>27</v>
      </c>
      <c r="B28" s="3117" t="s">
        <v>3617</v>
      </c>
      <c r="C28" s="3114" t="s">
        <v>3075</v>
      </c>
      <c r="D28" s="3114" t="s">
        <v>3074</v>
      </c>
      <c r="E28" s="3117">
        <v>425.68</v>
      </c>
      <c r="F28" s="3118">
        <f ca="1">B37-SUM(F2:F27)</f>
        <v>1863</v>
      </c>
      <c r="G28" s="3118">
        <f ca="1">B39-SUM(G2:G27)</f>
        <v>1588</v>
      </c>
      <c r="H28" s="3116"/>
    </row>
    <row r="29" spans="1:8" ht="14.25" customHeight="1">
      <c r="A29" s="3475" t="s">
        <v>3655</v>
      </c>
      <c r="B29" s="3476"/>
      <c r="C29" s="3476"/>
      <c r="D29" s="3477"/>
      <c r="E29" s="3121">
        <f>SUM(E2:E28)</f>
        <v>14226.250000000004</v>
      </c>
      <c r="F29" s="3121">
        <f ca="1">SUM(F2:F28)</f>
        <v>62066</v>
      </c>
      <c r="G29" s="3121">
        <f ca="1">SUM(G2:G28)</f>
        <v>53151</v>
      </c>
      <c r="H29" s="3116"/>
    </row>
    <row r="30" spans="1:8" ht="14.25">
      <c r="A30" s="3117">
        <v>28</v>
      </c>
      <c r="B30" s="3114" t="s">
        <v>48</v>
      </c>
      <c r="C30" s="3114" t="s">
        <v>70</v>
      </c>
      <c r="D30" s="3114" t="s">
        <v>48</v>
      </c>
      <c r="E30" s="3117">
        <f>'数据-汇总表'!G20</f>
        <v>6234.45</v>
      </c>
      <c r="F30" s="3118">
        <f ca="1">C37</f>
        <v>1344</v>
      </c>
      <c r="G30" s="3118">
        <f ca="1">C39</f>
        <v>1151</v>
      </c>
    </row>
    <row r="31" spans="1:8" ht="14.25">
      <c r="A31" s="3478" t="s">
        <v>37</v>
      </c>
      <c r="B31" s="3479"/>
      <c r="C31" s="3479"/>
      <c r="D31" s="3480"/>
      <c r="E31" s="3121">
        <f>SUM(E29:E30)</f>
        <v>20460.700000000004</v>
      </c>
      <c r="F31" s="3121">
        <f t="shared" ref="F31:G31" ca="1" si="2">SUM(F29:F30)</f>
        <v>63410</v>
      </c>
      <c r="G31" s="3121">
        <f t="shared" ca="1" si="2"/>
        <v>54302</v>
      </c>
      <c r="H31" s="3116"/>
    </row>
    <row r="32" spans="1:8">
      <c r="F32" s="3119">
        <f ca="1">ROUND(F30/面积表!G36,2)</f>
        <v>11.89</v>
      </c>
      <c r="G32" s="3119">
        <f ca="1">ROUND(G30/面积表!G36,2)</f>
        <v>10.19</v>
      </c>
      <c r="H32" s="3120" t="s">
        <v>3637</v>
      </c>
    </row>
    <row r="34" spans="1:6" ht="14.25">
      <c r="B34" s="3112" t="s">
        <v>3630</v>
      </c>
      <c r="C34" s="3113" t="s">
        <v>3631</v>
      </c>
      <c r="D34" s="3113" t="s">
        <v>3632</v>
      </c>
      <c r="E34" s="3112" t="s">
        <v>3633</v>
      </c>
      <c r="F34" s="3112" t="s">
        <v>3646</v>
      </c>
    </row>
    <row r="35" spans="1:6">
      <c r="B35">
        <f>假设开发法!C8</f>
        <v>84296</v>
      </c>
      <c r="C35">
        <f>假设开发法!D8</f>
        <v>1826</v>
      </c>
      <c r="D35">
        <f>假设开发法!C4</f>
        <v>86122</v>
      </c>
      <c r="E35">
        <f ca="1">结果表!G19</f>
        <v>63410</v>
      </c>
      <c r="F35">
        <f ca="1">结果表!N59</f>
        <v>54302</v>
      </c>
    </row>
    <row r="36" spans="1:6">
      <c r="A36" s="3112" t="s">
        <v>3636</v>
      </c>
      <c r="B36">
        <f>'数据-汇总表'!F19</f>
        <v>14226.250000000004</v>
      </c>
      <c r="C36">
        <f>'数据-汇总表'!G20</f>
        <v>6234.45</v>
      </c>
    </row>
    <row r="37" spans="1:6">
      <c r="A37" s="3112" t="s">
        <v>3634</v>
      </c>
      <c r="B37">
        <f ca="1">ROUND(B35/$D$35*$E$35,0)</f>
        <v>62066</v>
      </c>
      <c r="C37">
        <f ca="1">ROUND(C35/$D$35*$E$35,0)</f>
        <v>1344</v>
      </c>
    </row>
    <row r="38" spans="1:6">
      <c r="A38" s="3112" t="s">
        <v>3635</v>
      </c>
      <c r="B38">
        <f ca="1">ROUND(B37/B36*10000,0)</f>
        <v>43628</v>
      </c>
      <c r="C38">
        <f ca="1">ROUND(C37/C36*10000,0)</f>
        <v>2156</v>
      </c>
    </row>
    <row r="39" spans="1:6">
      <c r="A39" s="3112" t="s">
        <v>3647</v>
      </c>
      <c r="B39">
        <f ca="1">ROUND(B35/$D$35*$F$35,0)</f>
        <v>53151</v>
      </c>
      <c r="C39">
        <f ca="1">ROUND(C35/$D$35*$F$35,0)</f>
        <v>1151</v>
      </c>
    </row>
    <row r="40" spans="1:6">
      <c r="A40" s="3112" t="s">
        <v>3635</v>
      </c>
      <c r="B40">
        <f ca="1">ROUND(B39/B36*10000,0)</f>
        <v>37361</v>
      </c>
      <c r="C40">
        <f ca="1">ROUND(C39/C36*10000,0)</f>
        <v>1846</v>
      </c>
    </row>
  </sheetData>
  <mergeCells count="2">
    <mergeCell ref="A29:D29"/>
    <mergeCell ref="A31:D31"/>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7"/>
      <c r="B3" s="3137"/>
      <c r="C3" s="3137"/>
      <c r="D3" s="963" t="s">
        <v>1603</v>
      </c>
      <c r="E3" s="963" t="s">
        <v>1609</v>
      </c>
      <c r="F3" s="963" t="s">
        <v>1603</v>
      </c>
      <c r="G3" s="963" t="s">
        <v>1604</v>
      </c>
      <c r="H3" s="963" t="s">
        <v>1603</v>
      </c>
      <c r="I3" s="963" t="s">
        <v>1604</v>
      </c>
    </row>
    <row r="4" spans="1:9" ht="45">
      <c r="A4" s="1692" t="str">
        <f>项目基本情况!S2</f>
        <v>云南省昆明市官渡区官渡街道办事处出让国有建设用地使用权及在建建筑物房地产</v>
      </c>
      <c r="B4" s="963">
        <f>项目基本情况!C17</f>
        <v>20460.700000000004</v>
      </c>
      <c r="C4" s="963">
        <f>项目基本情况!C18</f>
        <v>35823.800000000003</v>
      </c>
      <c r="D4" s="963">
        <f ca="1">结果表!D118</f>
        <v>20608</v>
      </c>
      <c r="E4" s="963">
        <f ca="1">结果表!E118</f>
        <v>10072</v>
      </c>
      <c r="F4" s="963">
        <f ca="1">结果表!F118</f>
        <v>42802</v>
      </c>
      <c r="G4" s="963">
        <f ca="1">结果表!G118</f>
        <v>20919</v>
      </c>
      <c r="H4" s="963">
        <f ca="1">结果表!H118</f>
        <v>63410</v>
      </c>
      <c r="I4" s="963">
        <f ca="1">结果表!I118</f>
        <v>30991</v>
      </c>
    </row>
    <row r="5" spans="1:9" ht="30" customHeight="1">
      <c r="A5" s="3137" t="s">
        <v>1605</v>
      </c>
      <c r="B5" s="3137"/>
      <c r="C5" s="3137"/>
      <c r="D5" s="3138" t="str">
        <f ca="1">结果表!D119</f>
        <v>贰亿零陆佰零捌万元整</v>
      </c>
      <c r="E5" s="3138"/>
      <c r="F5" s="3138" t="str">
        <f ca="1">结果表!F119</f>
        <v>肆亿贰仟捌佰零贰万元整</v>
      </c>
      <c r="G5" s="3138"/>
      <c r="H5" s="3138" t="str">
        <f ca="1">结果表!H119</f>
        <v>陆亿叁仟肆佰壹拾万元整</v>
      </c>
      <c r="I5" s="3138"/>
    </row>
    <row r="6" spans="1:9" ht="15.75">
      <c r="A6" s="3139" t="str">
        <f>结果表!A120</f>
        <v>估价师知悉的法定优先受偿款</v>
      </c>
      <c r="B6" s="3139"/>
      <c r="C6" s="3139"/>
      <c r="D6" s="3139">
        <f>结果表!D120</f>
        <v>0</v>
      </c>
      <c r="E6" s="3139"/>
      <c r="F6" s="3139"/>
      <c r="G6" s="3139"/>
      <c r="H6" s="3139"/>
      <c r="I6" s="3139"/>
    </row>
    <row r="7" spans="1:9" ht="15">
      <c r="A7" s="3137" t="s">
        <v>1605</v>
      </c>
      <c r="B7" s="3137"/>
      <c r="C7" s="3137"/>
      <c r="D7" s="3140" t="str">
        <f>结果表!D121</f>
        <v>零元整</v>
      </c>
      <c r="E7" s="3141"/>
      <c r="F7" s="3141"/>
      <c r="G7" s="3141"/>
      <c r="H7" s="3141"/>
      <c r="I7" s="3142"/>
    </row>
    <row r="8" spans="1:9" ht="15.75">
      <c r="A8" s="3139" t="str">
        <f>结果表!A122</f>
        <v>房地产抵押价值</v>
      </c>
      <c r="B8" s="3139"/>
      <c r="C8" s="3139"/>
      <c r="D8" s="3139">
        <f ca="1">结果表!D122</f>
        <v>63410</v>
      </c>
      <c r="E8" s="3139"/>
      <c r="F8" s="3139"/>
      <c r="G8" s="3139"/>
      <c r="H8" s="3139"/>
      <c r="I8" s="3139"/>
    </row>
    <row r="9" spans="1:9" ht="15">
      <c r="A9" s="3137" t="s">
        <v>1605</v>
      </c>
      <c r="B9" s="3137"/>
      <c r="C9" s="3137"/>
      <c r="D9" s="3138" t="str">
        <f ca="1">结果表!D123</f>
        <v>陆亿叁仟肆佰壹拾万元整</v>
      </c>
      <c r="E9" s="3138"/>
      <c r="F9" s="3138"/>
      <c r="G9" s="3138"/>
      <c r="H9" s="3138"/>
      <c r="I9" s="3138"/>
    </row>
    <row r="10" spans="1:9" ht="15.75">
      <c r="A10" s="3139" t="str">
        <f>结果表!A124</f>
        <v/>
      </c>
      <c r="B10" s="3139"/>
      <c r="C10" s="3139"/>
      <c r="D10" s="3139" t="str">
        <f>结果表!D124</f>
        <v>——</v>
      </c>
      <c r="E10" s="3139"/>
      <c r="F10" s="3139"/>
      <c r="G10" s="3139"/>
      <c r="H10" s="3139"/>
      <c r="I10" s="3139"/>
    </row>
    <row r="11" spans="1:9" ht="15">
      <c r="A11" s="3137" t="s">
        <v>1605</v>
      </c>
      <c r="B11" s="3137"/>
      <c r="C11" s="3137"/>
      <c r="D11" s="3138" t="e">
        <f>结果表!D125</f>
        <v>#VALUE!</v>
      </c>
      <c r="E11" s="3138"/>
      <c r="F11" s="3138"/>
      <c r="G11" s="3138"/>
      <c r="H11" s="3138"/>
      <c r="I11" s="3138"/>
    </row>
    <row r="12" spans="1:9" ht="15.75">
      <c r="A12" s="3139" t="str">
        <f>结果表!A126</f>
        <v>抵押净值</v>
      </c>
      <c r="B12" s="3139"/>
      <c r="C12" s="3139"/>
      <c r="D12" s="3139">
        <f ca="1">结果表!D126</f>
        <v>54302</v>
      </c>
      <c r="E12" s="3139"/>
      <c r="F12" s="3139"/>
      <c r="G12" s="3139"/>
      <c r="H12" s="3139"/>
      <c r="I12" s="3139"/>
    </row>
    <row r="13" spans="1:9" ht="15.75" thickBot="1">
      <c r="A13" s="3143" t="s">
        <v>1605</v>
      </c>
      <c r="B13" s="3143"/>
      <c r="C13" s="3143"/>
      <c r="D13" s="3144" t="str">
        <f ca="1">结果表!D127</f>
        <v>伍亿肆仟叁佰零贰万元整</v>
      </c>
      <c r="E13" s="3144"/>
      <c r="F13" s="3144"/>
      <c r="G13" s="3144"/>
      <c r="H13" s="3144"/>
      <c r="I13" s="3144"/>
    </row>
    <row r="14" spans="1:9" ht="15" thickTop="1">
      <c r="A14" s="3145" t="s">
        <v>1610</v>
      </c>
      <c r="B14" s="3145"/>
      <c r="C14" s="3145"/>
      <c r="D14" s="3145"/>
      <c r="E14" s="3145"/>
      <c r="F14" s="3145"/>
      <c r="G14" s="3145"/>
      <c r="H14" s="3145"/>
      <c r="I14" s="3145"/>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46" t="s">
        <v>1627</v>
      </c>
      <c r="B1" s="3146"/>
      <c r="C1" s="3146"/>
      <c r="D1" s="3146"/>
    </row>
    <row r="2" spans="1:4" ht="18">
      <c r="A2" s="3147" t="s">
        <v>1611</v>
      </c>
      <c r="B2" s="3147"/>
      <c r="C2" s="3147"/>
      <c r="D2" s="3147"/>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147" t="s">
        <v>1617</v>
      </c>
      <c r="B6" s="3147"/>
      <c r="C6" s="3147"/>
      <c r="D6" s="3147"/>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48" t="s">
        <v>1620</v>
      </c>
      <c r="B11" s="3149"/>
      <c r="C11" s="3149"/>
      <c r="D11" s="3149"/>
    </row>
    <row r="12" spans="1:4" ht="15.75">
      <c r="A12" s="3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0"/>
      <c r="C12" s="3150"/>
      <c r="D12" s="3150"/>
    </row>
    <row r="13" spans="1:4" ht="30" customHeight="1">
      <c r="A13" s="3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0"/>
      <c r="C13" s="3150"/>
      <c r="D13" s="3150"/>
    </row>
    <row r="14" spans="1:4" ht="15.75" customHeight="1">
      <c r="A14" s="3149" t="str">
        <f>IF(项目基本情况!B8="抵押","4.本次评估估价师所知悉的法定优先受偿款情况说明如下：","——")</f>
        <v>4.本次评估估价师所知悉的法定优先受偿款情况说明如下：</v>
      </c>
      <c r="B14" s="3150"/>
      <c r="C14" s="3150"/>
      <c r="D14" s="3150"/>
    </row>
    <row r="15" spans="1:4" ht="42" customHeight="1">
      <c r="A15" s="31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9"/>
      <c r="C15" s="3149"/>
      <c r="D15" s="3149"/>
    </row>
    <row r="16" spans="1:4" ht="30" customHeight="1">
      <c r="A16" s="3152" t="s">
        <v>1621</v>
      </c>
      <c r="B16" s="3152"/>
      <c r="C16" s="3152"/>
      <c r="D16" s="3152"/>
    </row>
    <row r="17" spans="1:4" ht="144" customHeight="1">
      <c r="A17" s="3152" t="s">
        <v>1622</v>
      </c>
      <c r="B17" s="3152"/>
      <c r="C17" s="3152"/>
      <c r="D17" s="3152"/>
    </row>
    <row r="18" spans="1:4" ht="15.75" customHeight="1">
      <c r="A18" s="3149" t="str">
        <f>IF(项目基本情况!B8="抵押",结果表!K120,"——")</f>
        <v>故，本次评估不存在估价师知悉的法定优先受偿款</v>
      </c>
      <c r="B18" s="3149"/>
      <c r="C18" s="3149"/>
      <c r="D18" s="3149"/>
    </row>
    <row r="19" spans="1:4" ht="46.5" customHeight="1">
      <c r="A19" s="3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9"/>
      <c r="C19" s="3149"/>
      <c r="D19" s="3149"/>
    </row>
    <row r="20" spans="1:4" ht="57.75" customHeight="1">
      <c r="A20" s="31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9"/>
      <c r="C20" s="3149"/>
      <c r="D20" s="3149"/>
    </row>
    <row r="21" spans="1:4" ht="57.75" customHeight="1">
      <c r="A21" s="31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3"/>
      <c r="C21" s="3153"/>
      <c r="D21" s="3153"/>
    </row>
    <row r="22" spans="1:4" ht="18.75" customHeight="1">
      <c r="A22" s="3154" t="s">
        <v>1623</v>
      </c>
      <c r="B22" s="3154"/>
      <c r="C22" s="3154"/>
      <c r="D22" s="3154"/>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51">
        <v>42551</v>
      </c>
      <c r="D31" s="31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60" t="s">
        <v>1634</v>
      </c>
      <c r="B15" s="3155" t="s">
        <v>136</v>
      </c>
      <c r="C15" s="3156"/>
    </row>
    <row r="16" spans="1:7" ht="13.5">
      <c r="A16" s="3161"/>
      <c r="B16" s="3155" t="s">
        <v>69</v>
      </c>
      <c r="C16" s="3156"/>
    </row>
    <row r="17" spans="1:3" ht="13.5">
      <c r="A17" s="3161"/>
      <c r="B17" s="3158" t="s">
        <v>1635</v>
      </c>
      <c r="C17" s="1719" t="s">
        <v>1634</v>
      </c>
    </row>
    <row r="18" spans="1:3" ht="13.5">
      <c r="A18" s="3161"/>
      <c r="B18" s="3158"/>
      <c r="C18" s="1719" t="s">
        <v>1636</v>
      </c>
    </row>
    <row r="19" spans="1:3" ht="13.5">
      <c r="A19" s="3161"/>
      <c r="B19" s="3158"/>
      <c r="C19" s="1719" t="s">
        <v>1637</v>
      </c>
    </row>
    <row r="20" spans="1:3" ht="13.5">
      <c r="A20" s="3162"/>
      <c r="B20" s="3157" t="s">
        <v>1638</v>
      </c>
      <c r="C20" s="3156"/>
    </row>
    <row r="21" spans="1:3" ht="13.5">
      <c r="A21" s="1720" t="s">
        <v>1639</v>
      </c>
      <c r="B21" s="1721"/>
      <c r="C21" s="1722"/>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9" t="s">
        <v>1645</v>
      </c>
    </row>
    <row r="26" spans="1:3" ht="13.5">
      <c r="A26" s="3159"/>
      <c r="B26" s="3158"/>
      <c r="C26" s="1719" t="s">
        <v>1646</v>
      </c>
    </row>
    <row r="27" spans="1:3" ht="13.5">
      <c r="A27" s="3159"/>
      <c r="B27" s="3158"/>
      <c r="C27" s="1719" t="s">
        <v>1647</v>
      </c>
    </row>
    <row r="28" spans="1:3" ht="13.5">
      <c r="A28" s="3159"/>
      <c r="B28" s="3158"/>
      <c r="C28" s="1719" t="s">
        <v>1648</v>
      </c>
    </row>
    <row r="29" spans="1:3" ht="13.5">
      <c r="A29" s="3159"/>
      <c r="B29" s="3158"/>
      <c r="C29" s="1719" t="s">
        <v>1649</v>
      </c>
    </row>
    <row r="30" spans="1:3" ht="13.5">
      <c r="A30" s="3159"/>
      <c r="B30" s="3158"/>
      <c r="C30" s="1719" t="s">
        <v>1650</v>
      </c>
    </row>
    <row r="31" spans="1:3" ht="13.5">
      <c r="A31" s="3159"/>
      <c r="B31" s="3158"/>
      <c r="C31" s="1719" t="s">
        <v>1651</v>
      </c>
    </row>
    <row r="32" spans="1:3" ht="13.5">
      <c r="A32" s="3159"/>
      <c r="B32" s="3158"/>
      <c r="C32" s="1719" t="s">
        <v>1652</v>
      </c>
    </row>
    <row r="33" spans="1:3" ht="13.5">
      <c r="A33" s="3159"/>
      <c r="B33" s="3158"/>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2874</v>
      </c>
      <c r="B2" s="2562">
        <f ca="1">TODAY()</f>
        <v>44375</v>
      </c>
      <c r="C2" s="2563" t="s">
        <v>2875</v>
      </c>
      <c r="D2" s="2563"/>
      <c r="E2" s="2563"/>
      <c r="F2" s="2559"/>
      <c r="G2" s="2559"/>
      <c r="H2" s="2559"/>
    </row>
    <row r="3" spans="1:8" ht="24" customHeight="1">
      <c r="A3" s="2564" t="s">
        <v>2876</v>
      </c>
      <c r="B3" s="2565" t="s">
        <v>2877</v>
      </c>
      <c r="C3" s="2565" t="s">
        <v>2878</v>
      </c>
      <c r="D3" s="2566" t="s">
        <v>2879</v>
      </c>
      <c r="E3" s="2567" t="s">
        <v>2880</v>
      </c>
      <c r="F3" s="1474" t="s">
        <v>2881</v>
      </c>
      <c r="G3" s="2565" t="s">
        <v>2878</v>
      </c>
      <c r="H3" s="2566" t="s">
        <v>2882</v>
      </c>
    </row>
    <row r="4" spans="1:8" ht="24" customHeight="1">
      <c r="A4" s="1474" t="s">
        <v>2883</v>
      </c>
      <c r="B4" s="1474">
        <f ca="1">IF(C4&lt;B2,"已过期",1119970066)</f>
        <v>1119970066</v>
      </c>
      <c r="C4" s="2568">
        <v>44876</v>
      </c>
      <c r="D4" s="2569" t="str">
        <f ca="1">A4&amp;"（注册号："&amp;B4&amp;"）"</f>
        <v>梁津（注册号：1119970066）</v>
      </c>
      <c r="E4" s="2570" t="s">
        <v>2883</v>
      </c>
      <c r="F4" s="1474">
        <f ca="1">IF(G4&lt;B2,"已过期",96010014)</f>
        <v>96010014</v>
      </c>
      <c r="G4" s="2571">
        <v>47118</v>
      </c>
      <c r="H4" s="2572" t="str">
        <f ca="1">E4&amp;"（注册号："&amp;F4&amp;"）"</f>
        <v>梁津（注册号：96010014）</v>
      </c>
    </row>
    <row r="5" spans="1:8" ht="24" customHeight="1">
      <c r="A5" s="1474" t="s">
        <v>2884</v>
      </c>
      <c r="B5" s="1474">
        <f ca="1">IF(C5&lt;B2,"已过期",1119970111)</f>
        <v>1119970111</v>
      </c>
      <c r="C5" s="2568">
        <v>44876</v>
      </c>
      <c r="D5" s="2569" t="str">
        <f t="shared" ref="D5:D15" ca="1" si="0">A5&amp;"（注册号："&amp;B5&amp;"）"</f>
        <v>叶凌（注册号：1119970111）</v>
      </c>
      <c r="E5" s="2570" t="s">
        <v>2884</v>
      </c>
      <c r="F5" s="1474">
        <f ca="1">IF(G5&lt;B2,"已过期",94010078)</f>
        <v>94010078</v>
      </c>
      <c r="G5" s="2571">
        <v>46387</v>
      </c>
      <c r="H5" s="2572" t="str">
        <f t="shared" ref="H5:H16" ca="1" si="1">E5&amp;"（注册号："&amp;F5&amp;"）"</f>
        <v>叶凌（注册号：94010078）</v>
      </c>
    </row>
    <row r="6" spans="1:8" ht="24" customHeight="1">
      <c r="A6" s="1474" t="s">
        <v>2885</v>
      </c>
      <c r="B6" s="1474">
        <f ca="1">IF(C6&lt;B2,"已过期",1120050019)</f>
        <v>1120050019</v>
      </c>
      <c r="C6" s="2568">
        <v>44395</v>
      </c>
      <c r="D6" s="2569" t="str">
        <f t="shared" ca="1" si="0"/>
        <v>王鹏（注册号：1120050019）</v>
      </c>
      <c r="E6" s="2570" t="s">
        <v>2885</v>
      </c>
      <c r="F6" s="1474">
        <f ca="1">IF(G6&lt;B2,"已过期",2002110030)</f>
        <v>2002110030</v>
      </c>
      <c r="G6" s="2571">
        <v>46387</v>
      </c>
      <c r="H6" s="2572" t="str">
        <f t="shared" ca="1" si="1"/>
        <v>王鹏（注册号：2002110030）</v>
      </c>
    </row>
    <row r="7" spans="1:8" ht="24" customHeight="1">
      <c r="A7" s="1474" t="s">
        <v>2886</v>
      </c>
      <c r="B7" s="1474">
        <f ca="1">IF(C7&lt;B2,"已过期",1120000080)</f>
        <v>1120000080</v>
      </c>
      <c r="C7" s="2568">
        <v>44876</v>
      </c>
      <c r="D7" s="2569" t="str">
        <f t="shared" ca="1" si="0"/>
        <v>欧红伟（注册号：1120000080）</v>
      </c>
      <c r="E7" s="2570" t="s">
        <v>2886</v>
      </c>
      <c r="F7" s="1474">
        <f ca="1">IF(G7&lt;B2,"已过期",2000110082)</f>
        <v>2000110082</v>
      </c>
      <c r="G7" s="2571">
        <v>46387</v>
      </c>
      <c r="H7" s="2572" t="str">
        <f t="shared" ca="1" si="1"/>
        <v>欧红伟（注册号：2000110082）</v>
      </c>
    </row>
    <row r="8" spans="1:8" ht="24" customHeight="1">
      <c r="A8" s="1474" t="s">
        <v>2887</v>
      </c>
      <c r="B8" s="1474">
        <f ca="1">IF(C8&lt;B2,"已过期",1419970001)</f>
        <v>1419970001</v>
      </c>
      <c r="C8" s="2568">
        <v>44899</v>
      </c>
      <c r="D8" s="2569" t="str">
        <f t="shared" ca="1" si="0"/>
        <v>吴薇（注册号：1419970001）</v>
      </c>
      <c r="E8" s="2570" t="s">
        <v>2887</v>
      </c>
      <c r="F8" s="1474">
        <f ca="1">IF(G8&lt;B2,"已过期",2002110125)</f>
        <v>2002110125</v>
      </c>
      <c r="G8" s="2571">
        <v>47118</v>
      </c>
      <c r="H8" s="2572" t="str">
        <f t="shared" ca="1" si="1"/>
        <v>吴薇（注册号：2002110125）</v>
      </c>
    </row>
    <row r="9" spans="1:8" ht="24" customHeight="1">
      <c r="A9" s="1474" t="s">
        <v>2888</v>
      </c>
      <c r="B9" s="1474">
        <f ca="1">IF(C9&lt;B2,"已过期",1120060040)</f>
        <v>1120060040</v>
      </c>
      <c r="C9" s="2573">
        <v>44554</v>
      </c>
      <c r="D9" s="2569" t="str">
        <f t="shared" ca="1" si="0"/>
        <v>陈颖（注册号：1120060040）</v>
      </c>
      <c r="E9" s="2570" t="s">
        <v>2888</v>
      </c>
      <c r="F9" s="1474">
        <f ca="1">IF(G9&lt;B2,"已过期",2004110096)</f>
        <v>2004110096</v>
      </c>
      <c r="G9" s="2571">
        <v>47118</v>
      </c>
      <c r="H9" s="2572" t="str">
        <f t="shared" ca="1" si="1"/>
        <v>陈颖（注册号：2004110096）</v>
      </c>
    </row>
    <row r="10" spans="1:8" ht="24" customHeight="1">
      <c r="A10" s="1474" t="s">
        <v>2889</v>
      </c>
      <c r="B10" s="1474">
        <f ca="1">IF(C10&lt;B2,"已过期",1120100036)</f>
        <v>1120100036</v>
      </c>
      <c r="C10" s="2573">
        <v>44675</v>
      </c>
      <c r="D10" s="2569" t="str">
        <f t="shared" ca="1" si="0"/>
        <v>崔锴（注册号：1120100036）</v>
      </c>
      <c r="E10" s="2570" t="s">
        <v>2889</v>
      </c>
      <c r="F10" s="1474">
        <f ca="1">IF(G10&lt;B2,"已过期",2010110070)</f>
        <v>2010110070</v>
      </c>
      <c r="G10" s="2571">
        <v>47907</v>
      </c>
      <c r="H10" s="2572" t="str">
        <f t="shared" ca="1" si="1"/>
        <v>崔锴（注册号：2010110070）</v>
      </c>
    </row>
    <row r="11" spans="1:8" ht="24" customHeight="1">
      <c r="A11" s="1474" t="s">
        <v>2890</v>
      </c>
      <c r="B11" s="1474">
        <f ca="1">IF(C11&lt;B2,"已过期",1120070131)</f>
        <v>1120070131</v>
      </c>
      <c r="C11" s="2568">
        <v>44849</v>
      </c>
      <c r="D11" s="2569" t="str">
        <f t="shared" ca="1" si="0"/>
        <v>郑燚（注册号：1120070131）</v>
      </c>
      <c r="E11" s="2570" t="s">
        <v>2890</v>
      </c>
      <c r="F11" s="1474">
        <f ca="1">IF(G11&lt;B2,"已过期",2014110011)</f>
        <v>2014110011</v>
      </c>
      <c r="G11" s="2571">
        <v>49302</v>
      </c>
      <c r="H11" s="2572" t="str">
        <f t="shared" ca="1" si="1"/>
        <v>郑燚（注册号：2014110011）</v>
      </c>
    </row>
    <row r="12" spans="1:8" ht="24" customHeight="1">
      <c r="A12" s="1474" t="s">
        <v>2891</v>
      </c>
      <c r="B12" s="1474">
        <f ca="1">IF(C12&lt;B2,"已过期",1120040230)</f>
        <v>1120040230</v>
      </c>
      <c r="C12" s="2573">
        <v>44864</v>
      </c>
      <c r="D12" s="2569" t="str">
        <f t="shared" ca="1" si="0"/>
        <v>苏海（注册号：1120040230）</v>
      </c>
      <c r="E12" s="2570" t="s">
        <v>2891</v>
      </c>
      <c r="F12" s="1474">
        <f ca="1">IF(G12&lt;B2,"已过期",98030020)</f>
        <v>98030020</v>
      </c>
      <c r="G12" s="2571">
        <v>47118</v>
      </c>
      <c r="H12" s="2572" t="str">
        <f t="shared" ca="1" si="1"/>
        <v>苏海（注册号：98030020）</v>
      </c>
    </row>
    <row r="13" spans="1:8" ht="24" customHeight="1">
      <c r="A13" s="1474" t="s">
        <v>2892</v>
      </c>
      <c r="B13" s="1474" t="str">
        <f ca="1">IF(C13&lt;B2,"已过期",1120020033)</f>
        <v>已过期</v>
      </c>
      <c r="C13" s="2568">
        <v>44339</v>
      </c>
      <c r="D13" s="2569" t="str">
        <f t="shared" ca="1" si="0"/>
        <v>刘敬东（注册号：已过期）</v>
      </c>
      <c r="E13" s="2570" t="s">
        <v>2892</v>
      </c>
      <c r="F13" s="1474">
        <f ca="1">IF(G13&lt;B2,"已过期",2000110137)</f>
        <v>2000110137</v>
      </c>
      <c r="G13" s="2571">
        <v>46387</v>
      </c>
      <c r="H13" s="2572" t="str">
        <f t="shared" ca="1" si="1"/>
        <v>刘敬东（注册号：2000110137）</v>
      </c>
    </row>
    <row r="14" spans="1:8" ht="24" customHeight="1">
      <c r="A14" s="1474" t="s">
        <v>2893</v>
      </c>
      <c r="B14" s="1474">
        <f ca="1">IF(C14&lt;B2,"已过期",1119980106)</f>
        <v>1119980106</v>
      </c>
      <c r="C14" s="2573">
        <v>44969</v>
      </c>
      <c r="D14" s="2569" t="str">
        <f t="shared" ca="1" si="0"/>
        <v>刘俊财（注册号：1119980106）</v>
      </c>
      <c r="E14" s="2570" t="s">
        <v>2893</v>
      </c>
      <c r="F14" s="1474">
        <f ca="1">IF(G14&lt;B2,"已过期",96010063)</f>
        <v>96010063</v>
      </c>
      <c r="G14" s="2571">
        <v>47483</v>
      </c>
      <c r="H14" s="2572" t="str">
        <f t="shared" ca="1" si="1"/>
        <v>刘俊财（注册号：96010063）</v>
      </c>
    </row>
    <row r="15" spans="1:8" ht="24" customHeight="1">
      <c r="A15" s="1474"/>
      <c r="B15" s="1474"/>
      <c r="C15" s="2573"/>
      <c r="D15" s="2569" t="str">
        <f t="shared" si="0"/>
        <v>（注册号：）</v>
      </c>
      <c r="E15" s="2570" t="s">
        <v>2894</v>
      </c>
      <c r="F15" s="1474">
        <f ca="1">IF(G15&lt;B2,"已过期",2011110090)</f>
        <v>2011110090</v>
      </c>
      <c r="G15" s="2571">
        <v>48302</v>
      </c>
      <c r="H15" s="2572" t="str">
        <f t="shared" ca="1" si="1"/>
        <v>赵雯（注册号：2011110090）</v>
      </c>
    </row>
    <row r="16" spans="1:8" s="2575" customFormat="1" ht="24" customHeight="1">
      <c r="A16" s="1474"/>
      <c r="B16" s="1474"/>
      <c r="C16" s="1474"/>
      <c r="D16" s="2569" t="str">
        <f>A16&amp;"（注册号："&amp;B16&amp;"）"</f>
        <v>（注册号：）</v>
      </c>
      <c r="E16" s="2570"/>
      <c r="F16" s="1474"/>
      <c r="G16" s="1474"/>
      <c r="H16" s="2574" t="str">
        <f t="shared" si="1"/>
        <v>（注册号：）</v>
      </c>
    </row>
    <row r="17" spans="1:8" ht="24" customHeight="1">
      <c r="A17" s="3163" t="s">
        <v>2895</v>
      </c>
      <c r="B17" s="3163"/>
      <c r="C17" s="3163"/>
      <c r="D17" s="3163"/>
      <c r="E17" s="3163"/>
      <c r="F17" s="3163"/>
      <c r="G17" s="3163"/>
      <c r="H17" s="3163"/>
    </row>
    <row r="18" spans="1:8" ht="24" customHeight="1">
      <c r="A18" s="3164" t="s">
        <v>2896</v>
      </c>
      <c r="B18" s="3164"/>
      <c r="C18" s="3164"/>
      <c r="D18" s="2566"/>
      <c r="E18" s="3165" t="s">
        <v>2897</v>
      </c>
      <c r="F18" s="3164"/>
      <c r="G18" s="3164"/>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拆分价值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2021-06-28T08:33:24Z</dcterms:modified>
</cp:coreProperties>
</file>