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2025年\询价\三里河东路30号院-门麒\"/>
    </mc:Choice>
  </mc:AlternateContent>
  <xr:revisionPtr revIDLastSave="0" documentId="13_ncr:1_{0D5E63F0-8E4F-4671-A2CE-8F0E12DAB901}" xr6:coauthVersionLast="47" xr6:coauthVersionMax="47" xr10:uidLastSave="{00000000-0000-0000-0000-000000000000}"/>
  <bookViews>
    <workbookView xWindow="-108" yWindow="-108" windowWidth="23256" windowHeight="1257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取值"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收益法（汇总）" sheetId="70" r:id="rId22"/>
    <sheet name="成本法" sheetId="68" r:id="rId23"/>
    <sheet name="成本法 (元)" sheetId="69" state="hidden" r:id="rId24"/>
    <sheet name="假设开发法" sheetId="12" state="hidden" r:id="rId25"/>
    <sheet name="收益法" sheetId="15" r:id="rId26"/>
    <sheet name="收益法 (元)" sheetId="67" state="hidden" r:id="rId27"/>
    <sheet name="收益法-酒店模型" sheetId="77"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收益法办" sheetId="82" r:id="rId41"/>
    <sheet name="收益法车" sheetId="83" r:id="rId42"/>
    <sheet name="区片价" sheetId="44" r:id="rId43"/>
    <sheet name="因素修正幅度" sheetId="65" state="hidden" r:id="rId44"/>
    <sheet name="区片价（范围）" sheetId="75" state="hidden" r:id="rId45"/>
    <sheet name="基准地价修正" sheetId="43" r:id="rId46"/>
    <sheet name="地价-分区" sheetId="79" r:id="rId47"/>
    <sheet name="地价" sheetId="71" r:id="rId48"/>
    <sheet name="存贷款利率" sheetId="73" r:id="rId49"/>
  </sheets>
  <externalReferences>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45">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1">'收益法（汇总）'!$A$1:$F$13</definedName>
    <definedName name="_xlnm.Print_Area" localSheetId="40">收益法办!$A$1:$F$43,收益法办!$H$3:$M$29,收益法办!$A$46:$F$71,收益法办!$I$46:$N$65</definedName>
    <definedName name="_xlnm.Print_Area" localSheetId="41">收益法车!$A$1:$F$43,收益法车!$H$3:$M$29,收益法车!$A$46:$F$71,收益法车!$I$46:$N$65</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Q72" i="83" l="1"/>
  <c r="Q59" i="83"/>
  <c r="K59" i="83"/>
  <c r="P74" i="83" s="1"/>
  <c r="F59" i="83"/>
  <c r="Q58" i="83"/>
  <c r="Q51" i="83"/>
  <c r="J50" i="83"/>
  <c r="J51" i="83" s="1"/>
  <c r="M47" i="83"/>
  <c r="D46" i="83"/>
  <c r="F34" i="83"/>
  <c r="F62" i="83" s="1"/>
  <c r="F33" i="83"/>
  <c r="F61" i="83" s="1"/>
  <c r="F32" i="83"/>
  <c r="F60" i="83" s="1"/>
  <c r="F31" i="83"/>
  <c r="F28" i="83"/>
  <c r="C28" i="83"/>
  <c r="F23" i="83"/>
  <c r="D24" i="83" s="1"/>
  <c r="D23" i="83"/>
  <c r="D22" i="83"/>
  <c r="F21" i="83"/>
  <c r="M20" i="83"/>
  <c r="F20" i="83"/>
  <c r="M19" i="83"/>
  <c r="M18" i="83"/>
  <c r="F18" i="83"/>
  <c r="M17" i="83"/>
  <c r="F17" i="83"/>
  <c r="F15" i="83"/>
  <c r="G1" i="83"/>
  <c r="U18" i="1"/>
  <c r="Q72" i="82"/>
  <c r="Q59" i="82"/>
  <c r="K59" i="82"/>
  <c r="P74" i="82" s="1"/>
  <c r="F59" i="82"/>
  <c r="Q58" i="82"/>
  <c r="Q51" i="82"/>
  <c r="J51" i="82"/>
  <c r="J50" i="82"/>
  <c r="M47" i="82"/>
  <c r="D46" i="82"/>
  <c r="F34" i="82"/>
  <c r="F62" i="82" s="1"/>
  <c r="F33" i="82"/>
  <c r="F61" i="82" s="1"/>
  <c r="F32" i="82"/>
  <c r="F60" i="82" s="1"/>
  <c r="F31" i="82"/>
  <c r="F28" i="82"/>
  <c r="C28" i="82"/>
  <c r="F23" i="82"/>
  <c r="D24" i="82" s="1"/>
  <c r="D23" i="82"/>
  <c r="D22" i="82"/>
  <c r="F21" i="82"/>
  <c r="M20" i="82"/>
  <c r="F20" i="82"/>
  <c r="M19" i="82"/>
  <c r="M18" i="82"/>
  <c r="F18" i="82"/>
  <c r="M17" i="82"/>
  <c r="F17" i="82"/>
  <c r="F15" i="82"/>
  <c r="G1" i="82"/>
  <c r="L58" i="80"/>
  <c r="O57" i="80"/>
  <c r="L56" i="80"/>
  <c r="L57" i="80"/>
  <c r="W8" i="1"/>
  <c r="W7" i="1"/>
  <c r="V8" i="1"/>
  <c r="Y7" i="1"/>
  <c r="Y8" i="1"/>
  <c r="E57" i="39"/>
  <c r="N8" i="1"/>
  <c r="N7" i="1"/>
  <c r="G21" i="6"/>
  <c r="F20" i="6"/>
  <c r="G19" i="6"/>
  <c r="F19" i="6"/>
  <c r="K13" i="3"/>
  <c r="O13" i="3"/>
  <c r="M13" i="3"/>
  <c r="I13" i="3"/>
  <c r="G17" i="80"/>
  <c r="M22" i="83"/>
  <c r="M24" i="83"/>
  <c r="M28" i="83"/>
  <c r="C76" i="82"/>
  <c r="C76" i="83"/>
  <c r="F7" i="83"/>
  <c r="M24" i="82"/>
  <c r="F8" i="83"/>
  <c r="F8" i="82"/>
  <c r="F9" i="83"/>
  <c r="O58" i="80" l="1"/>
  <c r="Q71" i="83"/>
  <c r="F51" i="83"/>
  <c r="M7" i="83"/>
  <c r="F50" i="83"/>
  <c r="P61" i="83"/>
  <c r="Q71" i="82"/>
  <c r="F51" i="82"/>
  <c r="P61" i="82"/>
  <c r="D70" i="39"/>
  <c r="E70" i="39" s="1"/>
  <c r="F70" i="39" s="1"/>
  <c r="G70" i="39" s="1"/>
  <c r="H70" i="39" s="1"/>
  <c r="I70" i="39" s="1"/>
  <c r="J70" i="39" s="1"/>
  <c r="K70" i="39" s="1"/>
  <c r="L70" i="39" s="1"/>
  <c r="M70" i="39" s="1"/>
  <c r="N70" i="39" s="1"/>
  <c r="O70" i="39" s="1"/>
  <c r="F37" i="83"/>
  <c r="M28" i="82"/>
  <c r="M6" i="83"/>
  <c r="M9" i="82"/>
  <c r="F16" i="82"/>
  <c r="F36" i="82"/>
  <c r="F36" i="83"/>
  <c r="M27" i="83"/>
  <c r="F6" i="83"/>
  <c r="M23" i="82"/>
  <c r="F37" i="82"/>
  <c r="M6" i="82"/>
  <c r="M29" i="82"/>
  <c r="M26" i="83"/>
  <c r="M27" i="82"/>
  <c r="F43" i="83"/>
  <c r="F40" i="83"/>
  <c r="F40" i="82"/>
  <c r="F7" i="82"/>
  <c r="J15" i="82"/>
  <c r="F26" i="83"/>
  <c r="F13" i="82"/>
  <c r="M22" i="82"/>
  <c r="M8" i="82"/>
  <c r="M9" i="83"/>
  <c r="F13" i="83"/>
  <c r="F9" i="82"/>
  <c r="F26" i="82"/>
  <c r="F42" i="82"/>
  <c r="M23" i="83"/>
  <c r="J15" i="83"/>
  <c r="M26" i="82"/>
  <c r="M8" i="83"/>
  <c r="F38" i="83"/>
  <c r="F43" i="82"/>
  <c r="F6" i="82"/>
  <c r="F38" i="82"/>
  <c r="F16" i="83"/>
  <c r="M29" i="83"/>
  <c r="F42" i="83"/>
  <c r="J6" i="83" l="1"/>
  <c r="C6" i="83"/>
  <c r="F71" i="83"/>
  <c r="F66" i="83"/>
  <c r="F64" i="83"/>
  <c r="C27" i="83"/>
  <c r="F65" i="83"/>
  <c r="F68" i="83"/>
  <c r="C49" i="83"/>
  <c r="F64" i="82"/>
  <c r="C27" i="82"/>
  <c r="F71" i="82"/>
  <c r="C6" i="82"/>
  <c r="F66" i="82"/>
  <c r="F65" i="82"/>
  <c r="M7" i="82"/>
  <c r="J6" i="82" s="1"/>
  <c r="F50" i="82"/>
  <c r="C49" i="82" s="1"/>
  <c r="F68" i="82"/>
  <c r="I46" i="39"/>
  <c r="G46" i="39"/>
  <c r="E46" i="39"/>
  <c r="I38" i="39"/>
  <c r="G38" i="39"/>
  <c r="E38" i="39"/>
  <c r="G11" i="39"/>
  <c r="I7" i="39"/>
  <c r="G7" i="39"/>
  <c r="E7" i="39"/>
  <c r="I5" i="39"/>
  <c r="G5" i="39"/>
  <c r="E5" i="39"/>
  <c r="C17" i="82"/>
  <c r="C17" i="83"/>
  <c r="C33" i="83" l="1"/>
  <c r="C32" i="83"/>
  <c r="C61" i="83"/>
  <c r="J19" i="83"/>
  <c r="J18" i="83"/>
  <c r="C33" i="82"/>
  <c r="C32" i="82"/>
  <c r="J18" i="82"/>
  <c r="J19" i="82"/>
  <c r="C61" i="82"/>
  <c r="G25" i="80"/>
  <c r="G26" i="80"/>
  <c r="G27" i="80"/>
  <c r="G24" i="80"/>
  <c r="H49" i="80" l="1"/>
  <c r="H51" i="80" s="1"/>
  <c r="D42" i="80"/>
  <c r="E42" i="80" s="1"/>
  <c r="D3" i="4" l="1"/>
  <c r="Y6" i="1" l="1"/>
  <c r="B21" i="1"/>
  <c r="E31" i="80"/>
  <c r="G31" i="80" s="1"/>
  <c r="D29" i="80"/>
  <c r="F28" i="80"/>
  <c r="F29" i="80" s="1"/>
  <c r="E28" i="80"/>
  <c r="C28" i="80"/>
  <c r="H38" i="6" s="1"/>
  <c r="H36" i="6" s="1"/>
  <c r="C27" i="80"/>
  <c r="C26" i="80"/>
  <c r="C25" i="80"/>
  <c r="C24" i="80"/>
  <c r="E18" i="80"/>
  <c r="H18" i="80" s="1"/>
  <c r="E12" i="80"/>
  <c r="G19" i="80" s="1"/>
  <c r="G38" i="6" l="1"/>
  <c r="G36" i="6" s="1"/>
  <c r="D40" i="43"/>
  <c r="C39" i="80"/>
  <c r="E39" i="80" s="1"/>
  <c r="C38" i="80"/>
  <c r="E38" i="80" s="1"/>
  <c r="E37" i="80" s="1"/>
  <c r="C29" i="80"/>
  <c r="G29" i="80" s="1"/>
  <c r="G14" i="73"/>
  <c r="F14" i="73"/>
  <c r="E14" i="73"/>
  <c r="G15" i="73"/>
  <c r="F15" i="73"/>
  <c r="E15" i="73"/>
  <c r="C37" i="80" l="1"/>
  <c r="C40" i="80"/>
  <c r="E40" i="80" s="1"/>
  <c r="C43" i="80"/>
  <c r="C41" i="80"/>
  <c r="E41" i="80" s="1"/>
  <c r="D37" i="80"/>
  <c r="AB28" i="79"/>
  <c r="AA28" i="79"/>
  <c r="Z28" i="79"/>
  <c r="N28" i="79"/>
  <c r="M28" i="79"/>
  <c r="P28" i="79" s="1"/>
  <c r="L28" i="79"/>
  <c r="I28" i="79"/>
  <c r="AD28" i="79" s="1"/>
  <c r="AC5" i="79"/>
  <c r="AB5" i="79"/>
  <c r="AA5" i="79"/>
  <c r="AD5" i="79" s="1"/>
  <c r="Z5" i="79"/>
  <c r="Y5" i="79"/>
  <c r="O5" i="79"/>
  <c r="N5" i="79"/>
  <c r="M5" i="79"/>
  <c r="P5" i="79" s="1"/>
  <c r="L5" i="79"/>
  <c r="K5" i="79"/>
  <c r="I5" i="79"/>
  <c r="E43" i="80" l="1"/>
  <c r="D43" i="80" s="1"/>
  <c r="I8" i="79"/>
  <c r="G43" i="80" l="1"/>
  <c r="I31" i="79"/>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L47" i="83"/>
  <c r="L47" i="82"/>
  <c r="M59" i="83" l="1"/>
  <c r="L59" i="83"/>
  <c r="N59" i="83"/>
  <c r="M59" i="82"/>
  <c r="L59" i="82"/>
  <c r="N59" i="82"/>
  <c r="I2" i="43"/>
  <c r="M1" i="43" s="1"/>
  <c r="Q61" i="83" l="1"/>
  <c r="Q74" i="83"/>
  <c r="Q61" i="82"/>
  <c r="Q74" i="82"/>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F66" i="71" s="1"/>
  <c r="V68" i="71"/>
  <c r="E68" i="71"/>
  <c r="P68" i="71" s="1"/>
  <c r="C68" i="71"/>
  <c r="B68" i="7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C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X39" i="71"/>
  <c r="Q38" i="71"/>
  <c r="P38" i="71"/>
  <c r="O38" i="71"/>
  <c r="Y38" i="71" s="1"/>
  <c r="Z38" i="71" s="1"/>
  <c r="N38" i="71"/>
  <c r="F38" i="71"/>
  <c r="F39" i="71" s="1"/>
  <c r="Q37" i="71"/>
  <c r="P37" i="71"/>
  <c r="O37" i="71"/>
  <c r="N37" i="71"/>
  <c r="B38" i="71" s="1"/>
  <c r="D37" i="71"/>
  <c r="Q36" i="71"/>
  <c r="P36" i="71"/>
  <c r="O36" i="71"/>
  <c r="N36" i="71"/>
  <c r="Q35" i="71"/>
  <c r="AB35" i="71"/>
  <c r="P35" i="71"/>
  <c r="O35" i="71"/>
  <c r="N35" i="71"/>
  <c r="Q34" i="71"/>
  <c r="P34" i="71"/>
  <c r="O34" i="71"/>
  <c r="N34" i="71"/>
  <c r="Q33" i="71"/>
  <c r="P33" i="71"/>
  <c r="O33" i="71"/>
  <c r="N33" i="71"/>
  <c r="B34" i="71" s="1"/>
  <c r="B35" i="71" s="1"/>
  <c r="D33" i="71"/>
  <c r="Q32" i="71"/>
  <c r="P32" i="71"/>
  <c r="O32" i="71"/>
  <c r="N32" i="71"/>
  <c r="Q31" i="71"/>
  <c r="P31" i="71"/>
  <c r="O31" i="71"/>
  <c r="N31" i="71"/>
  <c r="Q30" i="71"/>
  <c r="P30" i="71"/>
  <c r="O30" i="71"/>
  <c r="N30" i="71"/>
  <c r="Q29" i="71"/>
  <c r="AB28" i="71" s="1"/>
  <c r="P29" i="71"/>
  <c r="O29" i="71"/>
  <c r="N29" i="71"/>
  <c r="D29" i="71"/>
  <c r="O28" i="71"/>
  <c r="N28" i="71"/>
  <c r="B30" i="71"/>
  <c r="B31" i="71"/>
  <c r="B32" i="71" s="1"/>
  <c r="S32" i="71" s="1"/>
  <c r="E30" i="71"/>
  <c r="E31" i="71" s="1"/>
  <c r="E32" i="71" s="1"/>
  <c r="U32" i="71" s="1"/>
  <c r="B36" i="71"/>
  <c r="S36" i="71" s="1"/>
  <c r="B39" i="71"/>
  <c r="B40" i="71" s="1"/>
  <c r="S40" i="71" s="1"/>
  <c r="E34" i="71"/>
  <c r="C30" i="71"/>
  <c r="C34" i="71"/>
  <c r="D34" i="71" s="1"/>
  <c r="C38" i="71"/>
  <c r="AA38" i="71"/>
  <c r="Y27" i="71"/>
  <c r="Z27" i="71" s="1"/>
  <c r="B28" i="71"/>
  <c r="C31" i="71"/>
  <c r="C32" i="71" s="1"/>
  <c r="T32" i="71" s="1"/>
  <c r="D30" i="71"/>
  <c r="D50" i="71"/>
  <c r="P28" i="71"/>
  <c r="U68" i="71"/>
  <c r="E67" i="71"/>
  <c r="E66" i="71" s="1"/>
  <c r="Q28" i="71"/>
  <c r="C55" i="71"/>
  <c r="C56" i="71" s="1"/>
  <c r="D54" i="71"/>
  <c r="C63" i="71"/>
  <c r="C64" i="71" s="1"/>
  <c r="D62" i="71"/>
  <c r="Q67" i="71"/>
  <c r="T68" i="71"/>
  <c r="O68" i="71"/>
  <c r="D68" i="71"/>
  <c r="C67" i="71"/>
  <c r="Q68" i="71"/>
  <c r="E71" i="71"/>
  <c r="E70" i="71"/>
  <c r="D72" i="71"/>
  <c r="C75" i="71"/>
  <c r="D76" i="71"/>
  <c r="D80" i="71"/>
  <c r="F28" i="71"/>
  <c r="F27" i="71"/>
  <c r="F26" i="71" s="1"/>
  <c r="D75" i="71"/>
  <c r="C74" i="71"/>
  <c r="D74" i="71" s="1"/>
  <c r="D55" i="71"/>
  <c r="P67" i="71"/>
  <c r="D3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1" i="34"/>
  <c r="H25" i="40"/>
  <c r="AB25" i="40" s="1"/>
  <c r="J25" i="40"/>
  <c r="H29" i="39"/>
  <c r="AB29" i="39" s="1"/>
  <c r="J29" i="39"/>
  <c r="AC29" i="39" s="1"/>
  <c r="J18" i="36"/>
  <c r="AC18" i="36" s="1"/>
  <c r="H18" i="35"/>
  <c r="AB18" i="35" s="1"/>
  <c r="J18" i="35"/>
  <c r="W18" i="35" s="1"/>
  <c r="H21" i="37"/>
  <c r="F21" i="37"/>
  <c r="AA21" i="37" s="1"/>
  <c r="H21" i="34"/>
  <c r="AB21" i="34" s="1"/>
  <c r="H21" i="33"/>
  <c r="U21" i="33" s="1"/>
  <c r="F21" i="33"/>
  <c r="E83" i="21"/>
  <c r="F83" i="21" s="1"/>
  <c r="H1" i="69"/>
  <c r="AC25" i="40"/>
  <c r="W25" i="40"/>
  <c r="U25" i="40"/>
  <c r="W18" i="36"/>
  <c r="AB21" i="37"/>
  <c r="U21" i="37"/>
  <c r="S21" i="37"/>
  <c r="U21" i="34"/>
  <c r="AB21" i="33"/>
  <c r="AA21" i="33"/>
  <c r="S21" i="33"/>
  <c r="AC18" i="35"/>
  <c r="J21" i="37"/>
  <c r="J21" i="34"/>
  <c r="W21" i="34" s="1"/>
  <c r="J21" i="33"/>
  <c r="W21" i="33" s="1"/>
  <c r="H21" i="21"/>
  <c r="U21" i="21" s="1"/>
  <c r="F38" i="69"/>
  <c r="E37" i="69"/>
  <c r="F36" i="69"/>
  <c r="F35" i="69"/>
  <c r="F21" i="69"/>
  <c r="F40" i="69" s="1"/>
  <c r="F20" i="69"/>
  <c r="F39" i="69" s="1"/>
  <c r="E10" i="69"/>
  <c r="E9" i="69"/>
  <c r="C7" i="69"/>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K1" i="12"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A14" i="3" s="1"/>
  <c r="BC14" i="3"/>
  <c r="BD14" i="3"/>
  <c r="BE14" i="3"/>
  <c r="BF14" i="3"/>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s="1"/>
  <c r="H15" i="3"/>
  <c r="AC15" i="3"/>
  <c r="H16" i="3"/>
  <c r="AC16" i="3"/>
  <c r="H17" i="3"/>
  <c r="AC17" i="3"/>
  <c r="AT5" i="3"/>
  <c r="I5" i="3"/>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H5" i="3" s="1"/>
  <c r="BI493" i="3"/>
  <c r="BJ493" i="3"/>
  <c r="BK493" i="3"/>
  <c r="BM493" i="3"/>
  <c r="BN493" i="3"/>
  <c r="BO493" i="3"/>
  <c r="BP493" i="3"/>
  <c r="BR493" i="3"/>
  <c r="BR5" i="3" s="1"/>
  <c r="BS493" i="3"/>
  <c r="BT493" i="3"/>
  <c r="H494" i="3"/>
  <c r="AC494" i="3"/>
  <c r="G494" i="3" s="1"/>
  <c r="BB494" i="3"/>
  <c r="BC494" i="3"/>
  <c r="BD494" i="3"/>
  <c r="BE494" i="3"/>
  <c r="BF494" i="3"/>
  <c r="BG494" i="3"/>
  <c r="BH494" i="3"/>
  <c r="BI494" i="3"/>
  <c r="BI5" i="3" s="1"/>
  <c r="BJ494" i="3"/>
  <c r="BK494" i="3"/>
  <c r="BM494" i="3"/>
  <c r="BN494" i="3"/>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S5" i="3" s="1"/>
  <c r="BT495" i="3"/>
  <c r="H496" i="3"/>
  <c r="AC496" i="3"/>
  <c r="BB496" i="3"/>
  <c r="BB5" i="3" s="1"/>
  <c r="BC496" i="3"/>
  <c r="BD496" i="3"/>
  <c r="BE496" i="3"/>
  <c r="BF496" i="3"/>
  <c r="BF5" i="3" s="1"/>
  <c r="BG496" i="3"/>
  <c r="BH496" i="3"/>
  <c r="BI496" i="3"/>
  <c r="BJ496" i="3"/>
  <c r="BJ5" i="3" s="1"/>
  <c r="BK496" i="3"/>
  <c r="BM496" i="3"/>
  <c r="BN496" i="3"/>
  <c r="BO496" i="3"/>
  <c r="BO5" i="3" s="1"/>
  <c r="BP496" i="3"/>
  <c r="BQ496" i="3"/>
  <c r="BR496" i="3"/>
  <c r="BS496" i="3"/>
  <c r="BT496" i="3"/>
  <c r="H497" i="3"/>
  <c r="AC497" i="3"/>
  <c r="BB497" i="3"/>
  <c r="BA497" i="3" s="1"/>
  <c r="AZ497" i="3" s="1"/>
  <c r="BC497" i="3"/>
  <c r="BD497" i="3"/>
  <c r="BE497" i="3"/>
  <c r="BF497" i="3"/>
  <c r="BG497" i="3"/>
  <c r="BH497" i="3"/>
  <c r="BI497" i="3"/>
  <c r="BJ497" i="3"/>
  <c r="BK497" i="3"/>
  <c r="BM497" i="3"/>
  <c r="BN497" i="3"/>
  <c r="BO497" i="3"/>
  <c r="BL497" i="3" s="1"/>
  <c r="BP497" i="3"/>
  <c r="BR497" i="3"/>
  <c r="BS497" i="3"/>
  <c r="BT497" i="3"/>
  <c r="H498" i="3"/>
  <c r="AC498" i="3"/>
  <c r="BB498" i="3"/>
  <c r="BC498" i="3"/>
  <c r="BC5" i="3" s="1"/>
  <c r="BD498" i="3"/>
  <c r="BE498" i="3"/>
  <c r="BF498" i="3"/>
  <c r="BG498" i="3"/>
  <c r="BG5" i="3" s="1"/>
  <c r="BH498" i="3"/>
  <c r="BI498" i="3"/>
  <c r="BJ498" i="3"/>
  <c r="BK498" i="3"/>
  <c r="BK5" i="3" s="1"/>
  <c r="BM498" i="3"/>
  <c r="BN498" i="3"/>
  <c r="BO498" i="3"/>
  <c r="BP498" i="3"/>
  <c r="BP5" i="3" s="1"/>
  <c r="BQ498" i="3"/>
  <c r="BR498" i="3"/>
  <c r="BS498" i="3"/>
  <c r="BT498" i="3"/>
  <c r="H499" i="3"/>
  <c r="AC499" i="3"/>
  <c r="BB499" i="3"/>
  <c r="BC499" i="3"/>
  <c r="BA499" i="3" s="1"/>
  <c r="BD499" i="3"/>
  <c r="BE499" i="3"/>
  <c r="BF499" i="3"/>
  <c r="BG499" i="3"/>
  <c r="BH499" i="3"/>
  <c r="BI499" i="3"/>
  <c r="BJ499" i="3"/>
  <c r="BK499" i="3"/>
  <c r="BM499" i="3"/>
  <c r="BN499" i="3"/>
  <c r="BO499" i="3"/>
  <c r="BP499" i="3"/>
  <c r="BL499" i="3" s="1"/>
  <c r="BR499" i="3"/>
  <c r="BS499" i="3"/>
  <c r="BT499" i="3"/>
  <c r="H500" i="3"/>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L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AZ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AZ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AZ522" i="3" s="1"/>
  <c r="BF522" i="3"/>
  <c r="BG522" i="3"/>
  <c r="BH522" i="3"/>
  <c r="BI522" i="3"/>
  <c r="BJ522" i="3"/>
  <c r="BK522" i="3"/>
  <c r="BM522" i="3"/>
  <c r="BN522" i="3"/>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AZ536" i="3" s="1"/>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G542" i="3" s="1"/>
  <c r="AC542" i="3"/>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A552" i="3" s="1"/>
  <c r="AZ552"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BO555" i="3"/>
  <c r="BP555" i="3"/>
  <c r="BR555" i="3"/>
  <c r="BS555" i="3"/>
  <c r="BT555" i="3"/>
  <c r="H556" i="3"/>
  <c r="AC556" i="3"/>
  <c r="G556" i="3"/>
  <c r="BB556" i="3"/>
  <c r="BC556" i="3"/>
  <c r="BD556" i="3"/>
  <c r="BE556" i="3"/>
  <c r="BA556" i="3" s="1"/>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L558" i="3" s="1"/>
  <c r="BQ558" i="3"/>
  <c r="BR558" i="3"/>
  <c r="BS558" i="3"/>
  <c r="BT558" i="3"/>
  <c r="H559" i="3"/>
  <c r="AC559" i="3"/>
  <c r="G559" i="3" s="1"/>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L560" i="3" s="1"/>
  <c r="AZ560" i="3" s="1"/>
  <c r="BN560" i="3"/>
  <c r="BO560" i="3"/>
  <c r="BP560" i="3"/>
  <c r="BQ560" i="3"/>
  <c r="BR560" i="3"/>
  <c r="BS560" i="3"/>
  <c r="BT560" i="3"/>
  <c r="H561" i="3"/>
  <c r="G561" i="3" s="1"/>
  <c r="AC561" i="3"/>
  <c r="BB561" i="3"/>
  <c r="BC561" i="3"/>
  <c r="BD561" i="3"/>
  <c r="BA561" i="3" s="1"/>
  <c r="BE561" i="3"/>
  <c r="BF561" i="3"/>
  <c r="BG561" i="3"/>
  <c r="BH561" i="3"/>
  <c r="BI561" i="3"/>
  <c r="BJ561" i="3"/>
  <c r="BK561" i="3"/>
  <c r="BM561" i="3"/>
  <c r="BL561" i="3" s="1"/>
  <c r="AZ561" i="3" s="1"/>
  <c r="BN561" i="3"/>
  <c r="BO561" i="3"/>
  <c r="BP561" i="3"/>
  <c r="BR561" i="3"/>
  <c r="BS561" i="3"/>
  <c r="BT561" i="3"/>
  <c r="H562" i="3"/>
  <c r="AC562" i="3"/>
  <c r="BB562" i="3"/>
  <c r="BC562" i="3"/>
  <c r="BD562" i="3"/>
  <c r="BE562" i="3"/>
  <c r="BA562" i="3" s="1"/>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c r="J8" i="40"/>
  <c r="AC8" i="40" s="1"/>
  <c r="H8" i="40"/>
  <c r="AB8" i="40" s="1"/>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H35" i="39"/>
  <c r="AB35" i="39" s="1"/>
  <c r="B103" i="39"/>
  <c r="D96" i="39"/>
  <c r="J23" i="39"/>
  <c r="AC23" i="39" s="1"/>
  <c r="D94" i="39"/>
  <c r="E94" i="39" s="1"/>
  <c r="F94" i="39" s="1"/>
  <c r="G94" i="39" s="1"/>
  <c r="D92" i="39"/>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B99" i="35"/>
  <c r="J35" i="35" s="1"/>
  <c r="AC35" i="35" s="1"/>
  <c r="B97" i="35"/>
  <c r="B77" i="35"/>
  <c r="H25" i="35" s="1"/>
  <c r="B75" i="35"/>
  <c r="J24" i="35" s="1"/>
  <c r="AC24" i="35"/>
  <c r="B73" i="35"/>
  <c r="J23" i="35" s="1"/>
  <c r="AC23" i="35" s="1"/>
  <c r="H23" i="35"/>
  <c r="U23" i="35" s="1"/>
  <c r="B57" i="35"/>
  <c r="B61" i="35"/>
  <c r="B59" i="35"/>
  <c r="F12" i="35" s="1"/>
  <c r="B131" i="34"/>
  <c r="B129" i="34"/>
  <c r="B127" i="34"/>
  <c r="H45" i="34" s="1"/>
  <c r="U45" i="34" s="1"/>
  <c r="B99" i="34"/>
  <c r="B97" i="34"/>
  <c r="F31" i="34" s="1"/>
  <c r="B95" i="34"/>
  <c r="B93" i="34"/>
  <c r="B75" i="34"/>
  <c r="B73" i="34"/>
  <c r="B71" i="34"/>
  <c r="J12" i="34" s="1"/>
  <c r="W12" i="34" s="1"/>
  <c r="B130" i="33"/>
  <c r="B128" i="33"/>
  <c r="B126" i="33"/>
  <c r="H44" i="33" s="1"/>
  <c r="B98" i="33"/>
  <c r="B96" i="33"/>
  <c r="B94" i="33"/>
  <c r="B74" i="33"/>
  <c r="H14" i="33" s="1"/>
  <c r="U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65" i="43" s="1"/>
  <c r="C21" i="20"/>
  <c r="B99" i="43" s="1"/>
  <c r="C20" i="20"/>
  <c r="B101" i="43" s="1"/>
  <c r="B79" i="43"/>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B92" i="21"/>
  <c r="B90" i="21"/>
  <c r="J27" i="21" s="1"/>
  <c r="W27" i="21" s="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5" i="39"/>
  <c r="S45" i="39" s="1"/>
  <c r="J45" i="39"/>
  <c r="W45" i="39" s="1"/>
  <c r="J44" i="39"/>
  <c r="AC44" i="39"/>
  <c r="F36" i="39"/>
  <c r="S36" i="39" s="1"/>
  <c r="H36" i="39"/>
  <c r="J35" i="39"/>
  <c r="AC35" i="39" s="1"/>
  <c r="F35" i="39"/>
  <c r="AA35" i="39"/>
  <c r="J36" i="39"/>
  <c r="AC36" i="39" s="1"/>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U34" i="34"/>
  <c r="H39" i="33"/>
  <c r="AB39" i="33" s="1"/>
  <c r="F26" i="33"/>
  <c r="AA26" i="33" s="1"/>
  <c r="U33" i="33"/>
  <c r="S40" i="33"/>
  <c r="F11" i="40"/>
  <c r="AA11" i="40" s="1"/>
  <c r="H11" i="40"/>
  <c r="AB11" i="40" s="1"/>
  <c r="W8" i="40"/>
  <c r="AA9" i="40"/>
  <c r="S34" i="40"/>
  <c r="U38" i="40"/>
  <c r="W31" i="40"/>
  <c r="U34" i="40"/>
  <c r="S38" i="40"/>
  <c r="F42" i="39"/>
  <c r="AA42" i="39" s="1"/>
  <c r="H40" i="39"/>
  <c r="AB40" i="39" s="1"/>
  <c r="H39" i="39"/>
  <c r="U39" i="39" s="1"/>
  <c r="H34" i="39"/>
  <c r="U34" i="39" s="1"/>
  <c r="E108" i="39"/>
  <c r="F31" i="39"/>
  <c r="AA31"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7" i="39"/>
  <c r="F27" i="39"/>
  <c r="S27" i="39" s="1"/>
  <c r="F11" i="21"/>
  <c r="S11" i="21" s="1"/>
  <c r="U34" i="21"/>
  <c r="C25" i="39"/>
  <c r="H32" i="33"/>
  <c r="AB32" i="33" s="1"/>
  <c r="H11" i="21"/>
  <c r="U11" i="21" s="1"/>
  <c r="J11" i="21"/>
  <c r="W11" i="21" s="1"/>
  <c r="H37" i="40"/>
  <c r="U37" i="40" s="1"/>
  <c r="H36" i="40"/>
  <c r="AB36" i="40" s="1"/>
  <c r="F35" i="40"/>
  <c r="AA35" i="40"/>
  <c r="H23" i="40"/>
  <c r="AB23" i="40" s="1"/>
  <c r="H17" i="40"/>
  <c r="U17" i="40" s="1"/>
  <c r="J15" i="40"/>
  <c r="W15" i="40" s="1"/>
  <c r="J11" i="40"/>
  <c r="W11" i="40"/>
  <c r="AC12" i="34"/>
  <c r="AB12" i="35"/>
  <c r="W32" i="40"/>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c r="H101" i="37" s="1"/>
  <c r="I101" i="37" s="1"/>
  <c r="J101" i="37" s="1"/>
  <c r="K101" i="37" s="1"/>
  <c r="L101" i="37" s="1"/>
  <c r="M101" i="37" s="1"/>
  <c r="J34" i="37"/>
  <c r="W34" i="37" s="1"/>
  <c r="AB34" i="37"/>
  <c r="J33" i="37"/>
  <c r="AC33" i="37" s="1"/>
  <c r="U42" i="34"/>
  <c r="H40" i="34"/>
  <c r="U40" i="34"/>
  <c r="E114" i="34"/>
  <c r="H36" i="34"/>
  <c r="U36" i="34" s="1"/>
  <c r="F37" i="34"/>
  <c r="AA37" i="34" s="1"/>
  <c r="S35" i="34"/>
  <c r="F25" i="34"/>
  <c r="S25" i="34" s="1"/>
  <c r="H23" i="34"/>
  <c r="U23" i="34"/>
  <c r="J23" i="34"/>
  <c r="F19" i="34"/>
  <c r="H17" i="34"/>
  <c r="U17" i="34"/>
  <c r="F15" i="34"/>
  <c r="AA15" i="34" s="1"/>
  <c r="J15" i="34"/>
  <c r="H15" i="34"/>
  <c r="AB15" i="34" s="1"/>
  <c r="W8" i="34"/>
  <c r="F41" i="33"/>
  <c r="AA41" i="33"/>
  <c r="F32" i="33"/>
  <c r="AA32" i="33"/>
  <c r="J19" i="33"/>
  <c r="AC19" i="33"/>
  <c r="J15" i="33"/>
  <c r="AC15" i="33"/>
  <c r="F11" i="33"/>
  <c r="AA11" i="33" s="1"/>
  <c r="S26" i="33"/>
  <c r="U40" i="33"/>
  <c r="W40" i="33"/>
  <c r="F37" i="40"/>
  <c r="AA37" i="40"/>
  <c r="F36" i="40"/>
  <c r="AA36" i="40"/>
  <c r="H28" i="40"/>
  <c r="U28" i="40"/>
  <c r="F23" i="40"/>
  <c r="AA23" i="40"/>
  <c r="F17" i="40"/>
  <c r="AA17" i="40" s="1"/>
  <c r="J17" i="40"/>
  <c r="W17" i="40" s="1"/>
  <c r="F15" i="40"/>
  <c r="S15" i="40" s="1"/>
  <c r="H15" i="40"/>
  <c r="AB15" i="40"/>
  <c r="AC11" i="40"/>
  <c r="AB30" i="36"/>
  <c r="F29" i="35"/>
  <c r="S29" i="35" s="1"/>
  <c r="H29" i="35"/>
  <c r="AB29" i="35" s="1"/>
  <c r="H33" i="37"/>
  <c r="F33" i="37"/>
  <c r="AA33" i="37" s="1"/>
  <c r="S34" i="37"/>
  <c r="AA34" i="37"/>
  <c r="J43" i="34"/>
  <c r="AB42" i="34"/>
  <c r="J40" i="34"/>
  <c r="AC40" i="34" s="1"/>
  <c r="F114" i="34"/>
  <c r="G114" i="34" s="1"/>
  <c r="H114" i="34" s="1"/>
  <c r="I114" i="34" s="1"/>
  <c r="J114" i="34" s="1"/>
  <c r="K114" i="34" s="1"/>
  <c r="L114" i="34" s="1"/>
  <c r="M114" i="34" s="1"/>
  <c r="H38" i="34"/>
  <c r="AB38" i="34" s="1"/>
  <c r="J36" i="34"/>
  <c r="W36" i="34"/>
  <c r="H37" i="34"/>
  <c r="U37" i="34" s="1"/>
  <c r="H25" i="34"/>
  <c r="AB25" i="34" s="1"/>
  <c r="J25" i="34"/>
  <c r="AC25" i="34"/>
  <c r="AB23" i="34"/>
  <c r="F23" i="34"/>
  <c r="AA23" i="34" s="1"/>
  <c r="J19" i="34"/>
  <c r="AC19" i="34" s="1"/>
  <c r="F17" i="34"/>
  <c r="AA17" i="34"/>
  <c r="J17" i="34"/>
  <c r="W17" i="34" s="1"/>
  <c r="AB17" i="34"/>
  <c r="S41" i="33"/>
  <c r="H37" i="33"/>
  <c r="AB37" i="33" s="1"/>
  <c r="H15" i="33"/>
  <c r="AB15" i="33" s="1"/>
  <c r="H11" i="33"/>
  <c r="AB11" i="33" s="1"/>
  <c r="F28" i="40"/>
  <c r="AA28" i="40" s="1"/>
  <c r="AA29" i="35"/>
  <c r="AA42" i="34"/>
  <c r="S42" i="34"/>
  <c r="AA38" i="34"/>
  <c r="J37" i="34"/>
  <c r="AC37" i="34" s="1"/>
  <c r="J11" i="33"/>
  <c r="W11" i="33" s="1"/>
  <c r="J42" i="21"/>
  <c r="AC42" i="21" s="1"/>
  <c r="H42" i="21"/>
  <c r="U42" i="21" s="1"/>
  <c r="J44" i="34"/>
  <c r="AC44" i="34" s="1"/>
  <c r="F44" i="34"/>
  <c r="AA44" i="34"/>
  <c r="J10" i="35"/>
  <c r="AC10" i="35" s="1"/>
  <c r="J14" i="21"/>
  <c r="W14" i="21" s="1"/>
  <c r="F14" i="21"/>
  <c r="S14" i="21" s="1"/>
  <c r="H14" i="21"/>
  <c r="U14" i="21"/>
  <c r="H28" i="21"/>
  <c r="AB28" i="21" s="1"/>
  <c r="F28" i="21"/>
  <c r="AA28" i="21" s="1"/>
  <c r="J28" i="21"/>
  <c r="H30" i="21"/>
  <c r="U30" i="21"/>
  <c r="F30" i="21"/>
  <c r="S30" i="21" s="1"/>
  <c r="J30" i="21"/>
  <c r="AC30" i="21" s="1"/>
  <c r="J44" i="21"/>
  <c r="AC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H27" i="21"/>
  <c r="AB27" i="21" s="1"/>
  <c r="J31" i="21"/>
  <c r="AC31" i="21" s="1"/>
  <c r="F31" i="21"/>
  <c r="S31"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F11" i="35"/>
  <c r="S11" i="35" s="1"/>
  <c r="J26" i="36"/>
  <c r="W26" i="36"/>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c r="J40" i="37"/>
  <c r="F40" i="37"/>
  <c r="AA40" i="37" s="1"/>
  <c r="F14" i="33"/>
  <c r="S14" i="33" s="1"/>
  <c r="J14" i="33"/>
  <c r="J30" i="33"/>
  <c r="W30" i="33" s="1"/>
  <c r="J44" i="33"/>
  <c r="AC44" i="33" s="1"/>
  <c r="F44" i="33"/>
  <c r="S44" i="33" s="1"/>
  <c r="H46" i="33"/>
  <c r="H13" i="34"/>
  <c r="U13" i="34" s="1"/>
  <c r="J29" i="34"/>
  <c r="J31" i="34"/>
  <c r="H31" i="34"/>
  <c r="S31" i="34"/>
  <c r="J45" i="34"/>
  <c r="W45" i="34" s="1"/>
  <c r="F45" i="34"/>
  <c r="S45" i="34" s="1"/>
  <c r="J47" i="34"/>
  <c r="AC47" i="34" s="1"/>
  <c r="F13" i="35"/>
  <c r="J25" i="35"/>
  <c r="W25" i="35" s="1"/>
  <c r="F25" i="35"/>
  <c r="S25" i="35" s="1"/>
  <c r="AB25" i="35"/>
  <c r="F35" i="35"/>
  <c r="AA35" i="35" s="1"/>
  <c r="H35" i="35"/>
  <c r="J25" i="36"/>
  <c r="W25" i="36"/>
  <c r="F25" i="36"/>
  <c r="S25" i="36" s="1"/>
  <c r="H25" i="36"/>
  <c r="AB25" i="36" s="1"/>
  <c r="H13" i="37"/>
  <c r="AB13" i="37" s="1"/>
  <c r="F13" i="37"/>
  <c r="S13" i="37"/>
  <c r="J13" i="37"/>
  <c r="W13" i="37" s="1"/>
  <c r="F28" i="37"/>
  <c r="AA28" i="37" s="1"/>
  <c r="H38" i="37"/>
  <c r="AB38" i="37" s="1"/>
  <c r="J38" i="37"/>
  <c r="AC38" i="37" s="1"/>
  <c r="F38" i="37"/>
  <c r="S38" i="37"/>
  <c r="H43" i="39"/>
  <c r="J14" i="39"/>
  <c r="AC14" i="39" s="1"/>
  <c r="F14" i="39"/>
  <c r="H14" i="39"/>
  <c r="AB14" i="39"/>
  <c r="H30" i="40"/>
  <c r="AB30" i="40"/>
  <c r="J35" i="40"/>
  <c r="AC35" i="40"/>
  <c r="J37" i="40"/>
  <c r="AC37" i="40"/>
  <c r="H13" i="40"/>
  <c r="U13" i="40"/>
  <c r="J13" i="40"/>
  <c r="W13" i="40"/>
  <c r="F13" i="40"/>
  <c r="AA13" i="40"/>
  <c r="F14" i="37"/>
  <c r="S14" i="37"/>
  <c r="F27" i="37"/>
  <c r="AA27" i="37"/>
  <c r="J13" i="39"/>
  <c r="W13" i="39" s="1"/>
  <c r="H14" i="40"/>
  <c r="AB14" i="40" s="1"/>
  <c r="J14" i="40"/>
  <c r="W14" i="40" s="1"/>
  <c r="F14" i="40"/>
  <c r="AA14" i="40"/>
  <c r="J14" i="37"/>
  <c r="J27" i="37"/>
  <c r="AC27" i="37" s="1"/>
  <c r="AA14" i="33"/>
  <c r="J36" i="37"/>
  <c r="AC36" i="37"/>
  <c r="J10" i="36"/>
  <c r="AC10" i="36" s="1"/>
  <c r="AB26" i="33"/>
  <c r="AB30" i="21"/>
  <c r="AA14" i="37"/>
  <c r="AB46" i="34"/>
  <c r="AA14" i="34"/>
  <c r="AB45" i="33"/>
  <c r="S44" i="34"/>
  <c r="BA585" i="3"/>
  <c r="F17" i="21"/>
  <c r="AA17" i="21" s="1"/>
  <c r="H17" i="21"/>
  <c r="AB17" i="21" s="1"/>
  <c r="F15" i="21"/>
  <c r="S15" i="21" s="1"/>
  <c r="W44" i="39"/>
  <c r="S35" i="39"/>
  <c r="G540" i="3"/>
  <c r="G535" i="3"/>
  <c r="G532" i="3"/>
  <c r="G527" i="3"/>
  <c r="G518" i="3"/>
  <c r="G510" i="3"/>
  <c r="G504" i="3"/>
  <c r="G500" i="3"/>
  <c r="G496" i="3"/>
  <c r="G580" i="3"/>
  <c r="G576" i="3"/>
  <c r="G572" i="3"/>
  <c r="G564" i="3"/>
  <c r="G550" i="3"/>
  <c r="BL584" i="3"/>
  <c r="BL580" i="3"/>
  <c r="BL576" i="3"/>
  <c r="BL568" i="3"/>
  <c r="BL542" i="3"/>
  <c r="BL522" i="3"/>
  <c r="BL494" i="3"/>
  <c r="BL582" i="3"/>
  <c r="BL578" i="3"/>
  <c r="BL570" i="3"/>
  <c r="BL566" i="3"/>
  <c r="BL540" i="3"/>
  <c r="G533" i="3"/>
  <c r="G525" i="3"/>
  <c r="BL504" i="3"/>
  <c r="BA584" i="3"/>
  <c r="AZ584" i="3" s="1"/>
  <c r="BA582" i="3"/>
  <c r="AZ582" i="3" s="1"/>
  <c r="BA578" i="3"/>
  <c r="BA576" i="3"/>
  <c r="AZ576" i="3" s="1"/>
  <c r="BA574" i="3"/>
  <c r="BA570" i="3"/>
  <c r="AZ570" i="3" s="1"/>
  <c r="BA568" i="3"/>
  <c r="BA566" i="3"/>
  <c r="BA560" i="3"/>
  <c r="BA554" i="3"/>
  <c r="BA544" i="3"/>
  <c r="BA538" i="3"/>
  <c r="BA524" i="3"/>
  <c r="BA514" i="3"/>
  <c r="BA508" i="3"/>
  <c r="BA498" i="3"/>
  <c r="BA587" i="3"/>
  <c r="BA583" i="3"/>
  <c r="BA579" i="3"/>
  <c r="BA577" i="3"/>
  <c r="BA575" i="3"/>
  <c r="BA571" i="3"/>
  <c r="BA569" i="3"/>
  <c r="BA567" i="3"/>
  <c r="BA563" i="3"/>
  <c r="BA549" i="3"/>
  <c r="BA539" i="3"/>
  <c r="BA527" i="3"/>
  <c r="BA515" i="3"/>
  <c r="BA503" i="3"/>
  <c r="G583" i="3"/>
  <c r="G581" i="3"/>
  <c r="G577" i="3"/>
  <c r="G575" i="3"/>
  <c r="G573" i="3"/>
  <c r="G569" i="3"/>
  <c r="G567" i="3"/>
  <c r="G565" i="3"/>
  <c r="AC557" i="3"/>
  <c r="G557" i="3" s="1"/>
  <c r="BQ557" i="3"/>
  <c r="BQ583" i="3"/>
  <c r="BL583" i="3" s="1"/>
  <c r="AZ583" i="3" s="1"/>
  <c r="BQ581" i="3"/>
  <c r="BQ579" i="3"/>
  <c r="BL579" i="3" s="1"/>
  <c r="BQ577" i="3"/>
  <c r="BL577" i="3" s="1"/>
  <c r="AZ577" i="3" s="1"/>
  <c r="BQ575" i="3"/>
  <c r="BL575" i="3"/>
  <c r="BQ573" i="3"/>
  <c r="BL573" i="3" s="1"/>
  <c r="BQ571" i="3"/>
  <c r="BQ569" i="3"/>
  <c r="BL569" i="3" s="1"/>
  <c r="BQ567" i="3"/>
  <c r="BL567" i="3" s="1"/>
  <c r="BQ565" i="3"/>
  <c r="BQ563" i="3"/>
  <c r="BQ561" i="3"/>
  <c r="BQ559" i="3"/>
  <c r="BL559" i="3" s="1"/>
  <c r="G549" i="3"/>
  <c r="G543" i="3"/>
  <c r="G541" i="3"/>
  <c r="G537" i="3"/>
  <c r="BQ555" i="3"/>
  <c r="BQ553" i="3"/>
  <c r="BQ551" i="3"/>
  <c r="BQ549" i="3"/>
  <c r="BQ547" i="3"/>
  <c r="BL547" i="3" s="1"/>
  <c r="BQ545" i="3"/>
  <c r="BQ543" i="3"/>
  <c r="BQ541" i="3"/>
  <c r="BQ539" i="3"/>
  <c r="BQ537" i="3"/>
  <c r="BQ535" i="3"/>
  <c r="BQ533" i="3"/>
  <c r="BL533" i="3"/>
  <c r="BQ531" i="3"/>
  <c r="BQ529" i="3"/>
  <c r="BQ527" i="3"/>
  <c r="BQ525" i="3"/>
  <c r="BQ523" i="3"/>
  <c r="AC521" i="3"/>
  <c r="G521" i="3" s="1"/>
  <c r="BQ521" i="3"/>
  <c r="G519" i="3"/>
  <c r="G513" i="3"/>
  <c r="G511" i="3"/>
  <c r="BQ519" i="3"/>
  <c r="BQ517" i="3"/>
  <c r="BQ515" i="3"/>
  <c r="BQ513" i="3"/>
  <c r="BQ511" i="3"/>
  <c r="AC509" i="3"/>
  <c r="BQ509" i="3"/>
  <c r="G507" i="3"/>
  <c r="G505" i="3"/>
  <c r="G499"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J36" i="40"/>
  <c r="W36" i="40" s="1"/>
  <c r="H19" i="37"/>
  <c r="AB19" i="37" s="1"/>
  <c r="H42" i="33"/>
  <c r="AB42" i="33" s="1"/>
  <c r="J43" i="33"/>
  <c r="AC43" i="33"/>
  <c r="S28" i="31"/>
  <c r="S27" i="31"/>
  <c r="S26" i="31"/>
  <c r="U14" i="40"/>
  <c r="W23" i="35"/>
  <c r="U26" i="37"/>
  <c r="W47" i="34"/>
  <c r="AC36" i="34"/>
  <c r="AA13" i="33"/>
  <c r="AC31"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AC15" i="37" s="1"/>
  <c r="AT6" i="3"/>
  <c r="H19" i="40"/>
  <c r="U19" i="40" s="1"/>
  <c r="F19" i="40"/>
  <c r="S19" i="40" s="1"/>
  <c r="S14" i="40"/>
  <c r="AC13" i="40"/>
  <c r="W23" i="39"/>
  <c r="U45" i="39"/>
  <c r="AB45" i="39"/>
  <c r="AB44" i="39"/>
  <c r="U44" i="39"/>
  <c r="H37" i="39"/>
  <c r="AB37" i="39"/>
  <c r="AC37" i="39"/>
  <c r="W37" i="39"/>
  <c r="H25" i="39"/>
  <c r="AB25" i="39" s="1"/>
  <c r="J25" i="39"/>
  <c r="W25" i="39" s="1"/>
  <c r="F25" i="39"/>
  <c r="AA25" i="39" s="1"/>
  <c r="F15" i="39"/>
  <c r="AA15" i="39" s="1"/>
  <c r="H15" i="39"/>
  <c r="U15" i="39" s="1"/>
  <c r="J15" i="39"/>
  <c r="W15" i="39" s="1"/>
  <c r="AB34" i="39"/>
  <c r="W8" i="39"/>
  <c r="J19" i="40"/>
  <c r="AC19" i="40" s="1"/>
  <c r="J50" i="40"/>
  <c r="H103" i="9"/>
  <c r="D8" i="53" s="1"/>
  <c r="B16" i="53"/>
  <c r="B33" i="72" s="1"/>
  <c r="C7" i="37"/>
  <c r="C7" i="36"/>
  <c r="C46" i="36" s="1"/>
  <c r="D46" i="36" s="1"/>
  <c r="E46" i="36" s="1"/>
  <c r="F46" i="36" s="1"/>
  <c r="G46" i="36" s="1"/>
  <c r="H46" i="36" s="1"/>
  <c r="I46" i="36" s="1"/>
  <c r="W35" i="40"/>
  <c r="A118" i="9"/>
  <c r="A4" i="52"/>
  <c r="B41" i="72" s="1"/>
  <c r="G4" i="4"/>
  <c r="I4" i="4"/>
  <c r="A2" i="9"/>
  <c r="F61" i="43"/>
  <c r="H64" i="43" s="1"/>
  <c r="BL549" i="3"/>
  <c r="AZ549" i="3" s="1"/>
  <c r="G524" i="3"/>
  <c r="G303" i="3"/>
  <c r="BL304" i="3"/>
  <c r="G305" i="3"/>
  <c r="BL306" i="3"/>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20" i="3"/>
  <c r="AZ128" i="3"/>
  <c r="G534" i="3"/>
  <c r="G512" i="3"/>
  <c r="G506" i="3"/>
  <c r="G498"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54" i="3"/>
  <c r="AZ162" i="3"/>
  <c r="AZ198" i="3"/>
  <c r="BA16" i="3"/>
  <c r="BL303" i="3"/>
  <c r="G304" i="3"/>
  <c r="BA306" i="3"/>
  <c r="BL307" i="3"/>
  <c r="G308" i="3"/>
  <c r="BA310" i="3"/>
  <c r="AZ310" i="3"/>
  <c r="BL311" i="3"/>
  <c r="G312" i="3"/>
  <c r="BA314" i="3"/>
  <c r="BL315" i="3"/>
  <c r="AZ315" i="3"/>
  <c r="G316" i="3"/>
  <c r="BA318" i="3"/>
  <c r="AZ318" i="3" s="1"/>
  <c r="BL319" i="3"/>
  <c r="AZ319" i="3" s="1"/>
  <c r="G320" i="3"/>
  <c r="BA322" i="3"/>
  <c r="AZ322" i="3" s="1"/>
  <c r="BL323" i="3"/>
  <c r="G324" i="3"/>
  <c r="BA326" i="3"/>
  <c r="AZ326" i="3" s="1"/>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BL352" i="3"/>
  <c r="G353" i="3"/>
  <c r="BA357" i="3"/>
  <c r="BL358" i="3"/>
  <c r="G359" i="3"/>
  <c r="BA361" i="3"/>
  <c r="AZ361" i="3"/>
  <c r="BL362" i="3"/>
  <c r="G363" i="3"/>
  <c r="BA365" i="3"/>
  <c r="BL366" i="3"/>
  <c r="G367" i="3"/>
  <c r="BA369" i="3"/>
  <c r="AZ369" i="3"/>
  <c r="BL370" i="3"/>
  <c r="G371" i="3"/>
  <c r="BA373" i="3"/>
  <c r="AZ373" i="3"/>
  <c r="BL374" i="3"/>
  <c r="G375" i="3"/>
  <c r="BA377" i="3"/>
  <c r="AZ377" i="3"/>
  <c r="AZ237" i="3"/>
  <c r="AZ245" i="3"/>
  <c r="AZ257" i="3"/>
  <c r="AZ265" i="3"/>
  <c r="BA379" i="3"/>
  <c r="BL380" i="3"/>
  <c r="AZ380" i="3" s="1"/>
  <c r="G381" i="3"/>
  <c r="BA383" i="3"/>
  <c r="AZ383" i="3" s="1"/>
  <c r="BL384" i="3"/>
  <c r="AZ384" i="3" s="1"/>
  <c r="G385" i="3"/>
  <c r="BA387" i="3"/>
  <c r="BL388" i="3"/>
  <c r="G389" i="3"/>
  <c r="BA391" i="3"/>
  <c r="AZ391" i="3" s="1"/>
  <c r="BL392" i="3"/>
  <c r="G393" i="3"/>
  <c r="AZ283" i="3"/>
  <c r="BM5" i="3"/>
  <c r="AZ341" i="3"/>
  <c r="G548" i="3"/>
  <c r="G520" i="3"/>
  <c r="BN5" i="3"/>
  <c r="BE5" i="3"/>
  <c r="G17" i="3"/>
  <c r="BA17" i="3"/>
  <c r="BT5" i="3"/>
  <c r="AZ392" i="3"/>
  <c r="BL493" i="3"/>
  <c r="F83" i="43"/>
  <c r="H85" i="43" s="1"/>
  <c r="F50" i="43"/>
  <c r="H54" i="43" s="1"/>
  <c r="F72" i="43"/>
  <c r="H75" i="43" s="1"/>
  <c r="U17" i="39"/>
  <c r="S14" i="35"/>
  <c r="U35" i="21"/>
  <c r="AC35" i="21"/>
  <c r="G10" i="1"/>
  <c r="W37" i="37"/>
  <c r="W44" i="34"/>
  <c r="S15" i="37"/>
  <c r="U13" i="37"/>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AB27" i="40" s="1"/>
  <c r="U27" i="40"/>
  <c r="J27" i="40"/>
  <c r="AC27" i="40"/>
  <c r="F27" i="40"/>
  <c r="AA27" i="40" s="1"/>
  <c r="S27" i="40"/>
  <c r="J30" i="40"/>
  <c r="AC30" i="40"/>
  <c r="F30" i="40"/>
  <c r="AA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240" i="3"/>
  <c r="AZ280" i="3"/>
  <c r="AZ50" i="3"/>
  <c r="AZ82" i="3"/>
  <c r="F23" i="39"/>
  <c r="S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AC26" i="33"/>
  <c r="W26" i="33"/>
  <c r="W27" i="34"/>
  <c r="AC27" i="34"/>
  <c r="AB33" i="36"/>
  <c r="U33" i="36"/>
  <c r="AC12" i="39"/>
  <c r="W12" i="39"/>
  <c r="AZ412" i="3"/>
  <c r="AZ433" i="3"/>
  <c r="AA32" i="36"/>
  <c r="S32" i="36"/>
  <c r="AZ437" i="3"/>
  <c r="BL14" i="3"/>
  <c r="F12" i="33"/>
  <c r="S12" i="33" s="1"/>
  <c r="H12" i="39"/>
  <c r="AB12" i="39"/>
  <c r="F39" i="40"/>
  <c r="AZ224"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S30" i="40"/>
  <c r="S28" i="40"/>
  <c r="U21" i="40"/>
  <c r="AB19" i="40"/>
  <c r="U37" i="39"/>
  <c r="U35" i="39"/>
  <c r="F32" i="39"/>
  <c r="AA32" i="39" s="1"/>
  <c r="F106" i="39"/>
  <c r="G106" i="39" s="1"/>
  <c r="H106" i="39" s="1"/>
  <c r="I106" i="39" s="1"/>
  <c r="J106" i="39" s="1"/>
  <c r="K106" i="39" s="1"/>
  <c r="L106" i="39" s="1"/>
  <c r="M106" i="39" s="1"/>
  <c r="J21" i="39"/>
  <c r="W21" i="39" s="1"/>
  <c r="F21" i="39"/>
  <c r="AA21" i="39" s="1"/>
  <c r="H21" i="39"/>
  <c r="U21" i="39" s="1"/>
  <c r="S17" i="39"/>
  <c r="S15" i="39"/>
  <c r="AA12" i="39"/>
  <c r="U14" i="39"/>
  <c r="U12" i="39"/>
  <c r="U13" i="36"/>
  <c r="U26" i="36"/>
  <c r="S33" i="36"/>
  <c r="AA26" i="36"/>
  <c r="AA34" i="36"/>
  <c r="AC26" i="36"/>
  <c r="W14" i="36"/>
  <c r="AB14" i="36"/>
  <c r="U22" i="36"/>
  <c r="AA25" i="36"/>
  <c r="S24" i="36"/>
  <c r="U23" i="36"/>
  <c r="U16" i="36"/>
  <c r="S14" i="36"/>
  <c r="AA25" i="35"/>
  <c r="S23" i="35"/>
  <c r="W24" i="35"/>
  <c r="U29" i="35"/>
  <c r="U28" i="35"/>
  <c r="AB27" i="35"/>
  <c r="U32" i="35"/>
  <c r="AA33" i="35"/>
  <c r="AC30" i="35"/>
  <c r="S32" i="35"/>
  <c r="AA36" i="35"/>
  <c r="S28" i="35"/>
  <c r="AB16" i="35"/>
  <c r="U22" i="35"/>
  <c r="AC20" i="35"/>
  <c r="S22" i="35"/>
  <c r="U14" i="35"/>
  <c r="AC9" i="35"/>
  <c r="W9" i="35"/>
  <c r="F9" i="35"/>
  <c r="S9" i="35" s="1"/>
  <c r="H9" i="35"/>
  <c r="U9" i="35" s="1"/>
  <c r="AB40" i="37"/>
  <c r="S25" i="37"/>
  <c r="AC29" i="37"/>
  <c r="U29" i="37"/>
  <c r="S32" i="37"/>
  <c r="W30" i="37"/>
  <c r="AA38" i="37"/>
  <c r="U32" i="37"/>
  <c r="W38" i="37"/>
  <c r="AC35" i="37"/>
  <c r="S30" i="37"/>
  <c r="S37" i="37"/>
  <c r="J17" i="37"/>
  <c r="W17" i="37" s="1"/>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AC39" i="34"/>
  <c r="W41" i="34"/>
  <c r="AC42" i="34"/>
  <c r="AB35" i="34"/>
  <c r="U39" i="34"/>
  <c r="S43" i="34"/>
  <c r="AB41" i="34"/>
  <c r="AA45" i="34"/>
  <c r="AA25" i="34"/>
  <c r="U28" i="34"/>
  <c r="S17" i="34"/>
  <c r="U27" i="34"/>
  <c r="S23" i="34"/>
  <c r="U15"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B14" i="33"/>
  <c r="W43" i="21"/>
  <c r="W36" i="21"/>
  <c r="AB39" i="21"/>
  <c r="AA43" i="21"/>
  <c r="AA38" i="21"/>
  <c r="AA36" i="21"/>
  <c r="AC40" i="21"/>
  <c r="J15" i="21"/>
  <c r="W15" i="21" s="1"/>
  <c r="F77" i="21"/>
  <c r="G77" i="21" s="1"/>
  <c r="F23" i="21"/>
  <c r="AA23" i="21" s="1"/>
  <c r="E85" i="21"/>
  <c r="AA14" i="21"/>
  <c r="D120" i="9"/>
  <c r="D121" i="9" s="1"/>
  <c r="D7" i="52" s="1"/>
  <c r="F34" i="67"/>
  <c r="F62" i="67" s="1"/>
  <c r="M20" i="67"/>
  <c r="F34" i="15"/>
  <c r="F62" i="15" s="1"/>
  <c r="BL17" i="3"/>
  <c r="BL13" i="3"/>
  <c r="J56" i="9"/>
  <c r="J57" i="9" s="1"/>
  <c r="J59" i="9" s="1"/>
  <c r="J61" i="9" s="1"/>
  <c r="A24" i="51"/>
  <c r="B18" i="72" s="1"/>
  <c r="E32" i="6"/>
  <c r="E19" i="11"/>
  <c r="G26" i="12"/>
  <c r="C6" i="43"/>
  <c r="B19" i="53"/>
  <c r="B37" i="72" s="1"/>
  <c r="C7" i="35"/>
  <c r="C48" i="35" s="1"/>
  <c r="D48" i="35" s="1"/>
  <c r="C7" i="21"/>
  <c r="M47" i="9"/>
  <c r="C52" i="37"/>
  <c r="D52" i="37" s="1"/>
  <c r="A4" i="51"/>
  <c r="B6" i="72" s="1"/>
  <c r="L20" i="6"/>
  <c r="K11" i="1"/>
  <c r="M11" i="1" s="1"/>
  <c r="O11" i="1" s="1"/>
  <c r="B9" i="1"/>
  <c r="E9" i="1" s="1"/>
  <c r="K7" i="1"/>
  <c r="M7" i="1" s="1"/>
  <c r="G1" i="67"/>
  <c r="W23" i="40"/>
  <c r="U32" i="40"/>
  <c r="AB31" i="40"/>
  <c r="S37" i="40"/>
  <c r="AB28" i="40"/>
  <c r="W28" i="40"/>
  <c r="W34" i="40"/>
  <c r="W19" i="40"/>
  <c r="W27" i="40"/>
  <c r="S36" i="40"/>
  <c r="W37" i="40"/>
  <c r="S13" i="40"/>
  <c r="AA15" i="40"/>
  <c r="U11" i="40"/>
  <c r="S31" i="40"/>
  <c r="AB13" i="40"/>
  <c r="U15" i="40"/>
  <c r="U8" i="40"/>
  <c r="S8" i="40"/>
  <c r="AA39" i="39"/>
  <c r="S14" i="39"/>
  <c r="AA14" i="39"/>
  <c r="U43" i="39"/>
  <c r="AB43" i="39"/>
  <c r="W17" i="39"/>
  <c r="AC17" i="39"/>
  <c r="AA45" i="39"/>
  <c r="AB39" i="39"/>
  <c r="W34" i="39"/>
  <c r="S20" i="36"/>
  <c r="AC25" i="36"/>
  <c r="W29" i="36"/>
  <c r="AC20" i="36"/>
  <c r="U25" i="36"/>
  <c r="AB28" i="36"/>
  <c r="AA13" i="36"/>
  <c r="W9" i="36"/>
  <c r="W22" i="36"/>
  <c r="W23" i="36"/>
  <c r="AB20" i="35"/>
  <c r="AC25" i="35"/>
  <c r="U25" i="35"/>
  <c r="U24" i="35"/>
  <c r="S35" i="35"/>
  <c r="W35" i="35"/>
  <c r="AA16" i="35"/>
  <c r="AA35" i="37"/>
  <c r="W36" i="37"/>
  <c r="S27" i="37"/>
  <c r="S28" i="37"/>
  <c r="U36" i="37"/>
  <c r="S40" i="37"/>
  <c r="U38" i="37"/>
  <c r="AB37" i="37"/>
  <c r="AC34" i="37"/>
  <c r="AA31" i="37"/>
  <c r="AA29" i="37"/>
  <c r="U8" i="37"/>
  <c r="AA40" i="34"/>
  <c r="AB40" i="34"/>
  <c r="U19" i="34"/>
  <c r="W19" i="34"/>
  <c r="AA31" i="34"/>
  <c r="AA30" i="34"/>
  <c r="AB45" i="34"/>
  <c r="U25" i="34"/>
  <c r="W33" i="34"/>
  <c r="AC14" i="34"/>
  <c r="AC32" i="34"/>
  <c r="AC29" i="34"/>
  <c r="W29" i="34"/>
  <c r="W46" i="34"/>
  <c r="AC46" i="34"/>
  <c r="S32" i="34"/>
  <c r="AA32" i="34"/>
  <c r="U30" i="34"/>
  <c r="AB30" i="34"/>
  <c r="S37" i="34"/>
  <c r="U38" i="34"/>
  <c r="W40" i="34"/>
  <c r="AA19" i="34"/>
  <c r="S19" i="34"/>
  <c r="AA36" i="34"/>
  <c r="S36" i="34"/>
  <c r="AA8" i="34"/>
  <c r="S8" i="34"/>
  <c r="AB9" i="34"/>
  <c r="U9" i="34"/>
  <c r="S46" i="34"/>
  <c r="AA46" i="34"/>
  <c r="U32" i="34"/>
  <c r="AB32" i="34"/>
  <c r="U14" i="34"/>
  <c r="AB14" i="34"/>
  <c r="AC43" i="34"/>
  <c r="W43" i="34"/>
  <c r="W23" i="34"/>
  <c r="AC23" i="34"/>
  <c r="AC35" i="34"/>
  <c r="W35" i="34"/>
  <c r="AB28" i="33"/>
  <c r="AC37" i="33"/>
  <c r="U39" i="33"/>
  <c r="U38" i="33"/>
  <c r="S33" i="33"/>
  <c r="U44" i="33"/>
  <c r="AB44" i="33"/>
  <c r="AC14" i="33"/>
  <c r="W14" i="33"/>
  <c r="AC30" i="33"/>
  <c r="S31" i="33"/>
  <c r="AA31" i="33"/>
  <c r="W13" i="33"/>
  <c r="AC13" i="33"/>
  <c r="S11" i="33"/>
  <c r="U37" i="33"/>
  <c r="AC28" i="33"/>
  <c r="W9" i="33"/>
  <c r="W8" i="33"/>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c r="J17" i="21"/>
  <c r="W17" i="21" s="1"/>
  <c r="AC17" i="21"/>
  <c r="AC19" i="21"/>
  <c r="W30" i="21"/>
  <c r="S46" i="21"/>
  <c r="H45" i="21"/>
  <c r="U45" i="21" s="1"/>
  <c r="F29" i="21"/>
  <c r="AA29" i="21" s="1"/>
  <c r="F13" i="21"/>
  <c r="AA13" i="21" s="1"/>
  <c r="AC38" i="21"/>
  <c r="H32" i="21"/>
  <c r="U32" i="21" s="1"/>
  <c r="H9" i="21"/>
  <c r="J9" i="21"/>
  <c r="W9" i="21" s="1"/>
  <c r="J32" i="21"/>
  <c r="W32" i="21" s="1"/>
  <c r="F32" i="21"/>
  <c r="S32" i="21" s="1"/>
  <c r="U17" i="21"/>
  <c r="S19" i="21"/>
  <c r="S9" i="21"/>
  <c r="AA9" i="21"/>
  <c r="K141" i="21"/>
  <c r="K144" i="21"/>
  <c r="K143" i="21"/>
  <c r="U27" i="21"/>
  <c r="AB25" i="21"/>
  <c r="AA30" i="21"/>
  <c r="W42" i="21"/>
  <c r="AC45" i="21"/>
  <c r="F10" i="21"/>
  <c r="AA10" i="21" s="1"/>
  <c r="K145" i="21"/>
  <c r="W25" i="21"/>
  <c r="W31" i="21"/>
  <c r="S17" i="21"/>
  <c r="AA15" i="21"/>
  <c r="AC27" i="21"/>
  <c r="AC26" i="21"/>
  <c r="S28" i="21"/>
  <c r="AB36" i="21"/>
  <c r="W30" i="40"/>
  <c r="C19" i="39"/>
  <c r="C15" i="40"/>
  <c r="C17" i="40"/>
  <c r="C21" i="40"/>
  <c r="U30" i="40"/>
  <c r="B56" i="43"/>
  <c r="B67" i="43"/>
  <c r="B51" i="43"/>
  <c r="B58" i="43"/>
  <c r="B62" i="43"/>
  <c r="B69" i="43"/>
  <c r="D23" i="15"/>
  <c r="D22" i="15"/>
  <c r="E4" i="4"/>
  <c r="B5" i="62" s="1"/>
  <c r="B73" i="72" s="1"/>
  <c r="C4" i="4"/>
  <c r="F30" i="68"/>
  <c r="F48" i="68" s="1"/>
  <c r="F28" i="67"/>
  <c r="F31" i="12"/>
  <c r="F52" i="9"/>
  <c r="F32" i="67"/>
  <c r="F60" i="67" s="1"/>
  <c r="F30" i="69"/>
  <c r="F48" i="69" s="1"/>
  <c r="F32" i="15"/>
  <c r="F60" i="15" s="1"/>
  <c r="F28" i="15"/>
  <c r="AA39" i="40"/>
  <c r="S39" i="40"/>
  <c r="AA12" i="33"/>
  <c r="D68" i="9"/>
  <c r="F54" i="9"/>
  <c r="J32" i="39"/>
  <c r="W32" i="39" s="1"/>
  <c r="AC17" i="37"/>
  <c r="S17" i="37"/>
  <c r="J19" i="37"/>
  <c r="W19" i="37" s="1"/>
  <c r="AA23" i="37"/>
  <c r="J23" i="37"/>
  <c r="W23" i="37" s="1"/>
  <c r="G79" i="37"/>
  <c r="J10" i="37"/>
  <c r="W10" i="37" s="1"/>
  <c r="H11" i="37"/>
  <c r="AB11" i="37" s="1"/>
  <c r="H11" i="34"/>
  <c r="U11" i="34" s="1"/>
  <c r="J10" i="34"/>
  <c r="AC10" i="34" s="1"/>
  <c r="AB41" i="33"/>
  <c r="W35" i="33"/>
  <c r="AC35" i="33"/>
  <c r="J36" i="33"/>
  <c r="W36" i="33" s="1"/>
  <c r="H36" i="33"/>
  <c r="U36" i="33" s="1"/>
  <c r="AC32" i="33"/>
  <c r="W32" i="33"/>
  <c r="U27" i="33"/>
  <c r="AB27" i="33"/>
  <c r="J27" i="33"/>
  <c r="W27" i="33" s="1"/>
  <c r="S25" i="33"/>
  <c r="AA25" i="33"/>
  <c r="J25" i="33"/>
  <c r="AC25" i="33" s="1"/>
  <c r="F23" i="33"/>
  <c r="G85" i="33"/>
  <c r="H19" i="33"/>
  <c r="AB19" i="33" s="1"/>
  <c r="G81" i="33"/>
  <c r="H17" i="33"/>
  <c r="U17" i="33" s="1"/>
  <c r="F17" i="33"/>
  <c r="S17" i="33" s="1"/>
  <c r="S37" i="21"/>
  <c r="AB15" i="21"/>
  <c r="J23" i="21"/>
  <c r="F85" i="21"/>
  <c r="G85" i="21" s="1"/>
  <c r="H23" i="21"/>
  <c r="D6" i="52"/>
  <c r="AP7" i="1"/>
  <c r="AB9" i="21"/>
  <c r="U9" i="21"/>
  <c r="AA32" i="21"/>
  <c r="AB32" i="21"/>
  <c r="J11" i="37"/>
  <c r="AC11" i="37" s="1"/>
  <c r="J11" i="34"/>
  <c r="W11" i="34" s="1"/>
  <c r="W25" i="33"/>
  <c r="AA17" i="33"/>
  <c r="U23" i="21"/>
  <c r="AB23" i="21"/>
  <c r="AC23" i="21"/>
  <c r="W23" i="21"/>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E2" i="68"/>
  <c r="M29" i="67"/>
  <c r="F37" i="67"/>
  <c r="F38" i="67"/>
  <c r="C14" i="83"/>
  <c r="L48" i="67"/>
  <c r="F16" i="67"/>
  <c r="F20" i="31"/>
  <c r="M9" i="67"/>
  <c r="F4" i="73"/>
  <c r="B7" i="76"/>
  <c r="B13" i="76"/>
  <c r="M23" i="67"/>
  <c r="F6" i="67"/>
  <c r="F43" i="67"/>
  <c r="M6" i="67"/>
  <c r="F36" i="67"/>
  <c r="F40" i="67"/>
  <c r="M22" i="67"/>
  <c r="F7" i="73"/>
  <c r="M8" i="67"/>
  <c r="M24" i="67"/>
  <c r="B8" i="76"/>
  <c r="F5" i="73"/>
  <c r="AO13" i="1"/>
  <c r="L48" i="82"/>
  <c r="J15" i="67"/>
  <c r="F26" i="67"/>
  <c r="F42" i="67"/>
  <c r="C16" i="82"/>
  <c r="F7" i="67"/>
  <c r="E10" i="76"/>
  <c r="E7" i="76"/>
  <c r="B9" i="76"/>
  <c r="F6" i="73"/>
  <c r="M28" i="67"/>
  <c r="M26" i="67"/>
  <c r="E8" i="76"/>
  <c r="E13" i="76"/>
  <c r="C14" i="82"/>
  <c r="C76" i="67"/>
  <c r="C16" i="83"/>
  <c r="L47" i="67"/>
  <c r="B12" i="76"/>
  <c r="E11" i="76"/>
  <c r="E12" i="76"/>
  <c r="F9" i="67"/>
  <c r="B11" i="76"/>
  <c r="B10" i="76"/>
  <c r="E9" i="76"/>
  <c r="F8" i="67"/>
  <c r="F13" i="67"/>
  <c r="E2" i="69"/>
  <c r="C18" i="83" l="1"/>
  <c r="C15" i="83"/>
  <c r="C19" i="83" s="1"/>
  <c r="C20" i="83" s="1"/>
  <c r="C26" i="83" s="1"/>
  <c r="C15" i="82"/>
  <c r="C18" i="82"/>
  <c r="O7" i="1"/>
  <c r="P7" i="1" s="1"/>
  <c r="I54" i="82"/>
  <c r="L57" i="82"/>
  <c r="J53" i="82"/>
  <c r="L56" i="82"/>
  <c r="J57" i="82"/>
  <c r="J55" i="82" s="1"/>
  <c r="J58" i="82" s="1"/>
  <c r="Q50" i="82" s="1"/>
  <c r="L60" i="82"/>
  <c r="L58" i="82"/>
  <c r="G7" i="1"/>
  <c r="G1" i="69"/>
  <c r="G1" i="15"/>
  <c r="B6" i="1"/>
  <c r="E6" i="1" s="1"/>
  <c r="G1" i="68"/>
  <c r="E5" i="6"/>
  <c r="BA19" i="3"/>
  <c r="AZ17" i="3"/>
  <c r="AZ502" i="3"/>
  <c r="AZ499" i="3"/>
  <c r="AZ563" i="3"/>
  <c r="AZ558" i="3"/>
  <c r="AZ510" i="3"/>
  <c r="AZ538" i="3"/>
  <c r="AZ530" i="3"/>
  <c r="AZ513" i="3"/>
  <c r="AZ508" i="3"/>
  <c r="AZ544" i="3"/>
  <c r="G29" i="6"/>
  <c r="AB36" i="39"/>
  <c r="U36" i="39"/>
  <c r="AB35" i="33"/>
  <c r="U35" i="33"/>
  <c r="AA27" i="35"/>
  <c r="S27" i="35"/>
  <c r="J12" i="36"/>
  <c r="F12" i="36"/>
  <c r="AA34" i="39"/>
  <c r="S34" i="39"/>
  <c r="BA526" i="3"/>
  <c r="AZ526" i="3" s="1"/>
  <c r="AZ518" i="3"/>
  <c r="BL514" i="3"/>
  <c r="AZ514" i="3" s="1"/>
  <c r="J24" i="36"/>
  <c r="H24" i="36"/>
  <c r="BA546" i="3"/>
  <c r="AZ546" i="3" s="1"/>
  <c r="BA537" i="3"/>
  <c r="AZ537" i="3" s="1"/>
  <c r="BL529" i="3"/>
  <c r="BL516" i="3"/>
  <c r="AZ516" i="3" s="1"/>
  <c r="BL505" i="3"/>
  <c r="AZ505" i="3" s="1"/>
  <c r="BA500" i="3"/>
  <c r="AZ500" i="3" s="1"/>
  <c r="U19" i="33"/>
  <c r="AC27" i="33"/>
  <c r="AC23" i="37"/>
  <c r="AC9" i="21"/>
  <c r="AC17" i="33"/>
  <c r="S36" i="33"/>
  <c r="B54" i="43"/>
  <c r="AC34" i="21"/>
  <c r="AA31" i="21"/>
  <c r="AC14" i="21"/>
  <c r="AC45" i="34"/>
  <c r="U19" i="37"/>
  <c r="W32" i="37"/>
  <c r="S8" i="39"/>
  <c r="S23" i="21"/>
  <c r="W41" i="21"/>
  <c r="AC11" i="33"/>
  <c r="AB31" i="37"/>
  <c r="W27" i="37"/>
  <c r="AB20" i="36"/>
  <c r="AA19" i="40"/>
  <c r="U36" i="40"/>
  <c r="AC5" i="3"/>
  <c r="AZ379" i="3"/>
  <c r="AZ357" i="3"/>
  <c r="AZ372" i="3"/>
  <c r="AZ347" i="3"/>
  <c r="AZ337" i="3"/>
  <c r="AZ360" i="3"/>
  <c r="W15" i="37"/>
  <c r="BL515" i="3"/>
  <c r="AZ515" i="3" s="1"/>
  <c r="BL527" i="3"/>
  <c r="AZ527" i="3" s="1"/>
  <c r="AZ569" i="3"/>
  <c r="W11" i="35"/>
  <c r="AC11" i="35"/>
  <c r="F37" i="39"/>
  <c r="BA586" i="3"/>
  <c r="AZ586" i="3" s="1"/>
  <c r="BL585" i="3"/>
  <c r="J29" i="21"/>
  <c r="H29" i="21"/>
  <c r="H44" i="21"/>
  <c r="F44" i="21"/>
  <c r="AC33" i="33"/>
  <c r="W33" i="33"/>
  <c r="F28" i="34"/>
  <c r="J28" i="34"/>
  <c r="H12" i="33"/>
  <c r="U12" i="33" s="1"/>
  <c r="J12" i="33"/>
  <c r="F30" i="33"/>
  <c r="H30" i="33"/>
  <c r="F46" i="33"/>
  <c r="J46" i="33"/>
  <c r="F29" i="34"/>
  <c r="H29" i="34"/>
  <c r="H13" i="35"/>
  <c r="J13" i="35"/>
  <c r="H12" i="36"/>
  <c r="F23" i="36"/>
  <c r="H34" i="36"/>
  <c r="J34" i="36"/>
  <c r="W34" i="36" s="1"/>
  <c r="J28" i="37"/>
  <c r="H28" i="37"/>
  <c r="AA44" i="39"/>
  <c r="S44" i="39"/>
  <c r="H13" i="39"/>
  <c r="F13" i="39"/>
  <c r="E121" i="39"/>
  <c r="F121" i="39" s="1"/>
  <c r="G121" i="39" s="1"/>
  <c r="H121" i="39" s="1"/>
  <c r="I121" i="39" s="1"/>
  <c r="J121" i="39" s="1"/>
  <c r="K121" i="39" s="1"/>
  <c r="L121" i="39" s="1"/>
  <c r="M121" i="39" s="1"/>
  <c r="J40" i="39"/>
  <c r="AC40" i="39" s="1"/>
  <c r="F100" i="39"/>
  <c r="G100" i="39" s="1"/>
  <c r="J27" i="39"/>
  <c r="AC27" i="39" s="1"/>
  <c r="BL581" i="3"/>
  <c r="BL574" i="3"/>
  <c r="AZ574" i="3" s="1"/>
  <c r="BL572" i="3"/>
  <c r="AA38" i="33"/>
  <c r="S38" i="33"/>
  <c r="BL554" i="3"/>
  <c r="AZ554" i="3" s="1"/>
  <c r="BA545" i="3"/>
  <c r="AZ529" i="3"/>
  <c r="BA519" i="3"/>
  <c r="BL517" i="3"/>
  <c r="BA511" i="3"/>
  <c r="BL509" i="3"/>
  <c r="AZ509" i="3" s="1"/>
  <c r="BA506" i="3"/>
  <c r="AZ506" i="3" s="1"/>
  <c r="BL498" i="3"/>
  <c r="AZ498" i="3" s="1"/>
  <c r="BL496" i="3"/>
  <c r="S13" i="21"/>
  <c r="W39" i="21"/>
  <c r="S28" i="33"/>
  <c r="U15" i="33"/>
  <c r="AB33" i="34"/>
  <c r="S24" i="35"/>
  <c r="U32" i="36"/>
  <c r="S39" i="21"/>
  <c r="AB25" i="37"/>
  <c r="AZ371" i="3"/>
  <c r="AZ306" i="3"/>
  <c r="BL523" i="3"/>
  <c r="AZ523" i="3" s="1"/>
  <c r="BL535" i="3"/>
  <c r="AZ535" i="3" s="1"/>
  <c r="AZ579" i="3"/>
  <c r="BA496" i="3"/>
  <c r="AZ496" i="3" s="1"/>
  <c r="AZ566" i="3"/>
  <c r="AZ585" i="3"/>
  <c r="AC40" i="37"/>
  <c r="W40" i="37"/>
  <c r="AA45" i="33"/>
  <c r="S45" i="33"/>
  <c r="W28" i="21"/>
  <c r="AC28" i="21"/>
  <c r="W39" i="33"/>
  <c r="H36" i="35"/>
  <c r="J36" i="35"/>
  <c r="AC36" i="35" s="1"/>
  <c r="J12" i="40"/>
  <c r="H12" i="40"/>
  <c r="F12" i="40"/>
  <c r="J39" i="40"/>
  <c r="H39" i="40"/>
  <c r="BA555" i="3"/>
  <c r="AZ533" i="3"/>
  <c r="AZ547" i="3"/>
  <c r="AZ575" i="3"/>
  <c r="AZ524" i="3"/>
  <c r="AZ540" i="3"/>
  <c r="AB46" i="33"/>
  <c r="U46" i="33"/>
  <c r="B97" i="43"/>
  <c r="B75" i="43"/>
  <c r="J33" i="40"/>
  <c r="F33" i="40"/>
  <c r="H33" i="40"/>
  <c r="BA564" i="3"/>
  <c r="AZ564" i="3" s="1"/>
  <c r="BL556" i="3"/>
  <c r="AZ556" i="3" s="1"/>
  <c r="BA532" i="3"/>
  <c r="AZ532" i="3" s="1"/>
  <c r="BL528" i="3"/>
  <c r="AZ528" i="3" s="1"/>
  <c r="AZ525" i="3"/>
  <c r="BL501" i="3"/>
  <c r="AZ501" i="3" s="1"/>
  <c r="BA494" i="3"/>
  <c r="AZ494" i="3" s="1"/>
  <c r="BA493" i="3"/>
  <c r="AZ493" i="3" s="1"/>
  <c r="U23" i="33"/>
  <c r="AB25" i="33"/>
  <c r="AA19" i="37"/>
  <c r="AA11" i="35"/>
  <c r="S20" i="35"/>
  <c r="S16" i="36"/>
  <c r="AA22" i="36"/>
  <c r="S11" i="40"/>
  <c r="AB36" i="33"/>
  <c r="AB45" i="21"/>
  <c r="AA19" i="33"/>
  <c r="M18" i="15"/>
  <c r="M18" i="67"/>
  <c r="F30" i="11"/>
  <c r="C48" i="11" s="1"/>
  <c r="C23" i="40"/>
  <c r="AB34" i="33"/>
  <c r="AB36" i="34"/>
  <c r="AB35" i="37"/>
  <c r="AB17" i="40"/>
  <c r="AC14" i="40"/>
  <c r="U43" i="34"/>
  <c r="S36" i="37"/>
  <c r="AC12" i="35"/>
  <c r="AC13" i="39"/>
  <c r="U43" i="21"/>
  <c r="AZ387" i="3"/>
  <c r="AZ362" i="3"/>
  <c r="AZ338" i="3"/>
  <c r="AZ311" i="3"/>
  <c r="AZ364" i="3"/>
  <c r="AZ329" i="3"/>
  <c r="AZ304" i="3"/>
  <c r="AZ394" i="3"/>
  <c r="AA25" i="21"/>
  <c r="AC12" i="37"/>
  <c r="BL503" i="3"/>
  <c r="AZ503" i="3" s="1"/>
  <c r="BL519" i="3"/>
  <c r="AZ519" i="3" s="1"/>
  <c r="BL531" i="3"/>
  <c r="AZ531" i="3" s="1"/>
  <c r="BL557" i="3"/>
  <c r="AZ557" i="3" s="1"/>
  <c r="AZ568" i="3"/>
  <c r="S11" i="36"/>
  <c r="AA44" i="33"/>
  <c r="AC31" i="34"/>
  <c r="W31" i="34"/>
  <c r="F45" i="21"/>
  <c r="F27" i="21"/>
  <c r="S40" i="21"/>
  <c r="U9" i="39"/>
  <c r="BL587" i="3"/>
  <c r="AZ587" i="3" s="1"/>
  <c r="H13" i="21"/>
  <c r="J13" i="21"/>
  <c r="J13" i="34"/>
  <c r="F13" i="34"/>
  <c r="H47" i="34"/>
  <c r="F47" i="34"/>
  <c r="AC28" i="36"/>
  <c r="W28" i="36"/>
  <c r="J39" i="37"/>
  <c r="H39" i="37"/>
  <c r="E92" i="39"/>
  <c r="F19" i="39" s="1"/>
  <c r="J19" i="39"/>
  <c r="AC19" i="39" s="1"/>
  <c r="H31" i="39"/>
  <c r="AB31" i="39" s="1"/>
  <c r="J31" i="39"/>
  <c r="W31" i="39" s="1"/>
  <c r="J43" i="39"/>
  <c r="F43" i="39"/>
  <c r="AB9" i="40"/>
  <c r="U9" i="40"/>
  <c r="W38" i="34"/>
  <c r="AC38" i="34"/>
  <c r="BA581" i="3"/>
  <c r="BA580" i="3"/>
  <c r="AZ580" i="3" s="1"/>
  <c r="BA573" i="3"/>
  <c r="AZ573" i="3" s="1"/>
  <c r="BA572" i="3"/>
  <c r="AZ572" i="3" s="1"/>
  <c r="BL571" i="3"/>
  <c r="AZ571" i="3" s="1"/>
  <c r="AZ270" i="3"/>
  <c r="BL511" i="3"/>
  <c r="AZ511" i="3" s="1"/>
  <c r="BL539" i="3"/>
  <c r="AZ539" i="3" s="1"/>
  <c r="BL543" i="3"/>
  <c r="AZ543" i="3" s="1"/>
  <c r="BL553" i="3"/>
  <c r="AZ553" i="3" s="1"/>
  <c r="BL565" i="3"/>
  <c r="AZ565" i="3" s="1"/>
  <c r="C15" i="39"/>
  <c r="J9" i="34"/>
  <c r="H12" i="34"/>
  <c r="J38" i="40"/>
  <c r="G582" i="3"/>
  <c r="G574" i="3"/>
  <c r="BA551" i="3"/>
  <c r="AZ551" i="3" s="1"/>
  <c r="BA550" i="3"/>
  <c r="BL548" i="3"/>
  <c r="AZ548" i="3" s="1"/>
  <c r="AZ402" i="3"/>
  <c r="AZ406" i="3"/>
  <c r="AZ443" i="3"/>
  <c r="G587" i="3"/>
  <c r="BL550" i="3"/>
  <c r="BA13" i="3"/>
  <c r="A15" i="62"/>
  <c r="B61" i="72" s="1"/>
  <c r="AZ418" i="3"/>
  <c r="AZ451" i="3"/>
  <c r="AZ461" i="3"/>
  <c r="AZ469" i="3"/>
  <c r="AZ483" i="3"/>
  <c r="AZ228" i="3"/>
  <c r="D46" i="71"/>
  <c r="C47" i="71"/>
  <c r="D47" i="71" s="1"/>
  <c r="D84" i="71"/>
  <c r="C83" i="71"/>
  <c r="AA3" i="71"/>
  <c r="G558" i="3"/>
  <c r="BA401" i="3"/>
  <c r="AZ401" i="3" s="1"/>
  <c r="BA403" i="3"/>
  <c r="AZ403" i="3" s="1"/>
  <c r="BA404" i="3"/>
  <c r="AZ404" i="3" s="1"/>
  <c r="BA405" i="3"/>
  <c r="AZ405" i="3" s="1"/>
  <c r="G409" i="3"/>
  <c r="BL410" i="3"/>
  <c r="G412" i="3"/>
  <c r="G418" i="3"/>
  <c r="G419" i="3"/>
  <c r="BA422" i="3"/>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BL270" i="3"/>
  <c r="BA272" i="3"/>
  <c r="AZ272" i="3" s="1"/>
  <c r="BL275" i="3"/>
  <c r="AZ275" i="3" s="1"/>
  <c r="BL285" i="3"/>
  <c r="BL287" i="3"/>
  <c r="BA290" i="3"/>
  <c r="BL299" i="3"/>
  <c r="BL113" i="3"/>
  <c r="BA117" i="3"/>
  <c r="BA124" i="3"/>
  <c r="AZ124" i="3" s="1"/>
  <c r="BL127" i="3"/>
  <c r="AZ127" i="3" s="1"/>
  <c r="BA130" i="3"/>
  <c r="AZ130" i="3" s="1"/>
  <c r="BL130" i="3"/>
  <c r="BL137" i="3"/>
  <c r="BA146" i="3"/>
  <c r="AZ146" i="3" s="1"/>
  <c r="BL149" i="3"/>
  <c r="AZ149" i="3" s="1"/>
  <c r="BL150" i="3"/>
  <c r="AZ150" i="3" s="1"/>
  <c r="BA152" i="3"/>
  <c r="AZ152" i="3" s="1"/>
  <c r="BA168" i="3"/>
  <c r="AZ168" i="3" s="1"/>
  <c r="BL175" i="3"/>
  <c r="AZ175" i="3" s="1"/>
  <c r="E19" i="6"/>
  <c r="K6" i="1" s="1"/>
  <c r="Q16" i="1" s="1"/>
  <c r="F27" i="69" s="1"/>
  <c r="BL400" i="3"/>
  <c r="AZ400" i="3" s="1"/>
  <c r="BL408" i="3"/>
  <c r="BL411" i="3"/>
  <c r="BL413" i="3"/>
  <c r="AZ413" i="3" s="1"/>
  <c r="BL417" i="3"/>
  <c r="BL418" i="3"/>
  <c r="BL420" i="3"/>
  <c r="BL424" i="3"/>
  <c r="BL428" i="3"/>
  <c r="BL429" i="3"/>
  <c r="BL432" i="3"/>
  <c r="BL435" i="3"/>
  <c r="AZ435" i="3" s="1"/>
  <c r="BL436" i="3"/>
  <c r="BA439" i="3"/>
  <c r="BA440" i="3"/>
  <c r="AZ440" i="3" s="1"/>
  <c r="BA442" i="3"/>
  <c r="BA445" i="3"/>
  <c r="BA447" i="3"/>
  <c r="AZ447" i="3" s="1"/>
  <c r="BA449" i="3"/>
  <c r="BL453" i="3"/>
  <c r="BL454" i="3"/>
  <c r="AZ454" i="3" s="1"/>
  <c r="BL459" i="3"/>
  <c r="AZ459" i="3" s="1"/>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AZ294" i="3" s="1"/>
  <c r="BA297" i="3"/>
  <c r="AZ297" i="3" s="1"/>
  <c r="BL297" i="3"/>
  <c r="BL300" i="3"/>
  <c r="BA302" i="3"/>
  <c r="AZ302" i="3" s="1"/>
  <c r="G115" i="3"/>
  <c r="BA116" i="3"/>
  <c r="AZ116" i="3" s="1"/>
  <c r="BA121" i="3"/>
  <c r="BL121" i="3"/>
  <c r="BL123" i="3"/>
  <c r="AZ123" i="3" s="1"/>
  <c r="G127" i="3"/>
  <c r="BA129" i="3"/>
  <c r="BL133" i="3"/>
  <c r="AZ133" i="3" s="1"/>
  <c r="BL134" i="3"/>
  <c r="BL158" i="3"/>
  <c r="BA194" i="3"/>
  <c r="AZ194" i="3" s="1"/>
  <c r="AZ201" i="3"/>
  <c r="AA25" i="40"/>
  <c r="S25" i="40"/>
  <c r="BL398" i="3"/>
  <c r="AZ398" i="3" s="1"/>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BA429" i="3"/>
  <c r="AZ429" i="3" s="1"/>
  <c r="BA430" i="3"/>
  <c r="AZ430" i="3" s="1"/>
  <c r="BA432" i="3"/>
  <c r="AZ432" i="3" s="1"/>
  <c r="BA434" i="3"/>
  <c r="BA436" i="3"/>
  <c r="BA438" i="3"/>
  <c r="G442" i="3"/>
  <c r="G443" i="3"/>
  <c r="BA446" i="3"/>
  <c r="BA450" i="3"/>
  <c r="BA453" i="3"/>
  <c r="BA455" i="3"/>
  <c r="AZ455" i="3" s="1"/>
  <c r="BL457" i="3"/>
  <c r="AZ457" i="3" s="1"/>
  <c r="BL460" i="3"/>
  <c r="AZ460" i="3" s="1"/>
  <c r="BL461" i="3"/>
  <c r="BL463" i="3"/>
  <c r="G465" i="3"/>
  <c r="BA471" i="3"/>
  <c r="AZ471" i="3" s="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G289" i="3"/>
  <c r="G290" i="3"/>
  <c r="BA296" i="3"/>
  <c r="G126" i="3"/>
  <c r="G136" i="3"/>
  <c r="BA137" i="3"/>
  <c r="AZ137" i="3" s="1"/>
  <c r="BL138" i="3"/>
  <c r="BA140" i="3"/>
  <c r="AZ140" i="3" s="1"/>
  <c r="BA142" i="3"/>
  <c r="G154" i="3"/>
  <c r="G156" i="3"/>
  <c r="BL157" i="3"/>
  <c r="AZ157" i="3" s="1"/>
  <c r="BL159" i="3"/>
  <c r="AZ159" i="3" s="1"/>
  <c r="G160" i="3"/>
  <c r="BL177" i="3"/>
  <c r="AZ177" i="3" s="1"/>
  <c r="G179" i="3"/>
  <c r="BL183" i="3"/>
  <c r="AZ183" i="3" s="1"/>
  <c r="BA186" i="3"/>
  <c r="AZ186" i="3" s="1"/>
  <c r="BA190" i="3"/>
  <c r="AZ190" i="3" s="1"/>
  <c r="G196" i="3"/>
  <c r="BA197" i="3"/>
  <c r="BL201" i="3"/>
  <c r="BL203" i="3"/>
  <c r="AZ203" i="3" s="1"/>
  <c r="BA204" i="3"/>
  <c r="AZ204" i="3" s="1"/>
  <c r="BA18" i="3"/>
  <c r="G21" i="3"/>
  <c r="BL21" i="3"/>
  <c r="G23" i="3"/>
  <c r="G26" i="3"/>
  <c r="BA27" i="3"/>
  <c r="G30" i="3"/>
  <c r="BL30" i="3"/>
  <c r="BL31" i="3"/>
  <c r="BA36" i="3"/>
  <c r="BL38" i="3"/>
  <c r="BA39" i="3"/>
  <c r="AZ39" i="3" s="1"/>
  <c r="BA47" i="3"/>
  <c r="AZ47" i="3" s="1"/>
  <c r="BL52" i="3"/>
  <c r="G53" i="3"/>
  <c r="BL53" i="3"/>
  <c r="AZ53" i="3" s="1"/>
  <c r="BA62" i="3"/>
  <c r="AZ62" i="3" s="1"/>
  <c r="BA66" i="3"/>
  <c r="AZ66" i="3" s="1"/>
  <c r="BL67" i="3"/>
  <c r="BA72" i="3"/>
  <c r="AZ72" i="3" s="1"/>
  <c r="BL76" i="3"/>
  <c r="BL77" i="3"/>
  <c r="AZ77" i="3" s="1"/>
  <c r="AA18" i="36"/>
  <c r="S18" i="36"/>
  <c r="D38" i="71"/>
  <c r="C39" i="71"/>
  <c r="AA34" i="71"/>
  <c r="AA30" i="71"/>
  <c r="T52" i="71"/>
  <c r="D52" i="71"/>
  <c r="V76" i="71"/>
  <c r="F75" i="71"/>
  <c r="F74" i="71" s="1"/>
  <c r="BL167" i="3"/>
  <c r="AZ167" i="3" s="1"/>
  <c r="BL178" i="3"/>
  <c r="BA180" i="3"/>
  <c r="AZ180" i="3" s="1"/>
  <c r="BL182" i="3"/>
  <c r="AZ182" i="3" s="1"/>
  <c r="BA185" i="3"/>
  <c r="BL191" i="3"/>
  <c r="AZ191" i="3" s="1"/>
  <c r="BA193" i="3"/>
  <c r="BA196" i="3"/>
  <c r="AZ196" i="3" s="1"/>
  <c r="BA205" i="3"/>
  <c r="AZ205" i="3" s="1"/>
  <c r="BL20" i="3"/>
  <c r="BA21" i="3"/>
  <c r="AZ21" i="3" s="1"/>
  <c r="BL24" i="3"/>
  <c r="G34" i="3"/>
  <c r="BL44" i="3"/>
  <c r="BA70" i="3"/>
  <c r="AZ70" i="3" s="1"/>
  <c r="D56" i="71"/>
  <c r="T56" i="71"/>
  <c r="E28" i="71"/>
  <c r="AA27" i="71"/>
  <c r="AA28" i="71"/>
  <c r="F34" i="71"/>
  <c r="F35" i="71" s="1"/>
  <c r="F36" i="71" s="1"/>
  <c r="V36" i="71" s="1"/>
  <c r="AB33" i="71"/>
  <c r="BL115" i="3"/>
  <c r="AZ115" i="3" s="1"/>
  <c r="BA118" i="3"/>
  <c r="AZ118" i="3" s="1"/>
  <c r="BL118" i="3"/>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3" i="3"/>
  <c r="G24" i="3"/>
  <c r="BL28" i="3"/>
  <c r="BA29" i="3"/>
  <c r="AZ29" i="3" s="1"/>
  <c r="BL35" i="3"/>
  <c r="G36" i="3"/>
  <c r="G40" i="3"/>
  <c r="BL40" i="3"/>
  <c r="BL41" i="3"/>
  <c r="BA45" i="3"/>
  <c r="AZ45" i="3" s="1"/>
  <c r="BA46" i="3"/>
  <c r="BL47" i="3"/>
  <c r="G50" i="3"/>
  <c r="G52" i="3"/>
  <c r="BA52" i="3"/>
  <c r="AZ52" i="3" s="1"/>
  <c r="BA56" i="3"/>
  <c r="BA57" i="3"/>
  <c r="AZ57" i="3" s="1"/>
  <c r="BL58" i="3"/>
  <c r="BA60" i="3"/>
  <c r="BL62" i="3"/>
  <c r="BL63" i="3"/>
  <c r="AZ63" i="3" s="1"/>
  <c r="BA67" i="3"/>
  <c r="AZ67" i="3" s="1"/>
  <c r="BA71" i="3"/>
  <c r="AZ71" i="3" s="1"/>
  <c r="BL72" i="3"/>
  <c r="BL75" i="3"/>
  <c r="BL103" i="3"/>
  <c r="AZ103" i="3" s="1"/>
  <c r="BA104" i="3"/>
  <c r="G108" i="3"/>
  <c r="Y37" i="71"/>
  <c r="Z37" i="71" s="1"/>
  <c r="Y35" i="71"/>
  <c r="Z35" i="71" s="1"/>
  <c r="Y26" i="71"/>
  <c r="Z26" i="71" s="1"/>
  <c r="X35" i="71"/>
  <c r="X38" i="71"/>
  <c r="X34" i="71"/>
  <c r="X31" i="71"/>
  <c r="X36" i="71"/>
  <c r="AB39" i="71"/>
  <c r="AB34" i="71"/>
  <c r="D67" i="71"/>
  <c r="C66" i="71"/>
  <c r="O67" i="71"/>
  <c r="E35" i="71"/>
  <c r="E36" i="71" s="1"/>
  <c r="U36" i="71" s="1"/>
  <c r="X26" i="71"/>
  <c r="Y29" i="71"/>
  <c r="Z29" i="71" s="1"/>
  <c r="Y30" i="71"/>
  <c r="Z30" i="71" s="1"/>
  <c r="AB31" i="71"/>
  <c r="AB36" i="71"/>
  <c r="AA36" i="71"/>
  <c r="AA37" i="71"/>
  <c r="E38" i="71"/>
  <c r="E39" i="71" s="1"/>
  <c r="E40" i="71" s="1"/>
  <c r="U40" i="71" s="1"/>
  <c r="C60" i="71"/>
  <c r="D59" i="71"/>
  <c r="B67" i="71"/>
  <c r="N68" i="71"/>
  <c r="Y25" i="71"/>
  <c r="Z25" i="71" s="1"/>
  <c r="C23" i="71"/>
  <c r="B22" i="71"/>
  <c r="B21" i="71" s="1"/>
  <c r="B20" i="71" s="1"/>
  <c r="BL25" i="3"/>
  <c r="AZ25" i="3" s="1"/>
  <c r="BL27" i="3"/>
  <c r="AZ27" i="3" s="1"/>
  <c r="BA28" i="3"/>
  <c r="BA31" i="3"/>
  <c r="AZ31" i="3" s="1"/>
  <c r="BA32" i="3"/>
  <c r="G38" i="3"/>
  <c r="BA38" i="3"/>
  <c r="BA41" i="3"/>
  <c r="AZ41" i="3" s="1"/>
  <c r="BA42" i="3"/>
  <c r="G46" i="3"/>
  <c r="G47" i="3"/>
  <c r="BL48" i="3"/>
  <c r="BL54" i="3"/>
  <c r="BL55" i="3"/>
  <c r="AZ55" i="3" s="1"/>
  <c r="G57" i="3"/>
  <c r="G58" i="3"/>
  <c r="BA59" i="3"/>
  <c r="AZ59" i="3" s="1"/>
  <c r="G61" i="3"/>
  <c r="BL61" i="3"/>
  <c r="G64" i="3"/>
  <c r="BA64" i="3"/>
  <c r="AZ64" i="3" s="1"/>
  <c r="G67" i="3"/>
  <c r="BL68" i="3"/>
  <c r="BA69" i="3"/>
  <c r="AZ69" i="3" s="1"/>
  <c r="G72" i="3"/>
  <c r="BL73" i="3"/>
  <c r="BA74" i="3"/>
  <c r="AZ74" i="3" s="1"/>
  <c r="BA75" i="3"/>
  <c r="AZ75" i="3" s="1"/>
  <c r="BA78" i="3"/>
  <c r="BA80" i="3"/>
  <c r="G84" i="3"/>
  <c r="BL84" i="3"/>
  <c r="BA89" i="3"/>
  <c r="BL92" i="3"/>
  <c r="BL94" i="3"/>
  <c r="AZ94" i="3" s="1"/>
  <c r="BL99" i="3"/>
  <c r="G101" i="3"/>
  <c r="BA101" i="3"/>
  <c r="BA102" i="3"/>
  <c r="BL110" i="3"/>
  <c r="BL111" i="3"/>
  <c r="AZ111" i="3" s="1"/>
  <c r="B88" i="43"/>
  <c r="D51" i="71"/>
  <c r="D63" i="71"/>
  <c r="C28" i="71"/>
  <c r="Y28" i="71"/>
  <c r="Z28" i="71" s="1"/>
  <c r="T72" i="71"/>
  <c r="C71" i="71"/>
  <c r="T80" i="71"/>
  <c r="C79" i="71"/>
  <c r="G45" i="3"/>
  <c r="BL45" i="3"/>
  <c r="BA48" i="3"/>
  <c r="BA49" i="3"/>
  <c r="AZ49" i="3" s="1"/>
  <c r="BA51" i="3"/>
  <c r="AZ51" i="3" s="1"/>
  <c r="G54" i="3"/>
  <c r="BL56" i="3"/>
  <c r="BA58" i="3"/>
  <c r="BL59" i="3"/>
  <c r="BL60" i="3"/>
  <c r="BA61" i="3"/>
  <c r="AZ61" i="3" s="1"/>
  <c r="BA68" i="3"/>
  <c r="BA73" i="3"/>
  <c r="BA79" i="3"/>
  <c r="AZ79" i="3" s="1"/>
  <c r="G82" i="3"/>
  <c r="G83" i="3"/>
  <c r="BA84" i="3"/>
  <c r="BL88" i="3"/>
  <c r="AZ88" i="3" s="1"/>
  <c r="G90" i="3"/>
  <c r="BL90" i="3"/>
  <c r="G98" i="3"/>
  <c r="G99" i="3"/>
  <c r="BA105" i="3"/>
  <c r="AZ105" i="3" s="1"/>
  <c r="BA106" i="3"/>
  <c r="BL108" i="3"/>
  <c r="G110" i="3"/>
  <c r="BL112" i="3"/>
  <c r="W21" i="21"/>
  <c r="AC21" i="21"/>
  <c r="W21" i="37"/>
  <c r="AC21" i="37"/>
  <c r="P27" i="6"/>
  <c r="D31" i="71"/>
  <c r="P65" i="71"/>
  <c r="P66" i="71"/>
  <c r="B27" i="71"/>
  <c r="B26" i="71" s="1"/>
  <c r="S28" i="71"/>
  <c r="F30" i="71"/>
  <c r="F31" i="71" s="1"/>
  <c r="F32" i="71" s="1"/>
  <c r="V32" i="71" s="1"/>
  <c r="AB26" i="71"/>
  <c r="AB27" i="71"/>
  <c r="AB32" i="71"/>
  <c r="AA35" i="71"/>
  <c r="B47" i="71"/>
  <c r="B48" i="71" s="1"/>
  <c r="S48" i="71" s="1"/>
  <c r="E51" i="71"/>
  <c r="E52" i="71" s="1"/>
  <c r="U52" i="71" s="1"/>
  <c r="U76" i="71"/>
  <c r="E75" i="71"/>
  <c r="E74" i="71" s="1"/>
  <c r="U80" i="71"/>
  <c r="E79" i="71"/>
  <c r="E78" i="71" s="1"/>
  <c r="X25" i="71"/>
  <c r="V24" i="71"/>
  <c r="E23" i="71"/>
  <c r="E22" i="71" s="1"/>
  <c r="E21" i="71" s="1"/>
  <c r="E20" i="71" s="1"/>
  <c r="E19" i="71" s="1"/>
  <c r="E18" i="71" s="1"/>
  <c r="E17" i="71" s="1"/>
  <c r="E16" i="71" s="1"/>
  <c r="G81" i="3"/>
  <c r="G85" i="3"/>
  <c r="BL85" i="3"/>
  <c r="BA86" i="3"/>
  <c r="AZ86" i="3" s="1"/>
  <c r="BA87" i="3"/>
  <c r="BA91" i="3"/>
  <c r="AZ91" i="3" s="1"/>
  <c r="G96" i="3"/>
  <c r="BL97" i="3"/>
  <c r="AZ97" i="3" s="1"/>
  <c r="BL101" i="3"/>
  <c r="BL102" i="3"/>
  <c r="G104" i="3"/>
  <c r="G105" i="3"/>
  <c r="BL106" i="3"/>
  <c r="BA108" i="3"/>
  <c r="AZ108" i="3" s="1"/>
  <c r="BA110" i="3"/>
  <c r="AZ110" i="3" s="1"/>
  <c r="F3" i="35"/>
  <c r="B77" i="43"/>
  <c r="AA18" i="35"/>
  <c r="C87" i="71"/>
  <c r="AB25" i="71"/>
  <c r="C43" i="71"/>
  <c r="C35" i="71"/>
  <c r="X33" i="71"/>
  <c r="AB37" i="71"/>
  <c r="X28" i="71"/>
  <c r="X32" i="71"/>
  <c r="F40" i="71"/>
  <c r="V40" i="71" s="1"/>
  <c r="AB38" i="71"/>
  <c r="C40" i="11"/>
  <c r="S9" i="39"/>
  <c r="C40" i="68"/>
  <c r="H32" i="39"/>
  <c r="AB32" i="39" s="1"/>
  <c r="C18" i="9"/>
  <c r="D18" i="9" s="1"/>
  <c r="AA27" i="39"/>
  <c r="H123" i="39"/>
  <c r="I123" i="39" s="1"/>
  <c r="J123" i="39" s="1"/>
  <c r="K123" i="39" s="1"/>
  <c r="L123" i="39" s="1"/>
  <c r="M123" i="39" s="1"/>
  <c r="J41" i="39"/>
  <c r="W41" i="39" s="1"/>
  <c r="F41" i="39"/>
  <c r="S41" i="39" s="1"/>
  <c r="H41" i="39"/>
  <c r="AB41" i="39" s="1"/>
  <c r="U40" i="39"/>
  <c r="S40" i="39"/>
  <c r="W40" i="39"/>
  <c r="U42" i="39"/>
  <c r="S42" i="39"/>
  <c r="AC41" i="39"/>
  <c r="AC32" i="39"/>
  <c r="S32" i="39"/>
  <c r="AC31" i="39"/>
  <c r="U31" i="39"/>
  <c r="S31" i="39"/>
  <c r="W29" i="39"/>
  <c r="U29" i="39"/>
  <c r="W27" i="39"/>
  <c r="AB27" i="39"/>
  <c r="AC25" i="39"/>
  <c r="U25" i="39"/>
  <c r="AA23" i="39"/>
  <c r="AB21" i="39"/>
  <c r="S21" i="39"/>
  <c r="W19" i="39"/>
  <c r="W9" i="39"/>
  <c r="AB8" i="39"/>
  <c r="H5" i="3"/>
  <c r="C21" i="68"/>
  <c r="J1" i="73"/>
  <c r="C7" i="40"/>
  <c r="C63" i="40" s="1"/>
  <c r="C7" i="39"/>
  <c r="C67" i="39" s="1"/>
  <c r="C7" i="34"/>
  <c r="J51" i="15"/>
  <c r="G23" i="43"/>
  <c r="C23" i="43" s="1"/>
  <c r="F8" i="1"/>
  <c r="G44" i="43"/>
  <c r="H69" i="43"/>
  <c r="C40" i="69"/>
  <c r="E19" i="68"/>
  <c r="G22" i="68"/>
  <c r="G22" i="69"/>
  <c r="G22" i="11"/>
  <c r="E1" i="73"/>
  <c r="G16" i="3"/>
  <c r="BL15" i="3"/>
  <c r="AZ15" i="3" s="1"/>
  <c r="AZ14" i="3"/>
  <c r="BL16" i="3"/>
  <c r="AZ16" i="3" s="1"/>
  <c r="F29" i="6"/>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D9" i="68"/>
  <c r="F13" i="15"/>
  <c r="D3" i="73"/>
  <c r="L47" i="15"/>
  <c r="F37" i="15"/>
  <c r="M6" i="15"/>
  <c r="F26" i="15"/>
  <c r="L48" i="15"/>
  <c r="D6" i="73"/>
  <c r="M9" i="15"/>
  <c r="C76" i="15"/>
  <c r="F40" i="15"/>
  <c r="M29" i="15"/>
  <c r="C16" i="67"/>
  <c r="M24" i="15"/>
  <c r="F9" i="15"/>
  <c r="F43" i="15"/>
  <c r="M8" i="15"/>
  <c r="D5" i="73"/>
  <c r="F7" i="15"/>
  <c r="F42" i="15"/>
  <c r="L48" i="83"/>
  <c r="M26" i="15"/>
  <c r="F16" i="15"/>
  <c r="M23" i="15"/>
  <c r="D4" i="73"/>
  <c r="F8" i="15"/>
  <c r="D7" i="73"/>
  <c r="F36" i="15"/>
  <c r="M22" i="15"/>
  <c r="J15" i="15"/>
  <c r="F6" i="15"/>
  <c r="M28" i="15"/>
  <c r="F38" i="15"/>
  <c r="C19" i="82" l="1"/>
  <c r="C20" i="82" s="1"/>
  <c r="C26" i="82" s="1"/>
  <c r="L57" i="83"/>
  <c r="L60" i="83"/>
  <c r="L56" i="83"/>
  <c r="J53" i="83"/>
  <c r="I54" i="83"/>
  <c r="J57" i="83"/>
  <c r="J55" i="83" s="1"/>
  <c r="J58" i="83" s="1"/>
  <c r="Q50" i="83" s="1"/>
  <c r="L58" i="83"/>
  <c r="G8" i="1"/>
  <c r="Q60" i="82"/>
  <c r="Q73" i="82"/>
  <c r="F1" i="82"/>
  <c r="Q52" i="82"/>
  <c r="Q57" i="82"/>
  <c r="Q66" i="82"/>
  <c r="M11" i="83"/>
  <c r="J10" i="83" s="1"/>
  <c r="J5" i="83" s="1"/>
  <c r="F11" i="83"/>
  <c r="M11" i="82"/>
  <c r="J10" i="82" s="1"/>
  <c r="J5" i="82" s="1"/>
  <c r="F11" i="82"/>
  <c r="F51" i="15"/>
  <c r="F66" i="15"/>
  <c r="C27" i="15"/>
  <c r="F65" i="15"/>
  <c r="Q71" i="15"/>
  <c r="L58" i="15"/>
  <c r="Q60" i="15" s="1"/>
  <c r="F68" i="15"/>
  <c r="F64" i="15"/>
  <c r="J53" i="15"/>
  <c r="L56" i="15" s="1"/>
  <c r="H16" i="1"/>
  <c r="M6" i="1"/>
  <c r="E59" i="40"/>
  <c r="F71" i="15"/>
  <c r="M7" i="15"/>
  <c r="J6" i="15" s="1"/>
  <c r="J18" i="15" s="1"/>
  <c r="C6" i="15"/>
  <c r="C32" i="15" s="1"/>
  <c r="F50" i="15"/>
  <c r="AA19" i="39"/>
  <c r="S19" i="39"/>
  <c r="T28" i="71"/>
  <c r="C27" i="71"/>
  <c r="D28" i="71"/>
  <c r="U28" i="71" s="1"/>
  <c r="AZ422" i="3"/>
  <c r="C82" i="71"/>
  <c r="D82" i="71" s="1"/>
  <c r="D83" i="71"/>
  <c r="AC9" i="34"/>
  <c r="W9" i="34"/>
  <c r="U39" i="37"/>
  <c r="AB39" i="37"/>
  <c r="S47" i="34"/>
  <c r="AA47" i="34"/>
  <c r="AC13" i="21"/>
  <c r="W13" i="21"/>
  <c r="W33" i="40"/>
  <c r="AC33" i="40"/>
  <c r="U39" i="40"/>
  <c r="AB39" i="40"/>
  <c r="AC12" i="40"/>
  <c r="W12" i="40"/>
  <c r="U13" i="39"/>
  <c r="AB13" i="39"/>
  <c r="W28" i="37"/>
  <c r="AC28" i="37"/>
  <c r="AB12" i="36"/>
  <c r="U12" i="36"/>
  <c r="AA29" i="34"/>
  <c r="S29" i="34"/>
  <c r="AA30" i="33"/>
  <c r="S30" i="33"/>
  <c r="AA28" i="34"/>
  <c r="S28" i="34"/>
  <c r="U44" i="21"/>
  <c r="AB44" i="21"/>
  <c r="AA41" i="39"/>
  <c r="C86" i="71"/>
  <c r="D86" i="71" s="1"/>
  <c r="D87" i="71"/>
  <c r="D71" i="71"/>
  <c r="C70" i="71"/>
  <c r="D70" i="71" s="1"/>
  <c r="B19" i="71"/>
  <c r="B18" i="71" s="1"/>
  <c r="B17" i="71" s="1"/>
  <c r="B16" i="71" s="1"/>
  <c r="S20" i="71"/>
  <c r="N67" i="71"/>
  <c r="B66" i="71"/>
  <c r="AZ38" i="3"/>
  <c r="AZ353" i="3"/>
  <c r="AZ428" i="3"/>
  <c r="AZ121" i="3"/>
  <c r="AZ244" i="3"/>
  <c r="AZ239" i="3"/>
  <c r="AP6" i="1"/>
  <c r="C36" i="69" s="1"/>
  <c r="AZ249" i="3"/>
  <c r="AZ218" i="3"/>
  <c r="AZ332" i="3"/>
  <c r="AA43" i="39"/>
  <c r="S43" i="39"/>
  <c r="AC39" i="37"/>
  <c r="W39" i="37"/>
  <c r="U47" i="34"/>
  <c r="AB47" i="34"/>
  <c r="U13" i="21"/>
  <c r="AB13" i="21"/>
  <c r="AA27" i="21"/>
  <c r="S27" i="21"/>
  <c r="AC39" i="40"/>
  <c r="W39" i="40"/>
  <c r="AC13" i="35"/>
  <c r="W13" i="35"/>
  <c r="W46" i="33"/>
  <c r="AC46" i="33"/>
  <c r="W12" i="33"/>
  <c r="AC12" i="33"/>
  <c r="AB29" i="21"/>
  <c r="U29" i="21"/>
  <c r="AA37" i="39"/>
  <c r="S37" i="39"/>
  <c r="AA12" i="36"/>
  <c r="S12" i="36"/>
  <c r="C36" i="71"/>
  <c r="D35" i="71"/>
  <c r="AZ84" i="3"/>
  <c r="AZ102" i="3"/>
  <c r="AZ28" i="3"/>
  <c r="D23" i="71"/>
  <c r="C22" i="71"/>
  <c r="O65" i="71"/>
  <c r="O66" i="71"/>
  <c r="D66" i="71"/>
  <c r="C40" i="71"/>
  <c r="D39" i="71"/>
  <c r="AZ274" i="3"/>
  <c r="AZ453" i="3"/>
  <c r="AZ417" i="3"/>
  <c r="AZ282" i="3"/>
  <c r="AZ397" i="3"/>
  <c r="AZ550" i="3"/>
  <c r="AC38" i="40"/>
  <c r="W38" i="40"/>
  <c r="AC43" i="39"/>
  <c r="W43" i="39"/>
  <c r="AA13" i="34"/>
  <c r="S13" i="34"/>
  <c r="AA45" i="21"/>
  <c r="S45" i="21"/>
  <c r="U33" i="40"/>
  <c r="AB33" i="40"/>
  <c r="AA12" i="40"/>
  <c r="S12" i="40"/>
  <c r="AB36" i="35"/>
  <c r="U36" i="35"/>
  <c r="AB34" i="36"/>
  <c r="U34" i="36"/>
  <c r="U13" i="35"/>
  <c r="AB13" i="35"/>
  <c r="AA46" i="33"/>
  <c r="S46" i="33"/>
  <c r="W29" i="21"/>
  <c r="AC29" i="21"/>
  <c r="AB24" i="36"/>
  <c r="U24" i="36"/>
  <c r="AC12" i="36"/>
  <c r="W12" i="36"/>
  <c r="G5" i="3"/>
  <c r="B3" i="3" s="1"/>
  <c r="E539" i="3" s="1"/>
  <c r="C44" i="71"/>
  <c r="D43" i="71"/>
  <c r="AZ58" i="3"/>
  <c r="C78" i="71"/>
  <c r="D78" i="71" s="1"/>
  <c r="D79" i="71"/>
  <c r="AZ101" i="3"/>
  <c r="T60" i="71"/>
  <c r="D60" i="71"/>
  <c r="AZ197" i="3"/>
  <c r="AZ243" i="3"/>
  <c r="U12" i="34"/>
  <c r="AB12" i="34"/>
  <c r="F92" i="39"/>
  <c r="G92" i="39" s="1"/>
  <c r="H19" i="39"/>
  <c r="W13" i="34"/>
  <c r="AC13" i="34"/>
  <c r="AA33" i="40"/>
  <c r="S33" i="40"/>
  <c r="U12" i="40"/>
  <c r="AB12" i="40"/>
  <c r="S13" i="39"/>
  <c r="AA13" i="39"/>
  <c r="AA23" i="36"/>
  <c r="S23" i="36"/>
  <c r="AB29" i="34"/>
  <c r="U29" i="34"/>
  <c r="U30" i="33"/>
  <c r="AB30" i="33"/>
  <c r="W28" i="34"/>
  <c r="AC28" i="34"/>
  <c r="AA44" i="21"/>
  <c r="S44" i="21"/>
  <c r="AC24" i="36"/>
  <c r="W24" i="36"/>
  <c r="I54" i="15"/>
  <c r="N59" i="15"/>
  <c r="L59" i="15"/>
  <c r="Q74" i="15" s="1"/>
  <c r="J57" i="15"/>
  <c r="J55" i="15" s="1"/>
  <c r="J58" i="15" s="1"/>
  <c r="Q50" i="15" s="1"/>
  <c r="M59" i="15"/>
  <c r="U32" i="39"/>
  <c r="U41" i="39"/>
  <c r="G16" i="1"/>
  <c r="F10" i="39" s="1"/>
  <c r="S10" i="39" s="1"/>
  <c r="J7" i="37"/>
  <c r="K16" i="1"/>
  <c r="B29" i="1" s="1"/>
  <c r="C8" i="68" s="1"/>
  <c r="P6" i="1"/>
  <c r="C13" i="12" s="1"/>
  <c r="K1" i="73"/>
  <c r="E442" i="3"/>
  <c r="E517" i="3"/>
  <c r="E409" i="3"/>
  <c r="E310" i="3"/>
  <c r="E68" i="3"/>
  <c r="E309" i="3"/>
  <c r="AL6" i="3"/>
  <c r="E129" i="3"/>
  <c r="AF6" i="3"/>
  <c r="E308" i="3"/>
  <c r="E173" i="3"/>
  <c r="T6" i="3"/>
  <c r="E408" i="3"/>
  <c r="E556" i="3"/>
  <c r="E420" i="3"/>
  <c r="E41" i="3"/>
  <c r="E356" i="3"/>
  <c r="E428" i="3"/>
  <c r="E220" i="3"/>
  <c r="E324" i="3"/>
  <c r="E232" i="3"/>
  <c r="E80" i="3"/>
  <c r="E83" i="3"/>
  <c r="E329" i="3"/>
  <c r="E223" i="3"/>
  <c r="E116" i="3"/>
  <c r="E493" i="3"/>
  <c r="E564" i="3"/>
  <c r="E486" i="3"/>
  <c r="E507" i="3"/>
  <c r="E490" i="3"/>
  <c r="E376" i="3"/>
  <c r="E498" i="3"/>
  <c r="E419" i="3"/>
  <c r="E40" i="3"/>
  <c r="E25" i="3"/>
  <c r="E178" i="3"/>
  <c r="E202" i="3"/>
  <c r="E226" i="3"/>
  <c r="E346" i="3"/>
  <c r="E333" i="3"/>
  <c r="E372"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F36" i="6" s="1"/>
  <c r="E36" i="6" s="1"/>
  <c r="E51" i="40"/>
  <c r="E16" i="6"/>
  <c r="E58" i="40"/>
  <c r="E62" i="39"/>
  <c r="M14" i="1"/>
  <c r="D5" i="43"/>
  <c r="J10" i="39"/>
  <c r="W10" i="39" s="1"/>
  <c r="C7" i="43"/>
  <c r="C5" i="43" s="1"/>
  <c r="D10" i="52"/>
  <c r="D125" i="9"/>
  <c r="D11" i="52"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12" i="1"/>
  <c r="AE10" i="1"/>
  <c r="F41" i="67"/>
  <c r="C16" i="15"/>
  <c r="G1" i="73"/>
  <c r="AE7" i="1"/>
  <c r="Q52" i="83" l="1"/>
  <c r="F1" i="83"/>
  <c r="Q73" i="83"/>
  <c r="Q60" i="83"/>
  <c r="Q66" i="83"/>
  <c r="Q57" i="83"/>
  <c r="AA10" i="39"/>
  <c r="Q52" i="15"/>
  <c r="C53" i="83"/>
  <c r="C48" i="83" s="1"/>
  <c r="C10" i="83"/>
  <c r="C5" i="83" s="1"/>
  <c r="J24" i="83"/>
  <c r="J26" i="83"/>
  <c r="C53" i="82"/>
  <c r="C48" i="82" s="1"/>
  <c r="C10" i="82"/>
  <c r="C5" i="82" s="1"/>
  <c r="J24" i="82"/>
  <c r="J26" i="82"/>
  <c r="Q73" i="15"/>
  <c r="F1" i="15"/>
  <c r="C49" i="15"/>
  <c r="E463" i="3"/>
  <c r="J6" i="3"/>
  <c r="E440" i="3"/>
  <c r="E427" i="3"/>
  <c r="E393" i="3"/>
  <c r="E188" i="3"/>
  <c r="E326" i="3"/>
  <c r="E49" i="3"/>
  <c r="E190" i="3"/>
  <c r="E225" i="3"/>
  <c r="E470" i="3"/>
  <c r="E512" i="3"/>
  <c r="E197" i="3"/>
  <c r="E251" i="3"/>
  <c r="E391" i="3"/>
  <c r="E233" i="3"/>
  <c r="E544" i="3"/>
  <c r="E575" i="3"/>
  <c r="L6" i="3"/>
  <c r="E276" i="3"/>
  <c r="E108" i="3"/>
  <c r="E401" i="3"/>
  <c r="AH6" i="3"/>
  <c r="AC6" i="3" s="1"/>
  <c r="E422" i="3"/>
  <c r="E543" i="3"/>
  <c r="E105" i="3"/>
  <c r="E16" i="3"/>
  <c r="E158" i="3"/>
  <c r="E35" i="3"/>
  <c r="E412" i="3"/>
  <c r="E115" i="3"/>
  <c r="E497" i="3"/>
  <c r="E405" i="3"/>
  <c r="E22" i="3"/>
  <c r="E235" i="3"/>
  <c r="E21" i="3"/>
  <c r="E492" i="3"/>
  <c r="E95" i="3"/>
  <c r="Q61" i="15"/>
  <c r="E370" i="3"/>
  <c r="E342" i="3"/>
  <c r="E78" i="3"/>
  <c r="E243" i="3"/>
  <c r="E104" i="3"/>
  <c r="E452" i="3"/>
  <c r="E360" i="3"/>
  <c r="E469" i="3"/>
  <c r="E534" i="3"/>
  <c r="E140" i="3"/>
  <c r="E287" i="3"/>
  <c r="E86" i="3"/>
  <c r="E18" i="3"/>
  <c r="E332" i="3"/>
  <c r="E264" i="3"/>
  <c r="E184" i="3"/>
  <c r="E267" i="3"/>
  <c r="E241" i="3"/>
  <c r="E554" i="3"/>
  <c r="E212" i="3"/>
  <c r="E26" i="3"/>
  <c r="E13" i="3"/>
  <c r="E451" i="3"/>
  <c r="E456" i="3"/>
  <c r="E525" i="3"/>
  <c r="E205" i="3"/>
  <c r="E102" i="3"/>
  <c r="E522" i="3"/>
  <c r="E482" i="3"/>
  <c r="E494" i="3"/>
  <c r="E63" i="3"/>
  <c r="E144" i="3"/>
  <c r="E64" i="3"/>
  <c r="E152" i="3"/>
  <c r="E449" i="3"/>
  <c r="J5" i="15"/>
  <c r="J24" i="15" s="1"/>
  <c r="F10" i="40"/>
  <c r="S10" i="40" s="1"/>
  <c r="H10" i="39"/>
  <c r="U10" i="39" s="1"/>
  <c r="H10" i="40"/>
  <c r="AB10" i="40" s="1"/>
  <c r="J10" i="40"/>
  <c r="AC10" i="40" s="1"/>
  <c r="E34" i="3"/>
  <c r="E174" i="3"/>
  <c r="E75" i="3"/>
  <c r="E198" i="3"/>
  <c r="E283" i="3"/>
  <c r="E381" i="3"/>
  <c r="E67" i="3"/>
  <c r="E46" i="3"/>
  <c r="E389" i="3"/>
  <c r="E417" i="3"/>
  <c r="E466" i="3"/>
  <c r="E536" i="3"/>
  <c r="O6" i="1"/>
  <c r="E113" i="3"/>
  <c r="E206" i="3"/>
  <c r="E383" i="3"/>
  <c r="E96" i="3"/>
  <c r="E42" i="3"/>
  <c r="E281" i="3"/>
  <c r="E513" i="3"/>
  <c r="E81" i="3"/>
  <c r="E355" i="3"/>
  <c r="E33" i="3"/>
  <c r="E249" i="3"/>
  <c r="E484" i="3"/>
  <c r="E292" i="3"/>
  <c r="E479" i="3"/>
  <c r="E255" i="3"/>
  <c r="E499" i="3"/>
  <c r="E84" i="3"/>
  <c r="E371" i="3"/>
  <c r="E160" i="3"/>
  <c r="E467" i="3"/>
  <c r="E59" i="3"/>
  <c r="E349" i="3"/>
  <c r="E258" i="3"/>
  <c r="E37" i="3"/>
  <c r="E491" i="3"/>
  <c r="AP6" i="3"/>
  <c r="E430" i="3"/>
  <c r="E502" i="3"/>
  <c r="E286" i="3"/>
  <c r="E510" i="3"/>
  <c r="E23" i="3"/>
  <c r="E300" i="3"/>
  <c r="E103" i="3"/>
  <c r="E425" i="3"/>
  <c r="E76" i="3"/>
  <c r="E363" i="3"/>
  <c r="E192" i="3"/>
  <c r="E56" i="3"/>
  <c r="E435" i="3"/>
  <c r="I3" i="6"/>
  <c r="E541" i="3"/>
  <c r="R6" i="3"/>
  <c r="E199" i="3"/>
  <c r="D36" i="71"/>
  <c r="T36" i="71"/>
  <c r="C26" i="71"/>
  <c r="D26" i="71" s="1"/>
  <c r="D27" i="71"/>
  <c r="AB19" i="39"/>
  <c r="U19" i="39"/>
  <c r="T44" i="71"/>
  <c r="D44" i="71"/>
  <c r="T40" i="71"/>
  <c r="D40" i="71"/>
  <c r="D22" i="71"/>
  <c r="C21" i="71"/>
  <c r="N65" i="71"/>
  <c r="N66" i="71"/>
  <c r="F67" i="39"/>
  <c r="H6" i="3"/>
  <c r="E3" i="6"/>
  <c r="B40" i="1"/>
  <c r="F24" i="8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8" i="39"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M27" i="15"/>
  <c r="M27" i="67"/>
  <c r="AE8" i="1"/>
  <c r="AE6" i="1"/>
  <c r="C48" i="15" l="1"/>
  <c r="C66" i="15" s="1"/>
  <c r="U10" i="40"/>
  <c r="AB10" i="39"/>
  <c r="C38" i="83"/>
  <c r="C24" i="83"/>
  <c r="C23" i="83"/>
  <c r="C66" i="83"/>
  <c r="C60" i="83"/>
  <c r="C38" i="82"/>
  <c r="L36" i="43"/>
  <c r="L37" i="43" s="1"/>
  <c r="P37" i="43" s="1"/>
  <c r="F24" i="82"/>
  <c r="C66" i="82"/>
  <c r="C60" i="82"/>
  <c r="W10" i="40"/>
  <c r="E6" i="3"/>
  <c r="AA10" i="40"/>
  <c r="O16" i="1"/>
  <c r="D21" i="71"/>
  <c r="C20" i="71"/>
  <c r="J38" i="39"/>
  <c r="F38" i="39"/>
  <c r="H38" i="39"/>
  <c r="B14" i="74"/>
  <c r="B1" i="74" s="1"/>
  <c r="F22" i="68"/>
  <c r="C44" i="68" s="1"/>
  <c r="D41" i="68" s="1"/>
  <c r="E49" i="34"/>
  <c r="F24" i="15"/>
  <c r="C24" i="15" s="1"/>
  <c r="F24" i="67"/>
  <c r="C24" i="67" s="1"/>
  <c r="F25" i="12"/>
  <c r="C26" i="12" s="1"/>
  <c r="D25" i="12" s="1"/>
  <c r="F22" i="69"/>
  <c r="F41" i="69" s="1"/>
  <c r="F22" i="11"/>
  <c r="C24" i="11"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F41" i="15"/>
  <c r="F41" i="82"/>
  <c r="C17" i="67"/>
  <c r="C14" i="67"/>
  <c r="F41" i="83"/>
  <c r="C17" i="15"/>
  <c r="F69" i="15" l="1"/>
  <c r="J29" i="83"/>
  <c r="F69" i="83"/>
  <c r="F69" i="82"/>
  <c r="J29" i="82"/>
  <c r="C29" i="83"/>
  <c r="J14" i="83" s="1"/>
  <c r="O37" i="43"/>
  <c r="P36" i="43"/>
  <c r="Q37" i="43"/>
  <c r="M36" i="43"/>
  <c r="M37" i="43"/>
  <c r="N36" i="43"/>
  <c r="N37" i="43"/>
  <c r="Q36" i="43"/>
  <c r="O36" i="43"/>
  <c r="C24" i="82"/>
  <c r="C23" i="82"/>
  <c r="H22" i="6"/>
  <c r="D30" i="6"/>
  <c r="H21" i="6"/>
  <c r="AA38" i="39"/>
  <c r="S38" i="39"/>
  <c r="W38" i="39"/>
  <c r="AC38" i="39"/>
  <c r="D20" i="71"/>
  <c r="U20" i="71" s="1"/>
  <c r="C19" i="71"/>
  <c r="T20" i="71"/>
  <c r="AB38" i="39"/>
  <c r="U38" i="39"/>
  <c r="F41" i="68"/>
  <c r="C14" i="74"/>
  <c r="B2" i="74" s="1"/>
  <c r="C26" i="68"/>
  <c r="D22" i="68" s="1"/>
  <c r="H25" i="6"/>
  <c r="R25" i="6" s="1"/>
  <c r="R12" i="1" s="1"/>
  <c r="C26" i="11"/>
  <c r="D22" i="11" s="1"/>
  <c r="C23" i="11"/>
  <c r="C44" i="11"/>
  <c r="D41" i="11" s="1"/>
  <c r="C25" i="11"/>
  <c r="C44" i="69"/>
  <c r="D41" i="69" s="1"/>
  <c r="C26" i="69"/>
  <c r="D22"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M21" i="83"/>
  <c r="F35" i="83"/>
  <c r="J59" i="83" l="1"/>
  <c r="J60" i="83" s="1"/>
  <c r="C36" i="83"/>
  <c r="Q49" i="83"/>
  <c r="C57" i="83"/>
  <c r="C64" i="83" s="1"/>
  <c r="C13" i="83"/>
  <c r="Q70" i="83" s="1"/>
  <c r="J20" i="83"/>
  <c r="J17" i="83" s="1"/>
  <c r="F63" i="83"/>
  <c r="C62" i="83" s="1"/>
  <c r="C59" i="83" s="1"/>
  <c r="C34" i="83"/>
  <c r="C31" i="83" s="1"/>
  <c r="Q48" i="83"/>
  <c r="L46" i="83"/>
  <c r="J13" i="83"/>
  <c r="J23" i="83" s="1"/>
  <c r="J22" i="83"/>
  <c r="C29" i="82"/>
  <c r="Q49" i="82" s="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I69" i="39"/>
  <c r="J67" i="39"/>
  <c r="I63" i="40"/>
  <c r="H65" i="40"/>
  <c r="I58" i="21"/>
  <c r="J58" i="21" s="1"/>
  <c r="K58" i="21" s="1"/>
  <c r="L58" i="21" s="1"/>
  <c r="M58" i="21" s="1"/>
  <c r="N58" i="21" s="1"/>
  <c r="O58" i="21" s="1"/>
  <c r="H7" i="21" s="1"/>
  <c r="J48" i="35"/>
  <c r="C37" i="83" l="1"/>
  <c r="C75" i="83"/>
  <c r="C56" i="83"/>
  <c r="C65" i="83" s="1"/>
  <c r="C58" i="83" s="1"/>
  <c r="C67" i="83" s="1"/>
  <c r="C68" i="83" s="1"/>
  <c r="C30" i="83"/>
  <c r="C39" i="83" s="1"/>
  <c r="I39" i="83" s="1"/>
  <c r="J59" i="82"/>
  <c r="J60" i="82" s="1"/>
  <c r="Q48" i="82" s="1"/>
  <c r="J16" i="83"/>
  <c r="J25" i="83" s="1"/>
  <c r="C13" i="82"/>
  <c r="C37" i="82" s="1"/>
  <c r="J14" i="82"/>
  <c r="J13" i="82" s="1"/>
  <c r="J23" i="82" s="1"/>
  <c r="C36" i="82"/>
  <c r="C57" i="82"/>
  <c r="C64" i="82" s="1"/>
  <c r="C11" i="39"/>
  <c r="G3" i="43"/>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L51" i="83"/>
  <c r="C75" i="82" l="1"/>
  <c r="Q70" i="82"/>
  <c r="C40" i="83"/>
  <c r="Q65" i="83" s="1"/>
  <c r="Q75" i="83" s="1"/>
  <c r="Q69" i="83"/>
  <c r="Q68" i="83" s="1"/>
  <c r="C80" i="83"/>
  <c r="C79" i="83" s="1"/>
  <c r="L46" i="82"/>
  <c r="Q67" i="83"/>
  <c r="C56" i="82"/>
  <c r="C65" i="82" s="1"/>
  <c r="C71" i="83"/>
  <c r="J22" i="82"/>
  <c r="D17" i="71"/>
  <c r="C16" i="71"/>
  <c r="H26" i="43"/>
  <c r="J26" i="43"/>
  <c r="N94" i="46"/>
  <c r="E26" i="43"/>
  <c r="Z7" i="43"/>
  <c r="N370" i="46"/>
  <c r="G26" i="43"/>
  <c r="F26" i="43"/>
  <c r="B116" i="43"/>
  <c r="J11" i="39"/>
  <c r="H11" i="39"/>
  <c r="F11" i="39"/>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82"/>
  <c r="F35" i="15"/>
  <c r="F35" i="67"/>
  <c r="M21" i="67"/>
  <c r="F35" i="82"/>
  <c r="Q47" i="83" l="1"/>
  <c r="Q53" i="83" s="1"/>
  <c r="C46" i="83"/>
  <c r="B2" i="83"/>
  <c r="B3" i="83" s="1"/>
  <c r="C83" i="83"/>
  <c r="C82" i="83" s="1"/>
  <c r="C43" i="83"/>
  <c r="Q56" i="83"/>
  <c r="Q62" i="83" s="1"/>
  <c r="C34" i="82"/>
  <c r="C31" i="82" s="1"/>
  <c r="C30" i="82" s="1"/>
  <c r="C39" i="82" s="1"/>
  <c r="F63" i="82"/>
  <c r="C62" i="82" s="1"/>
  <c r="C59" i="82" s="1"/>
  <c r="C58" i="82" s="1"/>
  <c r="C67" i="82" s="1"/>
  <c r="C68" i="82" s="1"/>
  <c r="J20" i="82"/>
  <c r="J17" i="82" s="1"/>
  <c r="J16" i="82" s="1"/>
  <c r="J25" i="82" s="1"/>
  <c r="W11" i="39"/>
  <c r="AC11" i="39"/>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S11" i="39"/>
  <c r="AA11" i="39"/>
  <c r="D26" i="43"/>
  <c r="C25" i="43" s="1"/>
  <c r="C15" i="71"/>
  <c r="T16" i="71"/>
  <c r="D16" i="71"/>
  <c r="AB11" i="39"/>
  <c r="U11" i="39"/>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2" l="1"/>
  <c r="I39" i="82"/>
  <c r="Q69" i="82"/>
  <c r="Q68" i="82" s="1"/>
  <c r="C40" i="82"/>
  <c r="C46" i="82" s="1"/>
  <c r="C80" i="82"/>
  <c r="C79" i="82" s="1"/>
  <c r="U16" i="71"/>
  <c r="M23" i="43"/>
  <c r="C14" i="71"/>
  <c r="D15" i="71"/>
  <c r="C118" i="43"/>
  <c r="D116" i="43"/>
  <c r="C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Q67" i="82" l="1"/>
  <c r="Q47" i="82"/>
  <c r="Q53" i="82" s="1"/>
  <c r="B2" i="82"/>
  <c r="B3" i="82" s="1"/>
  <c r="Q56" i="82"/>
  <c r="Q62" i="82" s="1"/>
  <c r="Q65" i="82"/>
  <c r="Q75" i="82" s="1"/>
  <c r="C43" i="82"/>
  <c r="C83" i="82"/>
  <c r="C82" i="82" s="1"/>
  <c r="C34" i="43"/>
  <c r="E34" i="43" s="1"/>
  <c r="C31" i="43" s="1"/>
  <c r="E33" i="43"/>
  <c r="C30" i="43" s="1"/>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E6" i="76"/>
  <c r="E2" i="76" l="1"/>
  <c r="D13" i="71"/>
  <c r="C12" i="71"/>
  <c r="B2" i="43"/>
  <c r="Q69" i="15"/>
  <c r="Q68" i="15" s="1"/>
  <c r="I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B6" i="76"/>
  <c r="L51" i="15"/>
  <c r="D2" i="36"/>
  <c r="B2" i="76" l="1"/>
  <c r="B3" i="76" s="1"/>
  <c r="B3" i="43"/>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2" i="1"/>
  <c r="AO10" i="1"/>
  <c r="AO11" i="1"/>
  <c r="AO8" i="1"/>
  <c r="AO9" i="1"/>
  <c r="C10" i="71" l="1"/>
  <c r="D11" i="71"/>
  <c r="R48" i="39"/>
  <c r="C47" i="39" s="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0" i="71" l="1"/>
  <c r="C9" i="71"/>
  <c r="C48" i="39"/>
  <c r="B64" i="39" s="1"/>
  <c r="F64" i="39" s="1"/>
  <c r="B6" i="70"/>
  <c r="B2" i="70" s="1"/>
  <c r="B3" i="15"/>
  <c r="I46" i="40"/>
  <c r="J46" i="40" s="1"/>
  <c r="R43" i="40"/>
  <c r="E42" i="40"/>
  <c r="G47" i="40"/>
  <c r="H47" i="40" s="1"/>
  <c r="G46" i="40"/>
  <c r="H46" i="40" s="1"/>
  <c r="D19" i="9"/>
  <c r="K20" i="9" l="1"/>
  <c r="D21" i="9"/>
  <c r="D102" i="9"/>
  <c r="B3" i="70"/>
  <c r="C8" i="71"/>
  <c r="D9" i="71"/>
  <c r="B57" i="39"/>
  <c r="F57" i="39" s="1"/>
  <c r="B63" i="39"/>
  <c r="F63" i="39" s="1"/>
  <c r="B56" i="39"/>
  <c r="F56" i="39" s="1"/>
  <c r="B60" i="39"/>
  <c r="F60" i="39" s="1"/>
  <c r="B59" i="39"/>
  <c r="F59" i="39" s="1"/>
  <c r="B61" i="39"/>
  <c r="F61" i="39" s="1"/>
  <c r="B62" i="39"/>
  <c r="F62" i="39" s="1"/>
  <c r="B58" i="39"/>
  <c r="F58" i="39" s="1"/>
  <c r="C42" i="40"/>
  <c r="C43" i="40"/>
  <c r="E47" i="40"/>
  <c r="F47" i="40" s="1"/>
  <c r="E46" i="40"/>
  <c r="F46" i="40" s="1"/>
  <c r="I47" i="40"/>
  <c r="J47" i="40" s="1"/>
  <c r="D20" i="9"/>
  <c r="D103" i="9" l="1"/>
  <c r="D8" i="71"/>
  <c r="C7" i="71"/>
  <c r="F65" i="39"/>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C6" i="68"/>
  <c r="C7" i="68" s="1"/>
  <c r="C5" i="68" s="1"/>
  <c r="C20" i="68" s="1"/>
  <c r="C5" i="71" l="1"/>
  <c r="D5" i="71" s="1"/>
  <c r="M24" i="43" s="1"/>
  <c r="D6" i="71"/>
  <c r="C23" i="68"/>
  <c r="C28" i="68"/>
  <c r="C27" i="68" s="1"/>
  <c r="C25" i="68"/>
  <c r="C22" i="68" l="1"/>
  <c r="C31" i="68" s="1"/>
  <c r="C52" i="68" s="1"/>
  <c r="B2" i="68" s="1"/>
  <c r="C19" i="9"/>
  <c r="C57" i="68" l="1"/>
  <c r="C56" i="68" s="1"/>
  <c r="C102" i="9"/>
  <c r="C21" i="9"/>
  <c r="D22" i="9"/>
  <c r="G19" i="9"/>
  <c r="J22" i="9" s="1"/>
  <c r="B3" i="68"/>
  <c r="C20" i="9"/>
  <c r="D34" i="9"/>
  <c r="D35" i="9"/>
  <c r="C103" i="9" l="1"/>
  <c r="G20" i="9"/>
  <c r="C32" i="9" s="1"/>
  <c r="G21" i="9"/>
  <c r="D28" i="9"/>
  <c r="C35" i="9" l="1"/>
  <c r="H118" i="9"/>
  <c r="I118" i="9" l="1"/>
  <c r="H101" i="9"/>
  <c r="H4" i="52"/>
  <c r="H119" i="9"/>
  <c r="H5" i="52" s="1"/>
  <c r="D14" i="74"/>
  <c r="C104" i="9"/>
  <c r="C34" i="9"/>
  <c r="D118" i="9" s="1"/>
  <c r="F118" i="9"/>
  <c r="D119" i="9" l="1"/>
  <c r="D5" i="52" s="1"/>
  <c r="B49" i="72" s="1"/>
  <c r="D4" i="52"/>
  <c r="B47" i="72" s="1"/>
  <c r="D5" i="53"/>
  <c r="D45" i="9"/>
  <c r="D56" i="9" s="1"/>
  <c r="H107" i="9"/>
  <c r="M49" i="9" s="1"/>
  <c r="M48" i="9"/>
  <c r="F4" i="52"/>
  <c r="B51" i="72" s="1"/>
  <c r="F119" i="9"/>
  <c r="F5" i="52" s="1"/>
  <c r="B53" i="72" s="1"/>
  <c r="G118" i="9"/>
  <c r="G4" i="52" s="1"/>
  <c r="B52" i="72" s="1"/>
  <c r="G14" i="74"/>
  <c r="E14" i="74"/>
  <c r="F14" i="74"/>
  <c r="B5" i="74"/>
  <c r="C105" i="9"/>
  <c r="I4" i="52"/>
  <c r="H102" i="9"/>
  <c r="D7" i="53" s="1"/>
  <c r="B21" i="72" s="1"/>
  <c r="B6" i="74" l="1"/>
  <c r="B7" i="74"/>
  <c r="L64" i="9"/>
  <c r="M64" i="9" s="1"/>
  <c r="L68" i="9"/>
  <c r="M68" i="9" s="1"/>
  <c r="L63" i="9"/>
  <c r="M63" i="9" s="1"/>
  <c r="L65" i="9"/>
  <c r="M65" i="9" s="1"/>
  <c r="L67" i="9"/>
  <c r="M67" i="9" s="1"/>
  <c r="L66" i="9"/>
  <c r="M66" i="9" s="1"/>
  <c r="E118" i="9"/>
  <c r="E4" i="52" s="1"/>
  <c r="B48" i="72" s="1"/>
  <c r="B20" i="72"/>
  <c r="D6" i="53"/>
  <c r="B22" i="72" s="1"/>
  <c r="D5" i="74"/>
  <c r="C5" i="74"/>
  <c r="D122" i="9"/>
  <c r="H108" i="9"/>
  <c r="D15" i="53" s="1"/>
  <c r="B31" i="72" s="1"/>
  <c r="D13" i="53"/>
  <c r="D53" i="9"/>
  <c r="D55" i="9"/>
  <c r="M53" i="9" s="1"/>
  <c r="C64" i="9"/>
  <c r="C63" i="9" s="1"/>
  <c r="C67" i="9" s="1"/>
  <c r="C93" i="9"/>
  <c r="C86" i="9" s="1"/>
  <c r="C72" i="9"/>
  <c r="D52" i="9"/>
  <c r="C85" i="9"/>
  <c r="C78" i="9"/>
  <c r="C73" i="9" s="1"/>
  <c r="D6" i="74"/>
  <c r="C7" i="74" l="1"/>
  <c r="D7" i="74"/>
  <c r="M69" i="9"/>
  <c r="N69" i="9" s="1"/>
  <c r="D14" i="53"/>
  <c r="B32" i="72" s="1"/>
  <c r="B30" i="72"/>
  <c r="C95" i="9"/>
  <c r="C6" i="74"/>
  <c r="D8" i="52"/>
  <c r="D123" i="9"/>
  <c r="D9" i="52" s="1"/>
  <c r="D59" i="9"/>
  <c r="M55" i="9" s="1"/>
  <c r="C68" i="9"/>
  <c r="D54" i="9" s="1"/>
  <c r="D48" i="9" s="1"/>
  <c r="M52" i="9" s="1"/>
  <c r="C79" i="9"/>
  <c r="C80" i="9" l="1"/>
  <c r="E80" i="9" s="1"/>
  <c r="E81" i="9" s="1"/>
  <c r="C96" i="9"/>
  <c r="E96" i="9" s="1"/>
  <c r="E97" i="9" s="1"/>
  <c r="C81" i="9" l="1"/>
  <c r="C97" i="9"/>
  <c r="D58" i="9" l="1"/>
  <c r="M54" i="9" s="1"/>
  <c r="N57" i="9" s="1"/>
  <c r="N59" i="9" s="1"/>
  <c r="H111" i="9" s="1"/>
  <c r="D126" i="9" s="1"/>
  <c r="N58" i="9" l="1"/>
  <c r="N61" i="9"/>
  <c r="H112" i="9" s="1"/>
  <c r="D21" i="53" s="1"/>
  <c r="B39" i="72" s="1"/>
  <c r="N60" i="9"/>
  <c r="B8" i="74"/>
  <c r="D8" i="74" s="1"/>
  <c r="P57" i="9"/>
  <c r="D19" i="53"/>
  <c r="D20" i="53" s="1"/>
  <c r="B40" i="72" s="1"/>
  <c r="D127" i="9"/>
  <c r="D13" i="52" s="1"/>
  <c r="D12" i="52"/>
  <c r="C8" i="74" l="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3B21622-CDA9-4C36-B971-60F6572D7487}">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AF41433-2018-4947-BEAE-8CD6E0BB7A7A}">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BA7F4B8B-1A24-4DBC-A9B5-2FAD3E8A38B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82EF40F-9947-4B2D-8230-C38BB4AAE189}">
      <text>
        <r>
          <rPr>
            <sz val="11"/>
            <color indexed="81"/>
            <rFont val="宋体"/>
            <family val="3"/>
            <charset val="134"/>
          </rPr>
          <t>在建项目均选择“是”</t>
        </r>
      </text>
    </comment>
    <comment ref="F59" authorId="1" shapeId="0" xr:uid="{491F16D0-5B0C-42ED-9679-E44707F8B5E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72DC28A5-DEF0-4091-9087-C2F3925E27DE}">
      <text>
        <r>
          <rPr>
            <sz val="10"/>
            <color indexed="81"/>
            <rFont val="宋体"/>
            <family val="3"/>
            <charset val="134"/>
          </rPr>
          <t xml:space="preserve">在建
</t>
        </r>
      </text>
    </comment>
    <comment ref="N59" authorId="0" shapeId="0" xr:uid="{1850ADB2-8EC7-4A23-B3F7-F71EE3A9F307}">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26237541-B43F-4930-9B9C-A41CE1E5270D}">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7539F1A-BC3A-4039-8043-0A380BE99E16}">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17B63003-364A-4827-8574-DDCA725938D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8ACB3814-2858-4552-8DD9-1CB8F824D97B}">
      <text>
        <r>
          <rPr>
            <sz val="11"/>
            <color indexed="81"/>
            <rFont val="宋体"/>
            <family val="3"/>
            <charset val="134"/>
          </rPr>
          <t>在建项目均选择“是”</t>
        </r>
      </text>
    </comment>
    <comment ref="F59" authorId="1" shapeId="0" xr:uid="{5ECC3D8A-BF98-4682-A685-61D5A5F23C1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ED08ABCB-2920-4683-B7AA-0F172629DCC9}">
      <text>
        <r>
          <rPr>
            <sz val="10"/>
            <color indexed="81"/>
            <rFont val="宋体"/>
            <family val="3"/>
            <charset val="134"/>
          </rPr>
          <t xml:space="preserve">在建
</t>
        </r>
      </text>
    </comment>
    <comment ref="N59" authorId="0" shapeId="0" xr:uid="{4D474EA7-D5ED-4FF6-AFEE-0BF86596238B}">
      <text>
        <r>
          <rPr>
            <sz val="10"/>
            <color indexed="81"/>
            <rFont val="宋体"/>
            <family val="3"/>
            <charset val="134"/>
          </rPr>
          <t xml:space="preserve">土地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<sst xmlns="http://schemas.openxmlformats.org/spreadsheetml/2006/main" count="9078" uniqueCount="3630">
  <si>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</si>
  <si>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</si>
  <si>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</si>
  <si>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</si>
  <si>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</si>
  <si>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</si>
  <si>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</si>
  <si>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</si>
  <si>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</si>
  <si>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</si>
  <si>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</si>
  <si>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</si>
  <si>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</si>
  <si>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</si>
  <si>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</si>
  <si>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</si>
  <si>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</si>
  <si>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</si>
  <si>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</si>
  <si>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</si>
  <si>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</si>
  <si>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</si>
  <si>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</si>
  <si>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</si>
  <si>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</si>
  <si>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</si>
  <si>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</si>
  <si>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</si>
  <si>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</si>
  <si>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</si>
  <si>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</si>
  <si>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</si>
  <si>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</si>
  <si>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</si>
  <si>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</si>
  <si>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</si>
  <si>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</si>
  <si>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</si>
  <si>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</si>
  <si>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</si>
  <si>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</si>
  <si>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</si>
  <si>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</si>
  <si>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</si>
  <si>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</si>
  <si>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</si>
  <si>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</si>
  <si>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</si>
  <si>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</si>
  <si>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</si>
  <si>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</si>
  <si>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</si>
  <si>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</si>
  <si>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</si>
  <si>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</si>
  <si>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</si>
  <si>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</si>
  <si>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</si>
  <si>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</si>
  <si>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</si>
  <si>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</si>
  <si>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</si>
  <si>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</si>
  <si>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</si>
  <si>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</si>
  <si>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</si>
  <si>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</si>
  <si>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</si>
  <si>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</si>
  <si>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</si>
  <si>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</si>
  <si>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</si>
  <si>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</si>
  <si>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</si>
  <si>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</si>
  <si>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</si>
  <si>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</si>
  <si>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</si>
  <si>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</si>
  <si>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</si>
  <si>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</si>
  <si>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</si>
  <si>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</si>
  <si>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</si>
  <si>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</si>
  <si>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</si>
  <si>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</si>
  <si>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</si>
  <si>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</si>
  <si>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</si>
  <si>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</si>
  <si>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</si>
  <si>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</si>
  <si>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</si>
  <si>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</si>
  <si>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</si>
  <si>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</si>
  <si>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</si>
  <si>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</si>
  <si>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</si>
  <si>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</si>
  <si>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</si>
  <si>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</si>
  <si>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</si>
  <si>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</si>
  <si>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</si>
  <si>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</si>
  <si>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</si>
  <si>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</si>
  <si>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</si>
  <si>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</si>
  <si>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</si>
  <si>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</si>
  <si>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</si>
  <si>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</si>
  <si>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</si>
  <si>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</si>
  <si>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</si>
  <si>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</si>
  <si>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</si>
  <si>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</si>
  <si>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</si>
  <si>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</si>
  <si>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</si>
  <si>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</si>
  <si>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</si>
  <si>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</si>
  <si>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</si>
  <si>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</si>
  <si>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</si>
  <si>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</si>
  <si>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</si>
  <si>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</si>
  <si>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</si>
  <si>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</si>
  <si>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</si>
  <si>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</si>
  <si>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</si>
  <si>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</si>
  <si>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</si>
  <si>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</si>
  <si>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</si>
  <si>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</si>
  <si>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</si>
  <si>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</si>
  <si>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</si>
  <si>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</si>
  <si>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</si>
  <si>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</si>
  <si>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</si>
  <si>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</si>
  <si>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</si>
  <si>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</si>
  <si>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</si>
  <si>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</si>
  <si>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</si>
  <si>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</si>
  <si>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</si>
  <si>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</si>
  <si>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</si>
  <si>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</si>
  <si>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</si>
  <si>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</si>
  <si>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</si>
  <si>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</si>
  <si>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</si>
  <si>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</si>
  <si>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</si>
  <si>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</si>
  <si>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</si>
  <si>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</si>
  <si>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</si>
  <si>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</si>
  <si>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</si>
  <si>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</si>
  <si>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</si>
  <si>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</si>
  <si>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</si>
  <si>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</si>
  <si>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</si>
  <si>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</si>
  <si>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</si>
  <si>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</si>
  <si>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</si>
  <si>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</si>
  <si>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</si>
  <si>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</si>
  <si>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</si>
  <si>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</si>
  <si>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</si>
  <si>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</si>
  <si>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</si>
  <si>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</si>
  <si>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</si>
  <si>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</si>
  <si>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</si>
  <si>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</si>
  <si>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</si>
  <si>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</si>
  <si>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</si>
  <si>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</si>
  <si>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</si>
  <si>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</si>
  <si>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</si>
  <si>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</si>
  <si>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</si>
  <si>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</si>
  <si>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</si>
  <si>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</si>
  <si>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</si>
  <si>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</si>
  <si>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</si>
  <si>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</si>
  <si>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</si>
  <si>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</si>
  <si>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</si>
  <si>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</si>
  <si>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</si>
  <si>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</si>
  <si>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</si>
  <si>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</si>
  <si>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</si>
  <si>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</si>
  <si>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</si>
  <si>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</si>
  <si>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</si>
  <si>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</si>
  <si>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</si>
  <si>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</si>
  <si>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</si>
  <si>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</si>
  <si>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</si>
  <si>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</si>
  <si>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</si>
  <si>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</si>
  <si>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</si>
  <si>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</si>
  <si>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</si>
  <si>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</si>
  <si>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</si>
  <si>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</si>
  <si>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</si>
  <si>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</si>
  <si>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</si>
  <si>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</si>
  <si>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</si>
  <si>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</si>
  <si>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</si>
  <si>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</si>
  <si>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</si>
  <si>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</si>
  <si>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</si>
  <si>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</si>
  <si>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</si>
  <si>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</si>
  <si>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</si>
  <si>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</si>
  <si>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</si>
  <si>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</si>
  <si>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</si>
  <si>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</si>
  <si>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</si>
  <si>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</si>
  <si>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</si>
  <si>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</si>
  <si>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</si>
  <si>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</si>
  <si>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</si>
  <si>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</si>
  <si>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</si>
  <si>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</si>
  <si>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</si>
  <si>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</si>
  <si>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</si>
  <si>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</si>
  <si>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</si>
  <si>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</si>
  <si>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</si>
  <si>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</si>
  <si>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</si>
  <si>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</si>
  <si>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</si>
  <si>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</si>
  <si>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</si>
  <si>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</si>
  <si>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</si>
  <si>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</si>
  <si>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</si>
  <si>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</si>
  <si>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</si>
  <si>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</si>
  <si>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</si>
  <si>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</si>
  <si>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</si>
  <si>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</si>
  <si>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</si>
  <si>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</si>
  <si>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</si>
  <si>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</si>
  <si>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</si>
  <si>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</si>
  <si>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</si>
  <si>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</si>
  <si>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</si>
  <si>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</si>
  <si>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</si>
  <si>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</si>
  <si>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</si>
  <si>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</si>
  <si>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</si>
  <si>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</si>
  <si>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</si>
  <si>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</si>
  <si>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</si>
  <si>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</si>
  <si>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</si>
  <si>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</si>
  <si>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</si>
  <si>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</si>
  <si>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</si>
  <si>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</si>
  <si>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</si>
  <si>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</si>
  <si>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</si>
  <si>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</si>
  <si>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</si>
  <si>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</si>
  <si>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</si>
  <si>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</si>
  <si>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</si>
  <si>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</si>
  <si>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</si>
  <si>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</si>
  <si>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</si>
  <si>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</si>
  <si>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</si>
  <si>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</si>
  <si>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</si>
  <si>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</si>
  <si>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</si>
  <si>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</si>
  <si>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</si>
  <si>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</si>
  <si>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</si>
  <si>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</si>
  <si>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</si>
  <si>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</si>
  <si>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</si>
  <si>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</si>
  <si>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</si>
  <si>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</si>
  <si>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</si>
  <si>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</si>
  <si>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</si>
  <si>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</si>
  <si>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</si>
  <si>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</si>
  <si>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</si>
  <si>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</si>
  <si>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</si>
  <si>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</si>
  <si>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</si>
  <si>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</si>
  <si>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</si>
  <si>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</si>
  <si>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</si>
  <si>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</si>
  <si>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</si>
  <si>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</si>
  <si>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</si>
  <si>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</si>
  <si>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</si>
  <si>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</si>
  <si>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</si>
  <si>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</si>
  <si>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</si>
  <si>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</si>
  <si>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</si>
  <si>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</si>
  <si>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</si>
  <si>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</si>
  <si>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</si>
  <si>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</si>
  <si>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</si>
  <si>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</si>
  <si>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</si>
  <si>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</si>
  <si>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</si>
  <si>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</si>
  <si>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</si>
  <si>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</si>
  <si>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</si>
  <si>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</si>
  <si>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</si>
  <si>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</si>
  <si>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</si>
  <si>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</si>
  <si>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</si>
  <si>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</si>
  <si>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</si>
  <si>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</si>
  <si>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</si>
  <si>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</si>
  <si>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</si>
  <si>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</si>
  <si>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</si>
  <si>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</si>
  <si>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</si>
  <si>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</si>
  <si>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</si>
  <si>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</si>
  <si>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</si>
  <si>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</si>
  <si>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</si>
  <si>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</si>
  <si>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</si>
  <si>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</si>
  <si>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</si>
  <si>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</si>
  <si>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</si>
  <si>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</si>
  <si>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</si>
  <si>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</si>
  <si>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</si>
  <si>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</si>
  <si>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</si>
  <si>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</si>
  <si>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</si>
  <si>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</si>
  <si>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</si>
  <si>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</si>
  <si>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</si>
  <si>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</si>
  <si>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</si>
  <si>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</si>
  <si>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</si>
  <si>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</si>
  <si>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</si>
  <si>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</si>
  <si>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</si>
  <si>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</si>
  <si>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</si>
  <si>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</si>
  <si>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</si>
  <si>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</si>
  <si>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</si>
  <si>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</si>
  <si>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</si>
  <si>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</si>
  <si>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</si>
  <si>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</si>
  <si>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</si>
  <si>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</si>
  <si>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</si>
  <si>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</si>
  <si>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</si>
  <si>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</si>
  <si>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</si>
  <si>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</si>
  <si>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</si>
  <si>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</si>
  <si>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</si>
  <si>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</si>
  <si>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</si>
  <si>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</si>
  <si>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</si>
  <si>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</si>
  <si>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</si>
  <si>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</si>
  <si>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</si>
  <si>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</si>
  <si>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</si>
  <si>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</si>
  <si>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</si>
  <si>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</si>
  <si>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</si>
  <si>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</si>
  <si>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</si>
  <si>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</si>
  <si>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</si>
  <si>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</si>
  <si>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</si>
  <si>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</si>
  <si>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</si>
  <si>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</si>
  <si>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</si>
  <si>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</si>
  <si>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</si>
  <si>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</si>
  <si>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</si>
  <si>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</si>
  <si>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</si>
  <si>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</si>
  <si>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</si>
  <si>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</si>
  <si>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</si>
  <si>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</si>
  <si>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</si>
  <si>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</si>
  <si>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</si>
  <si>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</si>
  <si>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</si>
  <si>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</si>
  <si>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</si>
  <si>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</si>
  <si>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</si>
  <si>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</si>
  <si>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</si>
  <si>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</si>
  <si>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</si>
  <si>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</si>
  <si>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</si>
  <si>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</si>
  <si>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</si>
  <si>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</si>
  <si>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</si>
  <si>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</si>
  <si>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</si>
  <si>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</si>
  <si>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</si>
  <si>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</si>
  <si>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</si>
  <si>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</si>
  <si>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</si>
  <si>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</si>
  <si>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</si>
  <si>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</si>
  <si>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</si>
  <si>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</si>
  <si>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</si>
  <si>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</si>
  <si>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</si>
  <si>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</si>
  <si>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</si>
  <si>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</si>
  <si>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</si>
  <si>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</si>
  <si>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</si>
  <si>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</si>
  <si>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</si>
  <si>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</si>
  <si>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</si>
  <si>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</si>
  <si>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</si>
  <si>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</si>
  <si>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</si>
  <si>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</si>
  <si>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</si>
  <si>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</si>
  <si>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</si>
  <si>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</si>
  <si>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</si>
  <si>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</si>
  <si>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</si>
  <si>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</si>
  <si>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</si>
  <si>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</si>
  <si>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</si>
  <si>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</si>
  <si>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</si>
  <si>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</si>
  <si>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</si>
  <si>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</si>
  <si>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</si>
  <si>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</si>
  <si>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</si>
  <si>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</si>
  <si>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</si>
  <si>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</si>
  <si>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</si>
  <si>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</si>
  <si>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</si>
  <si>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</si>
  <si>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</si>
  <si>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</si>
  <si>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</si>
  <si>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</si>
  <si>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</si>
  <si>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</si>
  <si>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</si>
  <si>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</si>
  <si>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</si>
  <si>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</si>
  <si>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</si>
  <si>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</si>
  <si>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</si>
  <si>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</si>
  <si>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</si>
  <si>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</si>
  <si>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</si>
  <si>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</si>
  <si>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</si>
  <si>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</si>
  <si>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</si>
  <si>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</si>
  <si>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</si>
  <si>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</si>
  <si>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</si>
  <si>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</si>
  <si>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</si>
  <si>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</si>
  <si>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</si>
  <si>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</si>
  <si>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</si>
  <si>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</si>
  <si>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</si>
  <si>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</si>
  <si>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</si>
  <si>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</si>
  <si>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</si>
  <si>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</si>
  <si>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</si>
  <si>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</si>
  <si>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</si>
  <si>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</si>
  <si>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</si>
  <si>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</si>
  <si>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</si>
  <si>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</si>
  <si>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</si>
  <si>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</si>
  <si>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</si>
  <si>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</si>
  <si>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</si>
  <si>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</si>
  <si>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</si>
  <si>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</si>
  <si>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</si>
  <si>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</si>
  <si>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</si>
  <si>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</si>
  <si>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</si>
  <si>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</si>
  <si>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</si>
  <si>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</si>
  <si>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</si>
  <si>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</si>
  <si>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</si>
  <si>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</si>
  <si>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</si>
  <si>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</si>
  <si>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</si>
  <si>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</si>
  <si>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</si>
  <si>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</si>
  <si>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</si>
  <si>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</si>
  <si>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</si>
  <si>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</si>
  <si>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</si>
  <si>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</si>
  <si>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</si>
  <si>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</si>
  <si>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</si>
  <si>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</si>
  <si>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</si>
  <si>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</si>
  <si>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</si>
  <si>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</si>
  <si>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</si>
  <si>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</si>
  <si>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</si>
  <si>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</si>
  <si>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</si>
  <si>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</si>
  <si>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</si>
  <si>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</si>
  <si>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</si>
  <si>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</si>
  <si>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</si>
  <si>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</si>
  <si>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</si>
  <si>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</si>
  <si>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</si>
  <si>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</si>
  <si>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</si>
  <si>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</si>
  <si>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</si>
  <si>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</si>
  <si>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</si>
  <si>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</si>
  <si>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</si>
  <si>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</si>
  <si>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</si>
  <si>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</si>
  <si>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</si>
  <si>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</si>
  <si>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</si>
  <si>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</si>
  <si>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</si>
  <si>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</si>
  <si>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</si>
  <si>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</si>
  <si>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</si>
  <si>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</si>
  <si>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</si>
  <si>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</si>
  <si>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</si>
  <si>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</si>
  <si>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</si>
  <si>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</si>
  <si>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</si>
  <si>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</si>
  <si>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</si>
  <si>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</si>
  <si>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</si>
  <si>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</si>
  <si>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</si>
  <si>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</si>
  <si>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</si>
  <si>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</si>
  <si>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</si>
  <si>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</si>
  <si>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</si>
  <si>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</si>
  <si>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</si>
  <si>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</si>
  <si>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</si>
  <si>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</si>
  <si>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</si>
  <si>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</si>
  <si>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</si>
  <si>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</si>
  <si>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</si>
  <si>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</si>
  <si>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</si>
  <si>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</si>
  <si>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</si>
  <si>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</si>
  <si>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</si>
  <si>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</si>
  <si>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</si>
  <si>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</si>
  <si>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</si>
  <si>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</si>
  <si>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</si>
  <si>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</si>
  <si>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</si>
  <si>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</si>
  <si>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</si>
  <si>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</si>
  <si>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</si>
  <si>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</si>
  <si>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</si>
  <si>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</si>
  <si>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</si>
  <si>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</si>
  <si>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</si>
  <si>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</si>
  <si>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</si>
  <si>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</si>
  <si>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</si>
  <si>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</si>
  <si>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</si>
  <si>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</si>
  <si>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</si>
  <si>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</si>
  <si>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</si>
  <si>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</si>
  <si>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</si>
  <si>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</si>
  <si>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</si>
  <si>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</si>
  <si>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</si>
  <si>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</si>
  <si>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</si>
  <si>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</si>
  <si>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</si>
  <si>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</si>
  <si>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</si>
  <si>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</si>
  <si>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</si>
  <si>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</si>
  <si>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</si>
  <si>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</si>
  <si>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</si>
  <si>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</si>
  <si>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</si>
  <si>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</si>
  <si>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</si>
  <si>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</si>
  <si>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</si>
  <si>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</si>
  <si>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</si>
  <si>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</si>
  <si>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</si>
  <si>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</si>
  <si>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</si>
  <si>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</si>
  <si>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</si>
  <si>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</si>
  <si>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</si>
  <si>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</si>
  <si>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</si>
  <si>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</si>
  <si>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</si>
  <si>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</si>
  <si>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</si>
  <si>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</si>
  <si>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</si>
  <si>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</si>
  <si>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</si>
  <si>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</si>
  <si>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</si>
  <si>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</si>
  <si>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</si>
  <si>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</si>
  <si>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</si>
  <si>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</si>
  <si>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</si>
  <si>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</si>
  <si>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</si>
  <si>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</si>
  <si>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</si>
  <si>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</si>
  <si>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</si>
  <si>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</si>
  <si>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</si>
  <si>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</si>
  <si>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</si>
  <si>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</si>
  <si>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</si>
  <si>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</si>
  <si>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</si>
  <si>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</si>
  <si>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</si>
  <si>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</si>
  <si>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</si>
  <si>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</si>
  <si>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</si>
  <si>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</si>
  <si>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</si>
  <si>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</si>
  <si>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</si>
  <si>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</si>
  <si>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</si>
  <si>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</si>
  <si>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</si>
  <si>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</si>
  <si>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</si>
  <si>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</si>
  <si>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</si>
  <si>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</si>
  <si>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</si>
  <si>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</si>
  <si>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</si>
  <si>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</si>
  <si>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</si>
  <si>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</si>
  <si>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</si>
  <si>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</si>
  <si>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</si>
  <si>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</si>
  <si>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</si>
  <si>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</si>
  <si>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</si>
  <si>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</si>
  <si>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</si>
  <si>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</si>
  <si>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</si>
  <si>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</si>
  <si>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</si>
  <si>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</si>
  <si>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</si>
  <si>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</si>
  <si>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</si>
  <si>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</si>
  <si>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</si>
  <si>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</si>
  <si>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</si>
  <si>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</si>
  <si>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</si>
  <si>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</si>
  <si>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</si>
  <si>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</si>
  <si>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</si>
  <si>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</si>
  <si>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</si>
  <si>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</si>
  <si>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</si>
  <si>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</si>
  <si>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</si>
  <si>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</si>
  <si>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</si>
  <si>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</si>
  <si>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</si>
  <si>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</si>
  <si>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</si>
  <si>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</si>
  <si>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</si>
  <si>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</si>
  <si>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</si>
  <si>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</si>
  <si>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</si>
  <si>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</si>
  <si>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</si>
  <si>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</si>
  <si>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</si>
  <si>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</si>
  <si>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</si>
  <si>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</si>
  <si>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</si>
  <si>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</si>
  <si>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</si>
  <si>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</si>
  <si>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</si>
  <si>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</si>
  <si>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</si>
  <si>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</si>
  <si>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</si>
  <si>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</si>
  <si>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</si>
  <si>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</si>
  <si>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</si>
  <si>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</si>
  <si>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</si>
  <si>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</si>
  <si>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</si>
  <si>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</si>
  <si>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</si>
  <si>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</si>
  <si>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</si>
  <si>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</si>
  <si>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</si>
  <si>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</si>
  <si>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</si>
  <si>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</si>
  <si>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</si>
  <si>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</si>
  <si>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</si>
  <si>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</si>
  <si>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</si>
  <si>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</si>
  <si>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</si>
  <si>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</si>
  <si>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</si>
  <si>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</si>
  <si>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</si>
  <si>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</si>
  <si>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</si>
  <si>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</si>
  <si>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</si>
  <si>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</si>
  <si>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</si>
  <si>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</si>
  <si>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</si>
  <si>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</si>
  <si>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</si>
  <si>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</si>
  <si>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</si>
  <si>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</si>
  <si>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</si>
  <si>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</si>
  <si>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</si>
  <si>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</si>
  <si>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</si>
  <si>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</si>
  <si>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</si>
  <si>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</si>
  <si>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</si>
  <si>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</si>
  <si>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</si>
  <si>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</si>
  <si>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</si>
  <si>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</si>
  <si>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</si>
  <si>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</si>
  <si>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</si>
  <si>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</si>
  <si>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</si>
  <si>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</si>
  <si>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</si>
  <si>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</si>
  <si>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</si>
  <si>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</si>
  <si>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</si>
  <si>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</si>
  <si>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</si>
  <si>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</si>
  <si>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</si>
  <si>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</si>
  <si>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</si>
  <si>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</si>
  <si>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</si>
  <si>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</si>
  <si>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</si>
  <si>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</si>
  <si>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</si>
  <si>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</si>
  <si>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</si>
  <si>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</si>
  <si>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</si>
  <si>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</si>
  <si>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</si>
  <si>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</si>
  <si>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</si>
  <si>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</si>
  <si>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</si>
  <si>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</si>
  <si>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</si>
  <si>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</si>
  <si>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</si>
  <si>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</si>
  <si>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</si>
  <si>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</si>
  <si>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</si>
  <si>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</si>
  <si>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</si>
  <si>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</si>
  <si>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</si>
  <si>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</si>
  <si>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</si>
  <si>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</si>
  <si>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</si>
  <si>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</si>
  <si>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</si>
  <si>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</si>
  <si>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</si>
  <si>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</si>
  <si>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</si>
  <si>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</si>
  <si>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</si>
  <si>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</si>
  <si>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</si>
  <si>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</si>
  <si>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</si>
  <si>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</si>
  <si>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</si>
  <si>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</si>
  <si>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</si>
  <si>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</si>
  <si>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</si>
  <si>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</si>
  <si>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</si>
  <si>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</si>
  <si>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</si>
  <si>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</si>
  <si>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</si>
  <si>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</si>
  <si>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</si>
  <si>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</si>
  <si>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</si>
  <si>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</si>
  <si>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</si>
  <si>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</si>
  <si>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</si>
  <si>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</si>
  <si>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</si>
  <si>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</si>
  <si>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</si>
  <si>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</si>
  <si>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</si>
  <si>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</si>
  <si>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</si>
  <si>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</si>
  <si>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</si>
  <si>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</si>
  <si>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</si>
  <si>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</si>
  <si>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</si>
  <si>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</si>
  <si>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</si>
  <si>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</si>
  <si>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</si>
  <si>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</si>
  <si>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</si>
  <si>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</si>
  <si>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</si>
  <si>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</si>
  <si>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</si>
  <si>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</si>
  <si>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</si>
  <si>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</si>
  <si>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</si>
  <si>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</si>
  <si>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</si>
  <si>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</si>
  <si>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</si>
  <si>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</si>
  <si>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</si>
  <si>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</si>
  <si>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</si>
  <si>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</si>
  <si>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</si>
  <si>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</si>
  <si>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</si>
  <si>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</si>
  <si>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</si>
  <si>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</si>
  <si>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</si>
  <si>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</si>
  <si>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</si>
  <si>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</si>
  <si>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</si>
  <si>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</si>
  <si>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</si>
  <si>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</si>
  <si>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</si>
  <si>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</si>
  <si>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</si>
  <si>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</si>
  <si>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</si>
  <si>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</si>
  <si>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</si>
  <si>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</si>
  <si>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</si>
  <si>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</si>
  <si>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</si>
  <si>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</si>
  <si>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</si>
  <si>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</si>
  <si>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</si>
  <si>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</si>
  <si>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</si>
  <si>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</si>
  <si>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</si>
  <si>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</si>
  <si>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</si>
  <si>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</si>
  <si>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</si>
  <si>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</si>
  <si>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</si>
  <si>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</si>
  <si>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</si>
  <si>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</si>
  <si>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</si>
  <si>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</si>
  <si>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</si>
  <si>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</si>
  <si>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</si>
  <si>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</si>
  <si>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</si>
  <si>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</si>
  <si>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</si>
  <si>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</si>
  <si>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</si>
  <si>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</si>
  <si>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</si>
  <si>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</si>
  <si>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</si>
  <si>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</si>
  <si>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</si>
  <si>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</si>
  <si>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</si>
  <si>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</si>
  <si>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</si>
  <si>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</si>
  <si>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</si>
  <si>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</si>
  <si>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</si>
  <si>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</si>
  <si>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</si>
  <si>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</si>
  <si>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</si>
  <si>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</si>
  <si>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</si>
  <si>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</si>
  <si>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</si>
  <si>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</si>
  <si>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</si>
  <si>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</si>
  <si>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</si>
  <si>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</si>
  <si>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</si>
  <si>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</si>
  <si>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</si>
  <si>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</si>
  <si>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</si>
  <si>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</si>
  <si>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</si>
  <si>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</si>
  <si>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</si>
  <si>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</si>
  <si>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</si>
  <si>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</si>
  <si>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</si>
  <si>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</si>
  <si>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</si>
  <si>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</si>
  <si>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</si>
  <si>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</si>
  <si>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</si>
  <si>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</si>
  <si>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</si>
  <si>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</si>
  <si>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</si>
  <si>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</si>
  <si>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</si>
  <si>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</si>
  <si>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</si>
  <si>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</si>
  <si>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</si>
  <si>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</si>
  <si>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</si>
  <si>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</si>
  <si>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</si>
  <si>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</si>
  <si>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</si>
  <si>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</si>
  <si>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</si>
  <si>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</si>
  <si>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</si>
  <si>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</si>
  <si>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</si>
  <si>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</si>
  <si>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</si>
  <si>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</si>
  <si>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</si>
  <si>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</si>
  <si>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</si>
  <si>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</si>
  <si>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</si>
  <si>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</si>
  <si>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</si>
  <si>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</si>
  <si>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</si>
  <si>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</si>
  <si>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</si>
  <si>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</si>
  <si>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</si>
  <si>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</si>
  <si>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</si>
  <si>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</si>
  <si>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</si>
  <si>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</si>
  <si>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</si>
  <si>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</si>
  <si>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</si>
  <si>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</si>
  <si>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</si>
  <si>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</si>
  <si>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</si>
  <si>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</si>
  <si>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</si>
  <si>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</si>
  <si>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</si>
  <si>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</si>
  <si>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</si>
  <si>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</si>
  <si>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</si>
  <si>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</si>
  <si>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</si>
  <si>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</si>
  <si>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</si>
  <si>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</si>
  <si>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</si>
  <si>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</si>
  <si>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</si>
  <si>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</si>
  <si>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</si>
  <si>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</si>
  <si>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</si>
  <si>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</si>
  <si>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</si>
  <si>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</si>
  <si>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</si>
  <si>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</si>
  <si>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</si>
  <si>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</si>
  <si>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</si>
  <si>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</si>
  <si>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</si>
  <si>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</si>
  <si>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</si>
  <si>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</si>
  <si>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</si>
  <si>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</si>
  <si>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</si>
  <si>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</si>
  <si>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</si>
  <si>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</si>
  <si>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</si>
  <si>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</si>
  <si>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</si>
  <si>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</si>
  <si>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</si>
  <si>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</si>
  <si>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</si>
  <si>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</si>
  <si>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</si>
  <si>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</si>
  <si>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</si>
  <si>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</si>
  <si>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</si>
  <si>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</si>
  <si>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</si>
  <si>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</si>
  <si>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</si>
  <si>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</si>
  <si>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</si>
  <si>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</si>
  <si>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</si>
  <si>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</si>
  <si>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</si>
  <si>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</si>
  <si>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</si>
  <si>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</si>
  <si>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</si>
  <si>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</si>
  <si>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</si>
  <si>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</si>
  <si>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</si>
  <si>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</si>
  <si>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</si>
  <si>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</si>
  <si>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</si>
  <si>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</si>
  <si>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</si>
  <si>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</si>
  <si>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</si>
  <si>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</si>
  <si>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</si>
  <si>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</si>
  <si>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</si>
  <si>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</si>
  <si>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</si>
  <si>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</si>
  <si>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</si>
  <si>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</si>
  <si>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</si>
  <si>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</si>
  <si>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</si>
  <si>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</si>
  <si>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</si>
  <si>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</si>
  <si>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</si>
  <si>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</si>
  <si>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</si>
  <si>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</si>
  <si>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</si>
  <si>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</si>
  <si>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</si>
  <si>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</si>
  <si>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</si>
  <si>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</si>
  <si>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</si>
  <si>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</si>
  <si>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</si>
  <si>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</si>
  <si>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</si>
  <si>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</si>
  <si>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</si>
  <si>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</si>
  <si>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</si>
  <si>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</si>
  <si>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</si>
  <si>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</si>
  <si>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</si>
  <si>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</si>
  <si>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</si>
  <si>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</si>
  <si>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</si>
  <si>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</si>
  <si>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</si>
  <si>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</si>
  <si>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</si>
  <si>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</si>
  <si>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</si>
  <si>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</si>
  <si>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</si>
  <si>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</si>
  <si>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</si>
  <si>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</si>
  <si>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</si>
  <si>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</si>
  <si>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</si>
  <si>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</si>
  <si>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</si>
  <si>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</si>
  <si>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</si>
  <si>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</si>
  <si>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</si>
  <si>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</si>
  <si>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</si>
  <si>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</si>
  <si>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</si>
  <si>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</si>
  <si>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</si>
  <si>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</si>
  <si>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</si>
  <si>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</si>
  <si>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</si>
  <si>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</si>
  <si>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</si>
  <si>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</si>
  <si>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</si>
  <si>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</si>
  <si>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</si>
  <si>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</si>
  <si>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</si>
  <si>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</si>
  <si>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</si>
  <si>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</si>
  <si>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</si>
  <si>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</si>
  <si>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</si>
  <si>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</si>
  <si>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</si>
  <si>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</si>
  <si>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</si>
  <si>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</si>
  <si>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</si>
  <si>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</si>
  <si>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</si>
  <si>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</si>
  <si>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</si>
  <si>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</si>
  <si>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</si>
  <si>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</si>
  <si>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</si>
  <si>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</si>
  <si>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</si>
  <si>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</si>
  <si>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</si>
  <si>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</si>
  <si>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</si>
  <si>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</si>
  <si>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</si>
  <si>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</si>
  <si>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</si>
  <si>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</si>
  <si>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</si>
  <si>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</si>
  <si>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</si>
  <si>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</si>
  <si>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</si>
  <si>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</si>
  <si>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</si>
  <si>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</si>
  <si>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</si>
  <si>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</si>
  <si>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</si>
  <si>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</si>
  <si>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</si>
  <si>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</si>
  <si>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</si>
  <si>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</si>
  <si>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</si>
  <si>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</si>
  <si>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</si>
  <si>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</si>
  <si>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</si>
  <si>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</si>
  <si>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</si>
  <si>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</si>
  <si>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</si>
  <si>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</si>
  <si>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</si>
  <si>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</si>
  <si>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</si>
  <si>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</si>
  <si>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</si>
  <si>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</si>
  <si>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</si>
  <si>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</si>
  <si>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</si>
  <si>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</si>
  <si>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</si>
  <si>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</si>
  <si>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</si>
  <si>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</si>
  <si>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</si>
  <si>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</si>
  <si>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</si>
  <si>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</si>
  <si>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</si>
  <si>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</si>
  <si>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</si>
  <si>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</si>
  <si>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</si>
  <si>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</si>
  <si>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</si>
  <si>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</si>
  <si>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</si>
  <si>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</si>
  <si>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</si>
  <si>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</si>
  <si>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</si>
  <si>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</si>
  <si>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</si>
  <si>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</si>
  <si>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</si>
  <si>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</si>
  <si>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</si>
  <si>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</si>
  <si>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</si>
  <si>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</si>
  <si>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</si>
  <si>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</si>
  <si>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</si>
  <si>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</si>
  <si>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</si>
  <si>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</si>
  <si>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</si>
  <si>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</si>
  <si>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</si>
  <si>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</si>
  <si>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</si>
  <si>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</si>
  <si>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</si>
  <si>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</si>
  <si>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</si>
  <si>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</si>
  <si>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</si>
  <si>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</si>
  <si>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</si>
  <si>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</si>
  <si>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</si>
  <si>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</si>
  <si>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</si>
  <si>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</si>
  <si>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</si>
  <si>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</si>
  <si>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</si>
  <si>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</si>
  <si>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</si>
  <si>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</si>
  <si>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</si>
  <si>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</si>
  <si>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</si>
  <si>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</si>
  <si>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</si>
  <si>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</si>
  <si>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</si>
  <si>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</si>
  <si>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</si>
  <si>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</si>
  <si>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</si>
  <si>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</si>
  <si>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</si>
  <si>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</si>
  <si>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</si>
  <si>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</si>
  <si>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</si>
  <si>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</si>
  <si>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</si>
  <si>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</si>
  <si>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</si>
  <si>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</si>
  <si>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</si>
  <si>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</si>
  <si>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</si>
  <si>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</si>
  <si>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</si>
  <si>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</si>
  <si>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</si>
  <si>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</si>
  <si>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</si>
  <si>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</si>
  <si>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</si>
  <si>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</si>
  <si>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</si>
  <si>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</si>
  <si>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</si>
  <si>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</si>
  <si>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</si>
  <si>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</si>
  <si>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</si>
  <si>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</si>
  <si>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</si>
  <si>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</si>
  <si>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</si>
  <si>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</si>
  <si>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</si>
  <si>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</si>
  <si>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</si>
  <si>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</si>
  <si>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</si>
  <si>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</si>
  <si>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</si>
  <si>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</si>
  <si>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</si>
  <si>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</si>
  <si>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</si>
  <si>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</si>
  <si>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</si>
  <si>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</si>
  <si>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</si>
  <si>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</si>
  <si>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</si>
  <si>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</si>
  <si>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</si>
  <si>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</si>
  <si>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</si>
  <si>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</si>
  <si>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</si>
  <si>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</si>
  <si>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</si>
  <si>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</si>
  <si>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</si>
  <si>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</si>
  <si>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</si>
  <si>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</si>
  <si>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</si>
  <si>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</si>
  <si>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</si>
  <si>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</si>
  <si>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</si>
  <si>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</si>
  <si>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</si>
  <si>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</si>
  <si>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</si>
  <si>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</si>
  <si>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</si>
  <si>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</si>
  <si>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</si>
  <si>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</si>
  <si>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</si>
  <si>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</si>
  <si>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</si>
  <si>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</si>
  <si>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</si>
  <si>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</si>
  <si>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</si>
  <si>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</si>
  <si>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</si>
  <si>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</si>
  <si>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</si>
  <si>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</si>
  <si>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</si>
  <si>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</si>
  <si>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</si>
  <si>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</si>
  <si>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</si>
  <si>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</si>
  <si>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</si>
  <si>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</si>
  <si>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</si>
  <si>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</si>
  <si>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</si>
  <si>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</si>
  <si>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</si>
  <si>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</si>
  <si>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</si>
  <si>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</si>
  <si>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</si>
  <si>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</si>
  <si>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</si>
  <si>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</si>
  <si>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</si>
  <si>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</si>
  <si>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</si>
  <si>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</si>
  <si>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</si>
  <si>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</si>
  <si>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</si>
  <si>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</si>
  <si>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</si>
  <si>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</si>
  <si>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</si>
  <si>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</si>
  <si>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</si>
  <si>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</si>
  <si>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</si>
  <si>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</si>
  <si>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</si>
  <si>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</si>
  <si>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</si>
  <si>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</si>
  <si>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</si>
  <si>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</si>
  <si>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</si>
  <si>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</si>
  <si>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</si>
  <si>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</si>
  <si>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</si>
  <si>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</si>
  <si>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</si>
  <si>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</si>
  <si>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</si>
  <si>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</si>
  <si>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</si>
  <si>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</si>
  <si>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</si>
  <si>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</si>
  <si>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</si>
  <si>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</si>
  <si>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</si>
  <si>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</si>
  <si>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</si>
  <si>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</si>
  <si>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</si>
  <si>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</si>
  <si>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</si>
  <si>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</si>
  <si>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</si>
  <si>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</si>
  <si>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</si>
  <si>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</si>
  <si>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</si>
  <si>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</si>
  <si>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</si>
  <si>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</si>
  <si>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</si>
  <si>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</si>
  <si>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</si>
  <si>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</si>
  <si>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</si>
  <si>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</si>
  <si>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</si>
  <si>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</si>
  <si>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</si>
  <si>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</si>
  <si>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</si>
  <si>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</si>
  <si>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</si>
  <si>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</si>
  <si>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</si>
  <si>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</si>
  <si>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</si>
  <si>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</si>
  <si>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</si>
  <si>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</si>
  <si>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</si>
  <si>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</si>
  <si>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</si>
  <si>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</si>
  <si>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</si>
  <si>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</si>
  <si>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</si>
  <si>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</si>
  <si>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</si>
  <si>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</si>
  <si>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</si>
  <si>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</si>
  <si>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</si>
  <si>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</si>
  <si>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</si>
  <si>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</si>
  <si>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</si>
  <si>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</si>
  <si>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</si>
  <si>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</si>
  <si>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</si>
  <si>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</si>
  <si>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</si>
  <si>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</si>
  <si>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</si>
  <si>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</si>
  <si>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</si>
  <si>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</si>
  <si>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</si>
  <si>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</si>
  <si>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</si>
  <si>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</si>
  <si>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</si>
  <si>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</si>
  <si>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</si>
  <si>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</si>
  <si>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</si>
  <si>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</si>
  <si>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</si>
  <si>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</si>
  <si>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</si>
  <si>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</si>
  <si>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</si>
  <si>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</si>
  <si>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</si>
  <si>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</si>
  <si>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</si>
  <si>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</si>
  <si>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</si>
  <si>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</si>
  <si>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</si>
  <si>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</si>
  <si>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</si>
  <si>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</si>
  <si>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</si>
  <si>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</si>
  <si>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</si>
  <si>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</si>
  <si>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</si>
  <si>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</si>
  <si>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</si>
  <si>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</si>
  <si>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</si>
  <si>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</si>
  <si>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</si>
  <si>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</si>
  <si>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</si>
  <si>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</si>
  <si>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</si>
  <si>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</si>
  <si>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</si>
  <si>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</si>
  <si>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</si>
  <si>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</si>
  <si>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</si>
  <si>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</si>
  <si>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</si>
  <si>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</si>
  <si>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</si>
  <si>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</si>
  <si>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</si>
  <si>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</si>
  <si>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</si>
  <si>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</si>
  <si>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</si>
  <si>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</si>
  <si>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</si>
  <si>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</si>
  <si>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</si>
  <si>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</si>
  <si>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</si>
  <si>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</si>
  <si>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</si>
  <si>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</si>
  <si>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</si>
  <si>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</si>
  <si>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</si>
  <si>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</si>
  <si>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</si>
  <si>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</si>
  <si>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</si>
  <si>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</si>
  <si>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</si>
  <si>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</si>
  <si>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</si>
  <si>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</si>
  <si>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</si>
  <si>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</si>
  <si>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</si>
  <si>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</si>
  <si>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</si>
  <si>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</si>
  <si>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</si>
  <si>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</si>
  <si>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</si>
  <si>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</si>
  <si>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</si>
  <si>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</si>
  <si>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</si>
  <si>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</si>
  <si>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</si>
  <si>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</si>
  <si>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</si>
  <si>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</si>
  <si>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</si>
  <si>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</si>
  <si>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</si>
  <si>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</si>
  <si>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</si>
  <si>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</si>
  <si>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</si>
  <si>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</si>
  <si>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</si>
  <si>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</si>
  <si>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</si>
  <si>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</si>
  <si>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</si>
  <si>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</si>
  <si>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</si>
  <si>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</si>
  <si>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</si>
  <si>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</si>
  <si>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</si>
  <si>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</si>
  <si>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</si>
  <si>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</si>
  <si>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</si>
  <si>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</si>
  <si>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</si>
  <si>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</si>
  <si>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</si>
  <si>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</si>
  <si>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</si>
  <si>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</si>
  <si>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</si>
  <si>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</si>
  <si>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</si>
  <si>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</si>
  <si>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</si>
  <si>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</si>
  <si>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</si>
  <si>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</si>
  <si>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</si>
  <si>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</si>
  <si>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</si>
  <si>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</si>
  <si>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</si>
  <si>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</si>
  <si>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</si>
  <si>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</si>
  <si>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</si>
  <si>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</si>
  <si>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</si>
  <si>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</si>
  <si>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</si>
  <si>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</si>
  <si>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</si>
  <si>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</si>
  <si>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</si>
  <si>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</si>
  <si>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</si>
  <si>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</si>
  <si>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</si>
  <si>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</si>
  <si>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</si>
  <si>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</si>
  <si>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</si>
  <si>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</si>
  <si>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</si>
  <si>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</si>
  <si>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</si>
  <si>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</si>
  <si>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</si>
  <si>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</si>
  <si>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</si>
  <si>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</si>
  <si>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</si>
  <si>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</si>
  <si>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</si>
  <si>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</si>
  <si>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</si>
  <si>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</si>
  <si>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</si>
  <si>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</si>
  <si>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</si>
  <si>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</si>
  <si>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</si>
  <si>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</si>
  <si>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</si>
  <si>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</si>
  <si>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</si>
  <si>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</si>
  <si>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</si>
  <si>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</si>
  <si>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</si>
  <si>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</si>
  <si>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</si>
  <si>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</si>
  <si>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</si>
  <si>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</si>
  <si>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</si>
  <si>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</si>
  <si>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</si>
  <si>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</si>
  <si>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</si>
  <si>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</si>
  <si>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</si>
  <si>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</si>
  <si>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</si>
  <si>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</si>
  <si>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</si>
  <si>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</si>
  <si>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</si>
  <si>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</si>
  <si>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</si>
  <si>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</si>
  <si>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</si>
  <si>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</si>
  <si>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</si>
  <si>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</si>
  <si>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</si>
  <si>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</si>
  <si>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</si>
  <si>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</si>
  <si>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</si>
  <si>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</si>
  <si>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</si>
  <si>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</si>
  <si>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</si>
  <si>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</si>
  <si>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</si>
  <si>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</si>
  <si>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</si>
  <si>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</si>
  <si>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</si>
  <si>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</si>
  <si>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</si>
  <si>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</si>
  <si>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</si>
  <si>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</si>
  <si>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</si>
  <si>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</si>
  <si>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</si>
  <si>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</si>
  <si>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</si>
  <si>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</si>
  <si>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</si>
  <si>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</si>
  <si>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</si>
  <si>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</si>
  <si>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</si>
  <si>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</si>
  <si>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</si>
  <si>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</si>
  <si>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</si>
  <si>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</si>
  <si>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</si>
  <si>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</si>
  <si>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</si>
  <si>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</si>
  <si>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</si>
  <si>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</si>
  <si>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</si>
  <si>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</si>
  <si>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</si>
  <si>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</si>
  <si>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</si>
  <si>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</si>
  <si>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</si>
  <si>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</si>
  <si>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</si>
  <si>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</si>
  <si>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</si>
  <si>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</si>
  <si>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</si>
  <si>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</si>
  <si>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</si>
  <si>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</si>
  <si>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</si>
  <si>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</si>
  <si>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</si>
  <si>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</si>
  <si>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</si>
  <si>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</si>
  <si>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</si>
  <si>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</si>
  <si>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</si>
  <si>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</si>
  <si>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</si>
  <si>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</si>
  <si>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</si>
  <si>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</si>
  <si>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</si>
  <si>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</si>
  <si>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</si>
  <si>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</si>
  <si>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</si>
  <si>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</si>
  <si>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</si>
  <si>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</si>
  <si>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</si>
  <si>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</si>
  <si>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</si>
  <si>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</si>
  <si>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</si>
  <si>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</si>
  <si>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</si>
  <si>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</si>
  <si>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</si>
  <si>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</si>
  <si>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</si>
  <si>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</si>
  <si>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</si>
  <si>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</si>
  <si>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</si>
  <si>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</si>
  <si>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</si>
  <si>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</si>
  <si>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</si>
  <si>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</si>
  <si>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</si>
  <si>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</si>
  <si>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</si>
  <si>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</si>
  <si>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</si>
  <si>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</si>
  <si>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</si>
  <si>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</si>
  <si>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</si>
  <si>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</si>
  <si>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</si>
  <si>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</si>
  <si>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</si>
  <si>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</si>
  <si>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</si>
  <si>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</si>
  <si>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</si>
  <si>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</si>
  <si>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</si>
  <si>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</si>
  <si>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</si>
  <si>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</si>
  <si>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</si>
  <si>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</si>
  <si>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</si>
  <si>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</si>
  <si>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</si>
  <si>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</si>
  <si>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</si>
  <si>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</si>
  <si>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</si>
  <si>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</si>
  <si>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</si>
  <si>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</si>
  <si>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</si>
  <si>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</si>
  <si>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</si>
  <si>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</si>
  <si>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</si>
  <si>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</si>
  <si>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</si>
  <si>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</si>
  <si>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</si>
  <si>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</si>
  <si>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</si>
  <si>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</si>
  <si>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</si>
  <si>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</si>
  <si>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</si>
  <si>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</si>
  <si>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</si>
  <si>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</si>
  <si>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</si>
  <si>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</si>
  <si>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</si>
  <si>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</si>
  <si>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</si>
  <si>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</si>
  <si>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</si>
  <si>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</si>
  <si>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</si>
  <si>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</si>
  <si>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</si>
  <si>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</si>
  <si>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</si>
  <si>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</si>
  <si>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</si>
  <si>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</si>
  <si>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</si>
  <si>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</si>
  <si>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</si>
  <si>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</si>
  <si>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</si>
  <si>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</si>
  <si>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</si>
  <si>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</si>
  <si>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</si>
  <si>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</si>
  <si>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</si>
  <si>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</si>
  <si>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</si>
  <si>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</si>
  <si>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</si>
  <si>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</si>
  <si>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</si>
  <si>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</si>
  <si>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</si>
  <si>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</si>
  <si>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</si>
  <si>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</si>
  <si>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</si>
  <si>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</si>
  <si>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</si>
  <si>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</si>
  <si>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</si>
  <si>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</si>
  <si>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</si>
  <si>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</si>
  <si>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</si>
  <si>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</si>
  <si>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</si>
  <si>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</si>
  <si>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</si>
  <si>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</si>
  <si>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</si>
  <si>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</si>
  <si>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</si>
  <si>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</si>
  <si>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</si>
  <si>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</si>
  <si>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</si>
  <si>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</si>
  <si>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</si>
  <si>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</si>
  <si>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</si>
  <si>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</si>
  <si>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</si>
  <si>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</si>
  <si>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</si>
  <si>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</si>
  <si>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</si>
  <si>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</si>
  <si>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</si>
  <si>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</si>
  <si>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</si>
  <si>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</si>
  <si>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</si>
  <si>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</si>
  <si>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</si>
  <si>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</si>
  <si>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</si>
  <si>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</si>
  <si>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</si>
  <si>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</si>
  <si>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</si>
  <si>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</si>
  <si>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</si>
  <si>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</si>
  <si>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</si>
  <si>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</si>
  <si>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</si>
  <si>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</si>
  <si>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</si>
  <si>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</si>
  <si>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</si>
  <si>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</si>
  <si>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</si>
  <si>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</si>
  <si>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</si>
  <si>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</si>
  <si>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</si>
  <si>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</si>
  <si>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</si>
  <si>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</si>
  <si>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</si>
  <si>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</si>
  <si>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</si>
  <si>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</si>
  <si>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</si>
  <si>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</si>
  <si>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</si>
  <si>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</si>
  <si>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</si>
  <si>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</si>
  <si>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</si>
  <si>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</si>
  <si>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</si>
  <si>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</si>
  <si>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</si>
  <si>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</si>
  <si>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</si>
  <si>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</si>
  <si>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</si>
  <si>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</si>
  <si>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</si>
  <si>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</si>
  <si>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</si>
  <si>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</si>
  <si>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</si>
  <si>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</si>
  <si>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</si>
  <si>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</si>
  <si>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</si>
  <si>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</si>
  <si>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</si>
  <si>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</si>
  <si>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</si>
  <si>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</si>
  <si>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</si>
  <si>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</si>
  <si>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</si>
  <si>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</si>
  <si>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</si>
  <si>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</si>
  <si>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</si>
  <si>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</si>
  <si>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</si>
  <si>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</si>
  <si>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</si>
  <si>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</si>
  <si>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</si>
  <si>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</si>
  <si>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</si>
  <si>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</si>
  <si>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</si>
  <si>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</si>
  <si>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</si>
  <si>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</si>
  <si>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</si>
  <si>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</si>
  <si>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</si>
  <si>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</si>
  <si>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</si>
  <si>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</si>
  <si>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</si>
  <si>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</si>
  <si>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</si>
  <si>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</si>
  <si>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</si>
  <si>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</si>
  <si>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</si>
  <si>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</si>
  <si>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</si>
  <si>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</si>
  <si>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</si>
  <si>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</si>
  <si>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</si>
  <si>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</si>
  <si>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</si>
  <si>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</si>
  <si>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</si>
  <si>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</si>
  <si>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</si>
  <si>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</si>
  <si>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</si>
  <si>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</si>
  <si>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</si>
  <si>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</si>
  <si>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</si>
  <si>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</si>
  <si>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</si>
  <si>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</si>
  <si>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</si>
  <si>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</si>
  <si>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</si>
  <si>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</si>
  <si>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</si>
  <si>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</si>
  <si>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</si>
  <si>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</si>
  <si>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</si>
  <si>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</si>
  <si>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</si>
  <si>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</si>
  <si>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</si>
  <si>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</si>
  <si>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</si>
  <si>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</si>
  <si>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</si>
  <si>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</si>
  <si>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</si>
  <si>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</si>
  <si>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</si>
  <si>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</si>
  <si>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</si>
  <si>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</si>
  <si>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</si>
  <si>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</si>
  <si>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</si>
  <si>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</si>
  <si>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</si>
  <si>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</si>
  <si>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</si>
  <si>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</si>
  <si>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</si>
  <si>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</si>
  <si>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</si>
  <si>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</si>
  <si>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</si>
  <si>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</si>
  <si>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</si>
  <si>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</si>
  <si>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</si>
  <si>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</si>
  <si>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</si>
  <si>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</si>
  <si>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</si>
  <si>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</si>
  <si>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</si>
  <si>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</si>
  <si>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</si>
  <si>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</si>
  <si>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</si>
  <si>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</si>
  <si>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</si>
  <si>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</si>
  <si>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</si>
  <si>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</si>
  <si>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</si>
  <si>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</si>
  <si>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</si>
  <si>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</si>
  <si>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</si>
  <si>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</si>
  <si>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</si>
  <si>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</si>
  <si>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</si>
  <si>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</si>
  <si>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</si>
  <si>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</si>
  <si>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</si>
  <si>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</si>
  <si>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</si>
  <si>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</si>
  <si>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</si>
  <si>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</si>
  <si>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</si>
  <si>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</si>
  <si>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</si>
  <si>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</si>
  <si>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</si>
  <si>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</si>
  <si>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</si>
  <si>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</si>
  <si>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</si>
  <si>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</si>
  <si>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</si>
  <si>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</si>
  <si>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</si>
  <si>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</si>
  <si>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</si>
  <si>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</si>
  <si>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</si>
  <si>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</si>
  <si>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</si>
  <si>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</si>
  <si>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</si>
  <si>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</si>
  <si>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</si>
  <si>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</si>
  <si>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</si>
  <si>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</si>
  <si>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</si>
  <si>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</si>
  <si>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</si>
  <si>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</si>
  <si>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</si>
  <si>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</si>
  <si>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</si>
  <si>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</si>
  <si>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</si>
  <si>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</si>
  <si>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</si>
  <si>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</si>
  <si>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</si>
  <si>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</si>
  <si>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</si>
  <si>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</si>
  <si>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</si>
  <si>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</si>
  <si>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</si>
  <si>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</si>
  <si>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</si>
  <si>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</si>
  <si>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</si>
  <si>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</si>
  <si>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</si>
  <si>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</si>
  <si>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</si>
  <si>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</si>
  <si>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</si>
  <si>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</si>
  <si>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</si>
  <si>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</si>
  <si>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</si>
  <si>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</si>
  <si>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</si>
  <si>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</si>
  <si>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</si>
  <si>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</si>
  <si>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</si>
  <si>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</si>
  <si>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</si>
  <si>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</si>
  <si>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</si>
  <si>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</si>
  <si>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</si>
  <si>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</si>
  <si>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</si>
  <si>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</si>
  <si>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</si>
  <si>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</si>
  <si>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</si>
  <si>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</si>
  <si>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</si>
  <si>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</si>
  <si>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</si>
  <si>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</si>
  <si>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</si>
  <si>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</si>
  <si>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</si>
  <si>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</si>
  <si>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</si>
  <si>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</si>
  <si>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</si>
  <si>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</si>
  <si>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</si>
  <si>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</si>
  <si>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</si>
  <si>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</si>
  <si>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</si>
  <si>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</si>
  <si>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</si>
  <si>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</si>
  <si>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</si>
  <si>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</si>
  <si>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</si>
  <si>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</si>
  <si>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</si>
  <si>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</si>
  <si>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</si>
  <si>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</si>
  <si>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</si>
  <si>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</si>
  <si>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</si>
  <si>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</si>
  <si>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</si>
  <si>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</si>
  <si>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</si>
  <si>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</si>
  <si>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</si>
  <si>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</si>
  <si>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</si>
  <si>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</si>
  <si>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</si>
  <si>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</si>
  <si>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</si>
  <si>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</si>
  <si>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</si>
  <si>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</si>
  <si>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</si>
  <si>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</si>
  <si>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</si>
  <si>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</si>
  <si>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</si>
  <si>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</si>
  <si>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</si>
  <si>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</si>
  <si>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</si>
  <si>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</si>
  <si>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</si>
  <si>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</si>
  <si>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</si>
  <si>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</si>
  <si>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</si>
  <si>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</si>
  <si>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</si>
  <si>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</si>
  <si>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</si>
  <si>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</si>
  <si>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</si>
  <si>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</si>
  <si>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</si>
  <si>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</si>
  <si>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</si>
  <si>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</si>
  <si>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</si>
  <si>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</si>
  <si>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</si>
  <si>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</si>
  <si>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</si>
  <si>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</si>
  <si>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</si>
  <si>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</si>
  <si>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</si>
  <si>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</si>
  <si>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</si>
  <si>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</si>
  <si>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</si>
  <si>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</si>
  <si>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</si>
  <si>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</si>
  <si>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</si>
  <si>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</si>
  <si>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</si>
  <si>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</si>
  <si>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</si>
  <si>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</si>
  <si>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</si>
  <si>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</si>
  <si>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</si>
  <si>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</si>
  <si>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</si>
  <si>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</si>
  <si>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</si>
  <si>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</si>
  <si>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</si>
  <si>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</si>
  <si>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</si>
  <si>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</si>
  <si>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</si>
  <si>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</si>
  <si>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</si>
  <si>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</si>
  <si>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</si>
  <si>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</si>
  <si>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</si>
  <si>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</si>
  <si>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</si>
  <si>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</si>
  <si>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</si>
  <si>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</si>
  <si>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</si>
  <si>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</si>
  <si>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</si>
  <si>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</si>
  <si>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</si>
  <si>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</si>
  <si>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</si>
  <si>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</si>
  <si>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</si>
  <si>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</si>
  <si>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</si>
  <si>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</si>
  <si>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</si>
  <si>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</si>
  <si>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</si>
  <si>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</si>
  <si>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</si>
  <si>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</si>
  <si>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</si>
  <si>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</si>
  <si>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</si>
  <si>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</si>
  <si>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</si>
  <si>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</si>
  <si>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</si>
  <si>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</si>
  <si>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</si>
  <si>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</si>
  <si>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</si>
  <si>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</si>
  <si>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</si>
  <si>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</si>
  <si>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</si>
  <si>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</si>
  <si>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</si>
  <si>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</si>
  <si>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</si>
  <si>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</si>
  <si>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</si>
  <si>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</si>
  <si>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</si>
  <si>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</si>
  <si>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</si>
  <si>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</si>
  <si>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</si>
  <si>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</si>
  <si>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</si>
  <si>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</si>
  <si>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</si>
  <si>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</si>
  <si>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</si>
  <si>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</si>
  <si>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</si>
  <si>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</si>
  <si>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</si>
  <si>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</si>
  <si>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</si>
  <si>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</si>
  <si>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</si>
  <si>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</si>
  <si>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</si>
  <si>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</si>
  <si>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</si>
  <si>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</si>
  <si>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</si>
  <si>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</si>
  <si>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</si>
  <si>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</si>
  <si>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</si>
  <si>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</si>
  <si>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</si>
  <si>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</si>
  <si>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</si>
  <si>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</si>
  <si>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</si>
  <si>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</si>
  <si>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</si>
  <si>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</si>
  <si>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</si>
  <si>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</si>
  <si>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</si>
  <si>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</si>
  <si>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</si>
  <si>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</si>
  <si>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</si>
  <si>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</si>
  <si>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</si>
  <si>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</si>
  <si>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</si>
  <si>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</si>
  <si>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</si>
  <si>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</si>
  <si>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</si>
  <si>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</si>
  <si>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</si>
  <si>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</si>
  <si>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</si>
  <si>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</si>
  <si>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</si>
  <si>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</si>
  <si>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</si>
  <si>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</si>
  <si>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</si>
  <si>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</si>
  <si>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</si>
  <si>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</si>
  <si>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</si>
  <si>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</si>
  <si>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</si>
  <si>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</si>
  <si>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</si>
  <si>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</si>
  <si>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</si>
  <si>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</si>
  <si>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</si>
  <si>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</si>
  <si>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</si>
  <si>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</si>
  <si>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</si>
  <si>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</si>
  <si>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</si>
  <si>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</si>
  <si>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</si>
  <si>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</si>
  <si>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</si>
  <si>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</si>
  <si>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</si>
  <si>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</si>
  <si>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</si>
  <si>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</si>
  <si>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</si>
  <si>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</si>
  <si>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</si>
  <si>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</si>
  <si>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</si>
  <si>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</si>
  <si>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</si>
  <si>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</si>
  <si>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</si>
  <si>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</si>
  <si>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</si>
  <si>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</si>
  <si>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</si>
  <si>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</si>
  <si>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</si>
  <si>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</si>
  <si>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</si>
  <si>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</si>
  <si>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</si>
  <si>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</si>
  <si>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</si>
  <si>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</si>
  <si>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</si>
  <si>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</si>
  <si>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</si>
  <si>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</si>
  <si>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</si>
  <si>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</si>
  <si>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</si>
  <si>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</si>
  <si>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</si>
  <si>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</si>
  <si>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</si>
  <si>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</si>
  <si>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</si>
  <si>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</si>
  <si>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</si>
  <si>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</si>
  <si>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</si>
  <si>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</si>
  <si>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</si>
  <si>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</si>
  <si>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</si>
  <si>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</si>
  <si>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</si>
  <si>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</si>
  <si>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</si>
  <si>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</si>
  <si>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</si>
  <si>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</si>
  <si>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</si>
  <si>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</si>
  <si>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</si>
  <si>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</si>
  <si>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</si>
  <si>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</si>
  <si>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</si>
  <si>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</si>
  <si>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</si>
  <si>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</si>
  <si>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</si>
  <si>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</si>
  <si>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</si>
  <si>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</si>
  <si>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</si>
  <si>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</si>
  <si>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</si>
  <si>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</si>
  <si>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</si>
  <si>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</si>
  <si>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</si>
  <si>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</si>
  <si>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</si>
  <si>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</si>
  <si>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</si>
  <si>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</si>
  <si>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</si>
  <si>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</si>
  <si>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</si>
  <si>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</si>
  <si>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</si>
  <si>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</si>
  <si>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</si>
  <si>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</si>
  <si>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</si>
  <si>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</si>
  <si>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</si>
  <si>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</si>
  <si>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</si>
  <si>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</si>
  <si>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</si>
  <si>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</si>
  <si>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</si>
  <si>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</si>
  <si>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</si>
  <si>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</si>
  <si>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</si>
  <si>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</si>
  <si>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</si>
  <si>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</si>
  <si>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</si>
  <si>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</si>
  <si>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</si>
  <si>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</si>
  <si>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</si>
  <si>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</si>
  <si>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</si>
  <si>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</si>
  <si>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</si>
  <si>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</si>
  <si>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</si>
  <si>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</si>
  <si>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</si>
  <si>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</si>
  <si>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</si>
  <si>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</si>
  <si>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</si>
  <si>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</si>
  <si>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</si>
  <si>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</si>
  <si>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</si>
  <si>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</si>
  <si>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</si>
  <si>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</si>
  <si>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</si>
  <si>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</si>
  <si>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</si>
  <si>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</si>
  <si>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</si>
  <si>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</si>
  <si>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</si>
  <si>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</si>
  <si>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</si>
  <si>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</si>
  <si>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</si>
  <si>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</si>
  <si>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</si>
  <si>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</si>
  <si>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</si>
  <si>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</si>
  <si>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</si>
  <si>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</si>
  <si>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</si>
  <si>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</si>
  <si>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</si>
  <si>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</si>
  <si>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</si>
  <si>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</si>
  <si>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</si>
  <si>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</si>
  <si>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</si>
  <si>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</si>
  <si>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</si>
  <si>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</si>
  <si>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</si>
  <si>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</si>
  <si>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</si>
  <si>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</si>
  <si>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</si>
  <si>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</si>
  <si>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</si>
  <si>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</si>
  <si>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</si>
  <si>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</si>
  <si>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</si>
  <si>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</si>
  <si>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</si>
  <si>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</si>
  <si>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</si>
  <si>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</si>
  <si>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</si>
  <si>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</si>
  <si>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</si>
  <si>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</si>
  <si>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</si>
  <si>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</si>
  <si>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</si>
  <si>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</si>
  <si>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</si>
  <si>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</si>
  <si>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</si>
  <si>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</si>
  <si>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</si>
  <si>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</si>
  <si>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</si>
  <si>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</si>
  <si>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</si>
  <si>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</si>
  <si>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</si>
  <si>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</si>
  <si>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</si>
  <si>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</si>
  <si>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</si>
  <si>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</si>
  <si>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</si>
  <si>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</si>
  <si>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</si>
  <si>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</si>
  <si>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</si>
  <si>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</si>
  <si>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</si>
  <si>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</si>
  <si>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</si>
  <si>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</si>
  <si>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</si>
  <si>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</si>
  <si>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</si>
  <si>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</si>
  <si>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</si>
  <si>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</si>
  <si>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</si>
  <si>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</si>
  <si>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</si>
  <si>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</si>
  <si>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</si>
  <si>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</si>
  <si>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</si>
  <si>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</si>
  <si>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</si>
  <si>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</si>
  <si>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</si>
  <si>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</si>
  <si>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</si>
  <si>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</si>
  <si>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</si>
  <si>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</si>
  <si>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</si>
  <si>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</si>
  <si>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</si>
  <si>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</si>
  <si>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</si>
  <si>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</si>
  <si>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</si>
  <si>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</si>
  <si>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</si>
  <si>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</si>
  <si>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</si>
  <si>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</si>
  <si>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</si>
  <si>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</si>
  <si>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</si>
  <si>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</si>
  <si>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</si>
  <si>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</si>
  <si>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</si>
  <si>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</si>
  <si>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</si>
  <si>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</si>
  <si>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</si>
  <si>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</si>
  <si>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</si>
  <si>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</si>
  <si>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</si>
  <si>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</si>
  <si>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</si>
  <si>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</si>
  <si>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</si>
  <si>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</si>
  <si>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</si>
  <si>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</si>
  <si>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</si>
  <si>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</si>
  <si>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</si>
  <si>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</si>
  <si>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</si>
  <si>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</si>
  <si>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</si>
  <si>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</si>
  <si>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</si>
  <si>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</si>
  <si>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</si>
  <si>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</si>
  <si>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</si>
  <si>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</si>
  <si>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</si>
  <si>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</si>
  <si>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</si>
  <si>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</si>
  <si>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</si>
  <si>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</si>
  <si>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</si>
  <si>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</si>
  <si>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</si>
  <si>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</si>
  <si>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</si>
  <si>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</si>
  <si>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</si>
  <si>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</si>
  <si>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</si>
  <si>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</si>
  <si>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</si>
  <si>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</si>
  <si>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</si>
  <si>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</si>
  <si>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</si>
  <si>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</si>
  <si>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</si>
  <si>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</si>
  <si>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</si>
  <si>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</si>
  <si>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</si>
  <si>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</si>
  <si>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</si>
  <si>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</si>
  <si>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</si>
  <si>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</si>
  <si>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</si>
  <si>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</si>
  <si>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</si>
  <si>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</si>
  <si>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</si>
  <si>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</si>
  <si>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</si>
  <si>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</si>
  <si>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</si>
  <si>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</si>
  <si>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</si>
  <si>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</si>
  <si>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</si>
  <si>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</si>
  <si>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</si>
  <si>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</si>
  <si>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</si>
  <si>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</si>
  <si>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</si>
  <si>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</si>
  <si>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</si>
  <si>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</si>
  <si>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</si>
  <si>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</si>
  <si>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</si>
  <si>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</si>
  <si>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</si>
  <si>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</si>
  <si>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</si>
  <si>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</si>
  <si>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</si>
  <si>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</si>
  <si>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</si>
  <si>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</si>
  <si>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</si>
  <si>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</si>
  <si>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</si>
  <si>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</si>
  <si>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</si>
  <si>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</si>
  <si>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</si>
  <si>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</si>
  <si>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</si>
  <si>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</si>
  <si>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</si>
  <si>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</si>
  <si>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</si>
  <si>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</si>
  <si>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</si>
  <si>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</si>
  <si>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</si>
  <si>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</si>
  <si>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</si>
  <si>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</si>
  <si>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</si>
  <si>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</si>
  <si>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</si>
  <si>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</si>
  <si>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</si>
  <si>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</si>
  <si>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</si>
  <si>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</si>
  <si>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</si>
  <si>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</si>
  <si>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</si>
  <si>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</si>
  <si>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</si>
  <si>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</si>
  <si>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</si>
  <si>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</si>
  <si>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</si>
  <si>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</si>
  <si>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</si>
  <si>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</si>
  <si>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</si>
  <si>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</si>
  <si>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</si>
  <si>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</si>
  <si>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</si>
  <si>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</si>
  <si>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</si>
  <si>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</si>
  <si>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</si>
  <si>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</si>
  <si>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</si>
  <si>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</si>
  <si>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</si>
  <si>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</si>
  <si>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</si>
  <si>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</si>
  <si>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</si>
  <si>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</si>
  <si>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</si>
  <si>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</si>
  <si>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</si>
  <si>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</si>
  <si>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</si>
  <si>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</si>
  <si>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</si>
  <si>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</si>
  <si>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</si>
  <si>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</si>
  <si>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</si>
  <si>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</si>
  <si>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</si>
  <si>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</si>
  <si>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</si>
  <si>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</si>
  <si>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</si>
  <si>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</si>
  <si>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</si>
  <si>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</si>
  <si>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</si>
  <si>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</si>
  <si>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</si>
  <si>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</si>
  <si>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</si>
  <si>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</si>
  <si>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</si>
  <si>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</si>
  <si>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</si>
  <si>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</si>
  <si>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</si>
  <si>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</si>
  <si>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</si>
  <si>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</si>
  <si>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</si>
  <si>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</si>
  <si>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</si>
  <si>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</si>
  <si>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</si>
  <si>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</si>
  <si>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</si>
  <si>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</si>
  <si>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</si>
  <si>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</si>
  <si>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</si>
  <si>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</si>
  <si>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</si>
  <si>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</si>
  <si>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</si>
  <si>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</si>
  <si>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</si>
  <si>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</si>
  <si>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</si>
  <si>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</si>
  <si>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</si>
  <si>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</si>
  <si>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</si>
  <si>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</si>
  <si>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</si>
  <si>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</si>
  <si>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</si>
  <si>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</si>
  <si>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</si>
  <si>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</si>
  <si>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</si>
  <si>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</si>
  <si>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</si>
  <si>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</si>
  <si>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</si>
  <si>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</si>
  <si>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</si>
  <si>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</si>
  <si>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</si>
  <si>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</si>
  <si>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</si>
  <si>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</si>
  <si>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</si>
  <si>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</si>
  <si>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</si>
  <si>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</si>
  <si>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</si>
  <si>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</si>
  <si>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</si>
  <si>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</si>
  <si>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</si>
  <si>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</si>
  <si>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</si>
  <si>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</si>
  <si>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</si>
  <si>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</si>
  <si>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</si>
  <si>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</si>
  <si>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</si>
  <si>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</si>
  <si>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</si>
  <si>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</si>
  <si>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</si>
  <si>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</si>
  <si>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</si>
  <si>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</si>
  <si>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</si>
  <si>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</si>
  <si>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</si>
  <si>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</si>
  <si>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</si>
  <si>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</si>
  <si>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</si>
  <si>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</si>
  <si>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</si>
  <si>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</si>
  <si>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</si>
  <si>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</si>
  <si>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</si>
  <si>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</si>
  <si>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</si>
  <si>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</si>
  <si>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</si>
  <si>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</si>
  <si>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</si>
  <si>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</si>
  <si>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</si>
  <si>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</si>
  <si>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</si>
  <si>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</si>
  <si>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</si>
  <si>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</si>
  <si>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</si>
  <si>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</si>
  <si>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</si>
  <si>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</si>
  <si>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</si>
  <si>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</si>
  <si>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</si>
  <si>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</si>
  <si>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</si>
  <si>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</si>
  <si>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</si>
  <si>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</si>
  <si>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</si>
  <si>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</si>
  <si>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</si>
  <si>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</si>
  <si>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</si>
  <si>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</si>
  <si>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</si>
  <si>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</si>
  <si>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</si>
  <si>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</si>
  <si>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</si>
  <si>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</si>
  <si>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</si>
  <si>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</si>
  <si>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</si>
  <si>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</si>
  <si>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</si>
  <si>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</si>
  <si>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</si>
  <si>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</si>
  <si>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</si>
  <si>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</si>
  <si>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</si>
  <si>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</si>
  <si>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</si>
  <si>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</si>
  <si>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</si>
  <si>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</si>
  <si>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</si>
  <si>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</si>
  <si>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</si>
  <si>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</si>
  <si>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</si>
  <si>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</si>
  <si>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</si>
  <si>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</si>
  <si>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</si>
  <si>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</si>
  <si>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</si>
  <si>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</si>
  <si>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</si>
  <si>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</si>
  <si>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</si>
  <si>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</si>
  <si>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</si>
  <si>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</si>
  <si>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</si>
  <si>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</si>
  <si>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</si>
  <si>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</si>
  <si>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</si>
  <si>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</si>
  <si>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</si>
  <si>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</si>
  <si>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</si>
  <si>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</si>
  <si>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</si>
  <si>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</si>
  <si>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</si>
  <si>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</si>
  <si>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</si>
  <si>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</si>
  <si>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</si>
  <si>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</si>
  <si>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</si>
  <si>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</si>
  <si>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</si>
  <si>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</si>
  <si>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</si>
  <si>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</si>
  <si>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</si>
  <si>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</si>
  <si>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</si>
  <si>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</si>
  <si>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</si>
  <si>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</si>
  <si>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</si>
  <si>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</si>
  <si>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</si>
  <si>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</si>
  <si>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</si>
  <si>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</si>
  <si>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</si>
  <si>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</si>
  <si>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</si>
  <si>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</si>
  <si>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</si>
  <si>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</si>
  <si>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</si>
  <si>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</si>
  <si>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</si>
  <si>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</si>
  <si>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</si>
  <si>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</si>
  <si>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</si>
  <si>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</si>
  <si>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</si>
  <si>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</si>
  <si>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</si>
  <si>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</si>
  <si>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</si>
  <si>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</si>
  <si>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</si>
  <si>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</si>
  <si>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</si>
  <si>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</si>
  <si>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</si>
  <si>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</si>
  <si>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</si>
  <si>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</si>
  <si>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</si>
  <si>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</si>
  <si>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</si>
  <si>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</si>
  <si>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</si>
  <si>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</si>
  <si>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</si>
  <si>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</si>
  <si>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</si>
  <si>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</si>
  <si>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</si>
  <si>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</si>
  <si>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</si>
  <si>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</si>
  <si>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</si>
  <si>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</si>
  <si>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</si>
  <si>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</si>
  <si>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</si>
  <si>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</si>
  <si>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</si>
  <si>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</si>
  <si>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</si>
  <si>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</si>
  <si>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</si>
  <si>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</si>
  <si>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</si>
  <si>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</si>
  <si>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</si>
  <si>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</si>
  <si>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</si>
  <si>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</si>
  <si>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</si>
  <si>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</si>
  <si>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</si>
  <si>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</si>
  <si>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</si>
  <si>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</si>
  <si>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</si>
  <si>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</si>
  <si>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</si>
  <si>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</si>
  <si>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土地证</t>
    <phoneticPr fontId="134" type="noConversion"/>
  </si>
  <si>
    <r>
      <t>广安门外大街1</t>
    </r>
    <r>
      <rPr>
        <sz val="11"/>
        <color theme="1"/>
        <rFont val="宋体"/>
        <family val="3"/>
        <charset val="134"/>
        <scheme val="minor"/>
      </rPr>
      <t>78、180、甲180号</t>
    </r>
    <phoneticPr fontId="134" type="noConversion"/>
  </si>
  <si>
    <t>土地面积</t>
    <phoneticPr fontId="134" type="noConversion"/>
  </si>
  <si>
    <t>年期</t>
    <phoneticPr fontId="134" type="noConversion"/>
  </si>
  <si>
    <r>
      <t>0</t>
    </r>
    <r>
      <rPr>
        <sz val="11"/>
        <color theme="1"/>
        <rFont val="宋体"/>
        <family val="3"/>
        <charset val="134"/>
        <scheme val="minor"/>
      </rPr>
      <t>0120号</t>
    </r>
    <phoneticPr fontId="134" type="noConversion"/>
  </si>
  <si>
    <r>
      <t>0</t>
    </r>
    <r>
      <rPr>
        <sz val="11"/>
        <color theme="1"/>
        <rFont val="宋体"/>
        <family val="3"/>
        <charset val="134"/>
        <scheme val="minor"/>
      </rPr>
      <t>0119号</t>
    </r>
    <phoneticPr fontId="134" type="noConversion"/>
  </si>
  <si>
    <t>建筑面积</t>
    <phoneticPr fontId="134" type="noConversion"/>
  </si>
  <si>
    <r>
      <t>0</t>
    </r>
    <r>
      <rPr>
        <sz val="11"/>
        <color theme="1"/>
        <rFont val="宋体"/>
        <family val="3"/>
        <charset val="134"/>
        <scheme val="minor"/>
      </rPr>
      <t>014425号</t>
    </r>
    <phoneticPr fontId="134" type="noConversion"/>
  </si>
  <si>
    <t>房产证</t>
    <phoneticPr fontId="134" type="noConversion"/>
  </si>
  <si>
    <t>部位及房号</t>
    <phoneticPr fontId="134" type="noConversion"/>
  </si>
  <si>
    <t>2-2</t>
    <phoneticPr fontId="134" type="noConversion"/>
  </si>
  <si>
    <t>楼层</t>
    <phoneticPr fontId="134" type="noConversion"/>
  </si>
  <si>
    <t>1层</t>
    <phoneticPr fontId="134" type="noConversion"/>
  </si>
  <si>
    <t>间数</t>
    <phoneticPr fontId="134" type="noConversion"/>
  </si>
  <si>
    <r>
      <t>-</t>
    </r>
    <r>
      <rPr>
        <sz val="11"/>
        <color theme="1"/>
        <rFont val="宋体"/>
        <family val="3"/>
        <charset val="134"/>
        <scheme val="minor"/>
      </rPr>
      <t>01</t>
    </r>
    <phoneticPr fontId="134" type="noConversion"/>
  </si>
  <si>
    <t>合计</t>
    <phoneticPr fontId="134" type="noConversion"/>
  </si>
  <si>
    <t>2-1</t>
    <phoneticPr fontId="134" type="noConversion"/>
  </si>
  <si>
    <t>2层</t>
    <phoneticPr fontId="134" type="noConversion"/>
  </si>
  <si>
    <t>3层</t>
    <phoneticPr fontId="134" type="noConversion"/>
  </si>
  <si>
    <t>-02</t>
    <phoneticPr fontId="134" type="noConversion"/>
  </si>
  <si>
    <t>0014427号</t>
    <phoneticPr fontId="134" type="noConversion"/>
  </si>
  <si>
    <t>-1层</t>
    <phoneticPr fontId="134" type="noConversion"/>
  </si>
  <si>
    <t>-2层</t>
    <phoneticPr fontId="134" type="noConversion"/>
  </si>
  <si>
    <t>出租面积</t>
    <phoneticPr fontId="134" type="noConversion"/>
  </si>
  <si>
    <t>用途</t>
    <phoneticPr fontId="134" type="noConversion"/>
  </si>
  <si>
    <t>综合</t>
    <phoneticPr fontId="134" type="noConversion"/>
  </si>
  <si>
    <t>？</t>
    <phoneticPr fontId="134" type="noConversion"/>
  </si>
  <si>
    <t>系数</t>
    <phoneticPr fontId="134" type="noConversion"/>
  </si>
  <si>
    <t>租赁合同</t>
    <phoneticPr fontId="134" type="noConversion"/>
  </si>
  <si>
    <t>车库</t>
    <phoneticPr fontId="134" type="noConversion"/>
  </si>
  <si>
    <t>北京市</t>
  </si>
  <si>
    <t>企业</t>
  </si>
  <si>
    <t>抵押</t>
  </si>
  <si>
    <t>房地产抵押价值</t>
  </si>
  <si>
    <t>是</t>
  </si>
  <si>
    <t>地上</t>
  </si>
  <si>
    <t>地下</t>
  </si>
  <si>
    <t>成新度</t>
  </si>
  <si>
    <t>收益法</t>
  </si>
  <si>
    <t>商务金融用地</t>
  </si>
  <si>
    <t>不临65条商业街</t>
  </si>
  <si>
    <t>押一</t>
  </si>
  <si>
    <t>钢混</t>
  </si>
  <si>
    <t>非生产用房</t>
  </si>
  <si>
    <t>否</t>
  </si>
  <si>
    <t>现房</t>
  </si>
  <si>
    <t>项目局部</t>
  </si>
  <si>
    <t>成本法</t>
  </si>
  <si>
    <t>总价</t>
  </si>
  <si>
    <t>成本比率</t>
  </si>
  <si>
    <t>建安取值</t>
  </si>
  <si>
    <t>建筑面积</t>
  </si>
  <si>
    <t>单方建安</t>
  </si>
  <si>
    <t>合计</t>
  </si>
  <si>
    <t>工程进度</t>
  </si>
  <si>
    <t>主体</t>
  </si>
  <si>
    <t>装修</t>
  </si>
  <si>
    <t>设备</t>
  </si>
  <si>
    <t>人防</t>
  </si>
  <si>
    <t>综合平均</t>
  </si>
  <si>
    <t>建成年代</t>
  </si>
  <si>
    <t>砖混</t>
  </si>
  <si>
    <t>残值率</t>
  </si>
  <si>
    <t>直线折旧</t>
  </si>
  <si>
    <t>观察成新</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</si>
  <si>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</si>
  <si>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</si>
  <si>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</si>
  <si>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</si>
  <si>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</si>
  <si>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</si>
  <si>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</si>
  <si>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</si>
  <si>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</si>
  <si>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</si>
  <si>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</si>
  <si>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</si>
  <si>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</si>
  <si>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</si>
  <si>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</si>
  <si>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 xml:space="preserve"> -- </t>
  </si>
  <si>
    <t xml:space="preserve">-- </t>
  </si>
  <si>
    <t>2023-12-28 15:00</t>
  </si>
  <si>
    <t xml:space="preserve"> --</t>
  </si>
  <si>
    <t>2023-06-13 15:00</t>
  </si>
  <si>
    <t>2022-08-25 15:00</t>
  </si>
  <si>
    <r>
      <rPr>
        <sz val="10"/>
        <color theme="1"/>
        <rFont val="Arial Unicode MS"/>
        <family val="2"/>
        <charset val="134"/>
      </rPr>
      <t>地块名称</t>
    </r>
  </si>
  <si>
    <r>
      <rPr>
        <sz val="10"/>
        <color theme="1"/>
        <rFont val="Arial Unicode MS"/>
        <family val="2"/>
        <charset val="134"/>
      </rPr>
      <t>城市</t>
    </r>
  </si>
  <si>
    <r>
      <rPr>
        <sz val="10"/>
        <color theme="1"/>
        <rFont val="Arial Unicode MS"/>
        <family val="2"/>
        <charset val="134"/>
      </rPr>
      <t>省份</t>
    </r>
  </si>
  <si>
    <r>
      <rPr>
        <sz val="10"/>
        <color theme="1"/>
        <rFont val="Arial Unicode MS"/>
        <family val="2"/>
        <charset val="134"/>
      </rPr>
      <t>区县</t>
    </r>
  </si>
  <si>
    <r>
      <rPr>
        <sz val="10"/>
        <color theme="1"/>
        <rFont val="Arial Unicode MS"/>
        <family val="2"/>
        <charset val="134"/>
      </rPr>
      <t>板块</t>
    </r>
  </si>
  <si>
    <r>
      <rPr>
        <sz val="10"/>
        <color theme="1"/>
        <rFont val="Arial Unicode MS"/>
        <family val="2"/>
        <charset val="134"/>
      </rPr>
      <t>公告编号</t>
    </r>
  </si>
  <si>
    <r>
      <rPr>
        <sz val="10"/>
        <color theme="1"/>
        <rFont val="Arial Unicode MS"/>
        <family val="2"/>
        <charset val="134"/>
      </rPr>
      <t>地块编号</t>
    </r>
  </si>
  <si>
    <r>
      <rPr>
        <sz val="10"/>
        <color theme="1"/>
        <rFont val="Arial Unicode MS"/>
        <family val="2"/>
        <charset val="134"/>
      </rPr>
      <t>土地位置</t>
    </r>
  </si>
  <si>
    <r>
      <rPr>
        <sz val="10"/>
        <color theme="1"/>
        <rFont val="Arial Unicode MS"/>
        <family val="2"/>
        <charset val="134"/>
      </rPr>
      <t>建设用地面积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</si>
  <si>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规划建筑面积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</si>
  <si>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</si>
  <si>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成交保障房面积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</si>
  <si>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</si>
  <si>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成交自住房面积</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</si>
  <si>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用地性质</t>
    </r>
  </si>
  <si>
    <r>
      <rPr>
        <sz val="10"/>
        <color theme="1"/>
        <rFont val="Arial Unicode MS"/>
        <family val="2"/>
        <charset val="134"/>
      </rPr>
      <t>详细规划</t>
    </r>
  </si>
  <si>
    <r>
      <rPr>
        <sz val="10"/>
        <color theme="1"/>
        <rFont val="Arial Unicode MS"/>
        <family val="2"/>
        <charset val="134"/>
      </rPr>
      <t>建设用地分类</t>
    </r>
  </si>
  <si>
    <r>
      <rPr>
        <sz val="10"/>
        <color theme="1"/>
        <rFont val="Arial Unicode MS"/>
        <family val="2"/>
        <charset val="134"/>
      </rPr>
      <t>出让年限</t>
    </r>
    <r>
      <rPr>
        <sz val="10"/>
        <color theme="1"/>
        <rFont val="Arial"/>
        <family val="2"/>
      </rPr>
      <t>(</t>
    </r>
    <r>
      <rPr>
        <sz val="10"/>
        <color theme="1"/>
        <rFont val="Arial Unicode MS"/>
        <family val="2"/>
        <charset val="134"/>
      </rPr>
      <t>年</t>
    </r>
    <r>
      <rPr>
        <sz val="10"/>
        <color theme="1"/>
        <rFont val="Arial"/>
        <family val="2"/>
      </rPr>
      <t>)</t>
    </r>
  </si>
  <si>
    <r>
      <rPr>
        <sz val="10"/>
        <color theme="1"/>
        <rFont val="Arial Unicode MS"/>
        <family val="2"/>
        <charset val="134"/>
      </rPr>
      <t>容积率</t>
    </r>
  </si>
  <si>
    <r>
      <rPr>
        <sz val="10"/>
        <color theme="1"/>
        <rFont val="Arial Unicode MS"/>
        <family val="2"/>
        <charset val="134"/>
      </rPr>
      <t>容积率上限</t>
    </r>
  </si>
  <si>
    <r>
      <rPr>
        <sz val="10"/>
        <color theme="1"/>
        <rFont val="Arial Unicode MS"/>
        <family val="2"/>
        <charset val="134"/>
      </rPr>
      <t>商业比例</t>
    </r>
    <r>
      <rPr>
        <sz val="10"/>
        <color theme="1"/>
        <rFont val="Arial"/>
        <family val="2"/>
      </rPr>
      <t>(%)</t>
    </r>
  </si>
  <si>
    <r>
      <rPr>
        <sz val="10"/>
        <color theme="1"/>
        <rFont val="Arial Unicode MS"/>
        <family val="2"/>
        <charset val="134"/>
      </rPr>
      <t>建筑密度</t>
    </r>
  </si>
  <si>
    <r>
      <rPr>
        <sz val="10"/>
        <color theme="1"/>
        <rFont val="Arial Unicode MS"/>
        <family val="2"/>
        <charset val="134"/>
      </rPr>
      <t>限制高度</t>
    </r>
  </si>
  <si>
    <r>
      <rPr>
        <sz val="10"/>
        <color theme="1"/>
        <rFont val="Arial Unicode MS"/>
        <family val="2"/>
        <charset val="134"/>
      </rPr>
      <t>出让方式</t>
    </r>
  </si>
  <si>
    <r>
      <rPr>
        <sz val="10"/>
        <color theme="1"/>
        <rFont val="Arial Unicode MS"/>
        <family val="2"/>
        <charset val="134"/>
      </rPr>
      <t>集中供地</t>
    </r>
  </si>
  <si>
    <r>
      <rPr>
        <sz val="10"/>
        <color theme="1"/>
        <rFont val="Arial Unicode MS"/>
        <family val="2"/>
        <charset val="134"/>
      </rPr>
      <t>推出特殊政策</t>
    </r>
  </si>
  <si>
    <r>
      <rPr>
        <sz val="10"/>
        <color theme="1"/>
        <rFont val="Arial Unicode MS"/>
        <family val="2"/>
        <charset val="134"/>
      </rPr>
      <t>成交特殊政策</t>
    </r>
  </si>
  <si>
    <r>
      <rPr>
        <sz val="10"/>
        <color theme="1"/>
        <rFont val="Arial Unicode MS"/>
        <family val="2"/>
        <charset val="134"/>
      </rPr>
      <t>特殊用地类型</t>
    </r>
  </si>
  <si>
    <r>
      <rPr>
        <sz val="10"/>
        <color theme="1"/>
        <rFont val="Arial Unicode MS"/>
        <family val="2"/>
        <charset val="134"/>
      </rPr>
      <t>保障房类型</t>
    </r>
  </si>
  <si>
    <r>
      <rPr>
        <sz val="10"/>
        <color theme="1"/>
        <rFont val="Arial Unicode MS"/>
        <family val="2"/>
        <charset val="134"/>
      </rPr>
      <t>公告时间</t>
    </r>
  </si>
  <si>
    <r>
      <rPr>
        <sz val="10"/>
        <color theme="1"/>
        <rFont val="Arial Unicode MS"/>
        <family val="2"/>
        <charset val="134"/>
      </rPr>
      <t>起始时间</t>
    </r>
  </si>
  <si>
    <r>
      <rPr>
        <sz val="10"/>
        <color theme="1"/>
        <rFont val="Arial Unicode MS"/>
        <family val="2"/>
        <charset val="134"/>
      </rPr>
      <t>截止时间</t>
    </r>
  </si>
  <si>
    <r>
      <rPr>
        <sz val="10"/>
        <color theme="1"/>
        <rFont val="Arial Unicode MS"/>
        <family val="2"/>
        <charset val="134"/>
      </rPr>
      <t>成交时间</t>
    </r>
  </si>
  <si>
    <r>
      <rPr>
        <sz val="10"/>
        <color theme="1"/>
        <rFont val="Arial Unicode MS"/>
        <family val="2"/>
        <charset val="134"/>
      </rPr>
      <t>交易状态</t>
    </r>
  </si>
  <si>
    <r>
      <rPr>
        <sz val="10"/>
        <color theme="1"/>
        <rFont val="Arial Unicode MS"/>
        <family val="2"/>
        <charset val="134"/>
      </rPr>
      <t>开工进度</t>
    </r>
  </si>
  <si>
    <r>
      <rPr>
        <sz val="10"/>
        <color theme="1"/>
        <rFont val="Arial Unicode MS"/>
        <family val="2"/>
        <charset val="134"/>
      </rPr>
      <t>受让单位</t>
    </r>
  </si>
  <si>
    <r>
      <rPr>
        <sz val="10"/>
        <color theme="1"/>
        <rFont val="Arial Unicode MS"/>
        <family val="2"/>
        <charset val="134"/>
      </rPr>
      <t>拿地企业</t>
    </r>
  </si>
  <si>
    <r>
      <rPr>
        <sz val="10"/>
        <color theme="1"/>
        <rFont val="Arial Unicode MS"/>
        <family val="2"/>
        <charset val="134"/>
      </rPr>
      <t>企业性质</t>
    </r>
  </si>
  <si>
    <r>
      <rPr>
        <sz val="10"/>
        <color theme="1"/>
        <rFont val="Arial Unicode MS"/>
        <family val="2"/>
        <charset val="134"/>
      </rPr>
      <t>是否城投企业</t>
    </r>
  </si>
  <si>
    <r>
      <rPr>
        <sz val="10"/>
        <color theme="1"/>
        <rFont val="Arial Unicode MS"/>
        <family val="2"/>
        <charset val="134"/>
      </rPr>
      <t>起始价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</si>
  <si>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</si>
  <si>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保证金截止时间</t>
    </r>
  </si>
  <si>
    <r>
      <rPr>
        <sz val="10"/>
        <color theme="1"/>
        <rFont val="Arial Unicode MS"/>
        <family val="2"/>
        <charset val="134"/>
      </rPr>
      <t>成交价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</si>
  <si>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推出土地单价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</si>
  <si>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成交土地单价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</si>
  <si>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</si>
  <si>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成交每亩价</t>
    </r>
    <r>
      <rPr>
        <sz val="10"/>
        <color theme="1"/>
        <rFont val="Arial"/>
        <family val="2"/>
      </rPr>
      <t>(</t>
    </r>
    <r>
      <rPr>
        <sz val="10"/>
        <color theme="1"/>
        <rFont val="Arial Unicode MS"/>
        <family val="2"/>
        <charset val="134"/>
      </rPr>
      <t>万元</t>
    </r>
    <r>
      <rPr>
        <sz val="10"/>
        <color theme="1"/>
        <rFont val="Arial"/>
        <family val="2"/>
      </rPr>
      <t>/</t>
    </r>
    <r>
      <rPr>
        <sz val="10"/>
        <color theme="1"/>
        <rFont val="Arial Unicode MS"/>
        <family val="2"/>
        <charset val="134"/>
      </rPr>
      <t>亩</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</si>
  <si>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</si>
  <si>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</si>
  <si>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推出楼面价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</si>
  <si>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成交楼面价</t>
    </r>
    <r>
      <rPr>
        <sz val="10"/>
        <color theme="1"/>
        <rFont val="Arial"/>
        <family val="2"/>
      </rPr>
      <t>(</t>
    </r>
    <r>
      <rPr>
        <sz val="10"/>
        <color theme="1"/>
        <rFont val="Arial Unicode MS"/>
        <family val="2"/>
        <charset val="134"/>
      </rPr>
      <t>除保障房</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</si>
  <si>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t>
    </r>
    <r>
      <rPr>
        <sz val="10"/>
        <color theme="1"/>
        <rFont val="Arial"/>
        <family val="2"/>
      </rPr>
      <t>(%)</t>
    </r>
  </si>
  <si>
    <r>
      <rPr>
        <sz val="10"/>
        <color theme="1"/>
        <rFont val="Arial Unicode MS"/>
        <family val="2"/>
        <charset val="134"/>
      </rPr>
      <t>限地价</t>
    </r>
    <r>
      <rPr>
        <sz val="10"/>
        <color theme="1"/>
        <rFont val="Arial"/>
        <family val="2"/>
      </rPr>
      <t>(</t>
    </r>
    <r>
      <rPr>
        <sz val="10"/>
        <color theme="1"/>
        <rFont val="Arial Unicode MS"/>
        <family val="2"/>
        <charset val="134"/>
      </rPr>
      <t>万元</t>
    </r>
    <r>
      <rPr>
        <sz val="10"/>
        <color theme="1"/>
        <rFont val="Arial"/>
        <family val="2"/>
      </rPr>
      <t>)</t>
    </r>
  </si>
  <si>
    <r>
      <rPr>
        <sz val="10"/>
        <color theme="1"/>
        <rFont val="Arial Unicode MS"/>
        <family val="2"/>
        <charset val="134"/>
      </rPr>
      <t>触达限地价</t>
    </r>
  </si>
  <si>
    <r>
      <rPr>
        <sz val="10"/>
        <color theme="1"/>
        <rFont val="Arial Unicode MS"/>
        <family val="2"/>
        <charset val="134"/>
      </rPr>
      <t>政府指导价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</si>
  <si>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限售价</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</si>
  <si>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楼面价上限</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</si>
  <si>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溢价率上限</t>
    </r>
    <r>
      <rPr>
        <sz val="10"/>
        <color theme="1"/>
        <rFont val="Arial"/>
        <family val="2"/>
      </rPr>
      <t>(%)</t>
    </r>
  </si>
  <si>
    <r>
      <rPr>
        <sz val="10"/>
        <color theme="1"/>
        <rFont val="Arial Unicode MS"/>
        <family val="2"/>
        <charset val="134"/>
      </rPr>
      <t>房地价差</t>
    </r>
    <r>
      <rPr>
        <sz val="10"/>
        <color theme="1"/>
        <rFont val="Arial"/>
        <family val="2"/>
      </rPr>
      <t>(</t>
    </r>
    <r>
      <rPr>
        <sz val="10"/>
        <color theme="1"/>
        <rFont val="Arial Unicode MS"/>
        <family val="2"/>
        <charset val="134"/>
      </rPr>
      <t>元</t>
    </r>
    <r>
      <rPr>
        <sz val="10"/>
        <color theme="1"/>
        <rFont val="Arial"/>
        <family val="2"/>
      </rPr>
      <t>/</t>
    </r>
    <r>
      <rPr>
        <sz val="10"/>
        <color theme="1"/>
        <rFont val="Arial Unicode MS"/>
        <family val="2"/>
        <charset val="134"/>
      </rPr>
      <t>㎡</t>
    </r>
    <r>
      <rPr>
        <sz val="10"/>
        <color theme="1"/>
        <rFont val="Arial"/>
        <family val="2"/>
      </rPr>
      <t>)</t>
    </r>
  </si>
  <si>
    <r>
      <rPr>
        <sz val="10"/>
        <color theme="1"/>
        <rFont val="Arial Unicode MS"/>
        <family val="2"/>
        <charset val="134"/>
      </rPr>
      <t>关联供地计划</t>
    </r>
  </si>
  <si>
    <r>
      <rPr>
        <sz val="10"/>
        <color theme="1"/>
        <rFont val="Arial Unicode MS"/>
        <family val="2"/>
        <charset val="134"/>
      </rPr>
      <t>供地计划名称</t>
    </r>
  </si>
  <si>
    <r>
      <rPr>
        <sz val="10"/>
        <color theme="1"/>
        <rFont val="Arial Unicode MS"/>
        <family val="2"/>
        <charset val="134"/>
      </rPr>
      <t>北京丽泽金融商务区北区</t>
    </r>
    <r>
      <rPr>
        <sz val="10"/>
        <color theme="1"/>
        <rFont val="Arial"/>
        <family val="2"/>
      </rPr>
      <t>A</t>
    </r>
    <r>
      <rPr>
        <sz val="10"/>
        <color theme="1"/>
        <rFont val="Arial Unicode MS"/>
        <family val="2"/>
        <charset val="134"/>
      </rPr>
      <t>地块建设及综合治理项目</t>
    </r>
    <r>
      <rPr>
        <sz val="10"/>
        <color theme="1"/>
        <rFont val="Arial"/>
        <family val="2"/>
      </rPr>
      <t>FT00-0609-0037(2)</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</si>
  <si>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rPr>
        <sz val="10"/>
        <color theme="1"/>
        <rFont val="Arial Unicode MS"/>
        <family val="2"/>
        <charset val="134"/>
      </rPr>
      <t>北京市</t>
    </r>
  </si>
  <si>
    <r>
      <t xml:space="preserve"> </t>
    </r>
    <r>
      <rPr>
        <sz val="10"/>
        <color theme="1"/>
        <rFont val="Arial Unicode MS"/>
        <family val="2"/>
        <charset val="134"/>
      </rPr>
      <t>北京</t>
    </r>
    <r>
      <rPr>
        <sz val="10"/>
        <color theme="1"/>
        <rFont val="Arial"/>
        <family val="2"/>
      </rPr>
      <t xml:space="preserve"> </t>
    </r>
  </si>
  <si>
    <r>
      <t xml:space="preserve"> </t>
    </r>
    <r>
      <rPr>
        <sz val="10"/>
        <color theme="1"/>
        <rFont val="Arial Unicode MS"/>
        <family val="2"/>
        <charset val="134"/>
      </rPr>
      <t>丰台区</t>
    </r>
    <r>
      <rPr>
        <sz val="10"/>
        <color theme="1"/>
        <rFont val="Arial"/>
        <family val="2"/>
      </rPr>
      <t xml:space="preserve"> </t>
    </r>
  </si>
  <si>
    <r>
      <t xml:space="preserve"> </t>
    </r>
    <r>
      <rPr>
        <sz val="10"/>
        <color theme="1"/>
        <rFont val="Arial Unicode MS"/>
        <family val="2"/>
        <charset val="134"/>
      </rPr>
      <t>丽泽</t>
    </r>
    <r>
      <rPr>
        <sz val="10"/>
        <color theme="1"/>
        <rFont val="Arial"/>
        <family val="2"/>
      </rPr>
      <t xml:space="preserve"> </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</si>
  <si>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</si>
  <si>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)[2023]067</t>
    </r>
    <r>
      <rPr>
        <sz val="10"/>
        <color theme="1"/>
        <rFont val="Arial Unicode MS"/>
        <family val="2"/>
        <charset val="134"/>
      </rPr>
      <t>号</t>
    </r>
  </si>
  <si>
    <r>
      <t xml:space="preserve"> </t>
    </r>
    <r>
      <rPr>
        <sz val="10"/>
        <color theme="1"/>
        <rFont val="Arial Unicode MS"/>
        <family val="2"/>
        <charset val="134"/>
      </rPr>
      <t>丰台区太平桥街道</t>
    </r>
    <r>
      <rPr>
        <sz val="10"/>
        <color theme="1"/>
        <rFont val="Arial"/>
        <family val="2"/>
      </rPr>
      <t xml:space="preserve"> </t>
    </r>
  </si>
  <si>
    <r>
      <t xml:space="preserve"> </t>
    </r>
    <r>
      <rPr>
        <sz val="10"/>
        <color theme="1"/>
        <rFont val="Arial Unicode MS"/>
        <family val="2"/>
        <charset val="134"/>
      </rPr>
      <t>商业</t>
    </r>
    <r>
      <rPr>
        <sz val="10"/>
        <color theme="1"/>
        <rFont val="Arial"/>
        <family val="2"/>
      </rPr>
      <t>/</t>
    </r>
    <r>
      <rPr>
        <sz val="10"/>
        <color theme="1"/>
        <rFont val="Arial Unicode MS"/>
        <family val="2"/>
        <charset val="134"/>
      </rPr>
      <t>办公用地</t>
    </r>
    <r>
      <rPr>
        <sz val="10"/>
        <color theme="1"/>
        <rFont val="Arial"/>
        <family val="2"/>
      </rPr>
      <t xml:space="preserve"> </t>
    </r>
  </si>
  <si>
    <r>
      <t xml:space="preserve"> B4</t>
    </r>
    <r>
      <rPr>
        <sz val="10"/>
        <color theme="1"/>
        <rFont val="Arial Unicode MS"/>
        <family val="2"/>
        <charset val="134"/>
      </rPr>
      <t>综合性商业金融服务业用地</t>
    </r>
    <r>
      <rPr>
        <sz val="10"/>
        <color theme="1"/>
        <rFont val="Arial"/>
        <family val="2"/>
      </rPr>
      <t xml:space="preserve"> </t>
    </r>
  </si>
  <si>
    <r>
      <t xml:space="preserve"> B21</t>
    </r>
    <r>
      <rPr>
        <sz val="10"/>
        <color theme="1"/>
        <rFont val="Arial Unicode MS"/>
        <family val="2"/>
        <charset val="134"/>
      </rPr>
      <t>金融保险用地、</t>
    </r>
    <r>
      <rPr>
        <sz val="10"/>
        <color theme="1"/>
        <rFont val="Arial"/>
        <family val="2"/>
      </rPr>
      <t>B1</t>
    </r>
    <r>
      <rPr>
        <sz val="10"/>
        <color theme="1"/>
        <rFont val="Arial Unicode MS"/>
        <family val="2"/>
        <charset val="134"/>
      </rPr>
      <t>商业设施用地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</si>
  <si>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t>
    </r>
    <r>
      <rPr>
        <sz val="10"/>
        <color theme="1"/>
        <rFont val="Arial"/>
        <family val="2"/>
      </rPr>
      <t xml:space="preserve"> </t>
    </r>
    <r>
      <rPr>
        <sz val="10"/>
        <color theme="1"/>
        <rFont val="Arial Unicode MS"/>
        <family val="2"/>
        <charset val="134"/>
      </rPr>
      <t>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</si>
  <si>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小于等于</t>
    </r>
    <r>
      <rPr>
        <sz val="10"/>
        <color theme="1"/>
        <rFont val="Arial"/>
        <family val="2"/>
      </rPr>
      <t xml:space="preserve">7 </t>
    </r>
  </si>
  <si>
    <r>
      <t xml:space="preserve"> </t>
    </r>
    <r>
      <rPr>
        <sz val="10"/>
        <color theme="1"/>
        <rFont val="Arial Unicode MS"/>
        <family val="2"/>
        <charset val="134"/>
      </rPr>
      <t>挂牌</t>
    </r>
    <r>
      <rPr>
        <sz val="10"/>
        <color theme="1"/>
        <rFont val="Arial"/>
        <family val="2"/>
      </rPr>
      <t xml:space="preserve"> </t>
    </r>
  </si>
  <si>
    <r>
      <t xml:space="preserve"> </t>
    </r>
    <r>
      <rPr>
        <sz val="10"/>
        <color theme="1"/>
        <rFont val="Arial Unicode MS"/>
        <family val="2"/>
        <charset val="134"/>
      </rPr>
      <t>已成交</t>
    </r>
    <r>
      <rPr>
        <sz val="10"/>
        <color theme="1"/>
        <rFont val="Arial"/>
        <family val="2"/>
      </rPr>
      <t xml:space="preserve"> </t>
    </r>
  </si>
  <si>
    <r>
      <t xml:space="preserve"> </t>
    </r>
    <r>
      <rPr>
        <sz val="10"/>
        <color theme="1"/>
        <rFont val="Arial Unicode MS"/>
        <family val="2"/>
        <charset val="134"/>
      </rPr>
      <t>已开工</t>
    </r>
    <r>
      <rPr>
        <sz val="10"/>
        <color theme="1"/>
        <rFont val="Arial"/>
        <family val="2"/>
      </rPr>
      <t xml:space="preserve"> </t>
    </r>
  </si>
  <si>
    <r>
      <t xml:space="preserve"> </t>
    </r>
    <r>
      <rPr>
        <sz val="10"/>
        <color theme="1"/>
        <rFont val="Arial Unicode MS"/>
        <family val="2"/>
        <charset val="134"/>
      </rPr>
      <t>中国南水北调集团综合服务有限公司</t>
    </r>
    <r>
      <rPr>
        <sz val="10"/>
        <color theme="1"/>
        <rFont val="Arial"/>
        <family val="2"/>
      </rPr>
      <t xml:space="preserve">  </t>
    </r>
  </si>
  <si>
    <r>
      <t xml:space="preserve"> </t>
    </r>
    <r>
      <rPr>
        <sz val="10"/>
        <color theme="1"/>
        <rFont val="Arial Unicode MS"/>
        <family val="2"/>
        <charset val="134"/>
      </rPr>
      <t>中国南水北调集团有限公司</t>
    </r>
    <r>
      <rPr>
        <sz val="10"/>
        <color theme="1"/>
        <rFont val="Arial"/>
        <family val="2"/>
      </rPr>
      <t xml:space="preserve"> </t>
    </r>
  </si>
  <si>
    <r>
      <t xml:space="preserve"> </t>
    </r>
    <r>
      <rPr>
        <sz val="10"/>
        <color theme="1"/>
        <rFont val="Arial Unicode MS"/>
        <family val="2"/>
        <charset val="134"/>
      </rPr>
      <t>中央国有企业</t>
    </r>
    <r>
      <rPr>
        <sz val="10"/>
        <color theme="1"/>
        <rFont val="Arial"/>
        <family val="2"/>
      </rPr>
      <t xml:space="preserve"> </t>
    </r>
  </si>
  <si>
    <r>
      <t xml:space="preserve"> </t>
    </r>
    <r>
      <rPr>
        <sz val="10"/>
        <color theme="1"/>
        <rFont val="Arial Unicode MS"/>
        <family val="2"/>
        <charset val="134"/>
      </rPr>
      <t>否</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</si>
  <si>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FT00-0612-0016</t>
    </r>
    <r>
      <rPr>
        <sz val="10"/>
        <color theme="1"/>
        <rFont val="Arial Unicode MS"/>
        <family val="2"/>
        <charset val="134"/>
      </rPr>
      <t>等地块</t>
    </r>
    <r>
      <rPr>
        <sz val="10"/>
        <color theme="1"/>
        <rFont val="Arial"/>
        <family val="2"/>
      </rPr>
      <t>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</si>
  <si>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</si>
  <si>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)[2023]014</t>
    </r>
    <r>
      <rPr>
        <sz val="10"/>
        <color theme="1"/>
        <rFont val="Arial Unicode MS"/>
        <family val="2"/>
        <charset val="134"/>
      </rPr>
      <t>号</t>
    </r>
  </si>
  <si>
    <r>
      <t xml:space="preserve"> F3</t>
    </r>
    <r>
      <rPr>
        <sz val="10"/>
        <color theme="1"/>
        <rFont val="Arial Unicode MS"/>
        <family val="2"/>
        <charset val="134"/>
      </rPr>
      <t>其他类多功能用地、</t>
    </r>
    <r>
      <rPr>
        <sz val="10"/>
        <color theme="1"/>
        <rFont val="Arial"/>
        <family val="2"/>
      </rPr>
      <t>S32</t>
    </r>
    <r>
      <rPr>
        <sz val="10"/>
        <color theme="1"/>
        <rFont val="Arial Unicode MS"/>
        <family val="2"/>
        <charset val="134"/>
      </rPr>
      <t>公交场站设施用地</t>
    </r>
    <r>
      <rPr>
        <sz val="10"/>
        <color theme="1"/>
        <rFont val="Arial"/>
        <family val="2"/>
      </rPr>
      <t xml:space="preserve"> </t>
    </r>
  </si>
  <si>
    <r>
      <t xml:space="preserve"> S3</t>
    </r>
    <r>
      <rPr>
        <sz val="10"/>
        <color theme="1"/>
        <rFont val="Arial Unicode MS"/>
        <family val="2"/>
        <charset val="134"/>
      </rPr>
      <t>交通枢纽用地、</t>
    </r>
    <r>
      <rPr>
        <sz val="10"/>
        <color theme="1"/>
        <rFont val="Arial"/>
        <family val="2"/>
      </rPr>
      <t>B</t>
    </r>
    <r>
      <rPr>
        <sz val="10"/>
        <color theme="1"/>
        <rFont val="Arial Unicode MS"/>
        <family val="2"/>
        <charset val="134"/>
      </rPr>
      <t>商业服务业设施用地、</t>
    </r>
    <r>
      <rPr>
        <sz val="10"/>
        <color theme="1"/>
        <rFont val="Arial"/>
        <family val="2"/>
      </rPr>
      <t>S4</t>
    </r>
    <r>
      <rPr>
        <sz val="10"/>
        <color theme="1"/>
        <rFont val="Arial Unicode MS"/>
        <family val="2"/>
        <charset val="134"/>
      </rPr>
      <t>交通场站用地</t>
    </r>
    <r>
      <rPr>
        <sz val="10"/>
        <color theme="1"/>
        <rFont val="Arial"/>
        <family val="2"/>
      </rPr>
      <t xml:space="preserve"> </t>
    </r>
  </si>
  <si>
    <r>
      <t xml:space="preserve"> </t>
    </r>
    <r>
      <rPr>
        <sz val="10"/>
        <color theme="1"/>
        <rFont val="Arial Unicode MS"/>
        <family val="2"/>
        <charset val="134"/>
      </rPr>
      <t>商业</t>
    </r>
    <r>
      <rPr>
        <sz val="10"/>
        <color theme="1"/>
        <rFont val="Arial"/>
        <family val="2"/>
      </rPr>
      <t>40</t>
    </r>
    <r>
      <rPr>
        <sz val="10"/>
        <color theme="1"/>
        <rFont val="Arial Unicode MS"/>
        <family val="2"/>
        <charset val="134"/>
      </rPr>
      <t>年办公</t>
    </r>
    <r>
      <rPr>
        <sz val="10"/>
        <color theme="1"/>
        <rFont val="Arial"/>
        <family val="2"/>
      </rPr>
      <t>50</t>
    </r>
    <r>
      <rPr>
        <sz val="10"/>
        <color theme="1"/>
        <rFont val="Arial Unicode MS"/>
        <family val="2"/>
        <charset val="134"/>
      </rPr>
      <t>年</t>
    </r>
    <r>
      <rPr>
        <sz val="10"/>
        <color theme="1"/>
        <rFont val="Arial"/>
        <family val="2"/>
      </rPr>
      <t xml:space="preserve"> </t>
    </r>
  </si>
  <si>
    <r>
      <t xml:space="preserve"> </t>
    </r>
    <r>
      <rPr>
        <sz val="10"/>
        <color theme="1"/>
        <rFont val="Arial Unicode MS"/>
        <family val="2"/>
        <charset val="134"/>
      </rPr>
      <t>北京金唐丽行科技服务有限责任公司</t>
    </r>
    <r>
      <rPr>
        <sz val="10"/>
        <color theme="1"/>
        <rFont val="Arial"/>
        <family val="2"/>
      </rPr>
      <t xml:space="preserve"> </t>
    </r>
    <r>
      <rPr>
        <sz val="10"/>
        <color theme="1"/>
        <rFont val="Arial Unicode MS"/>
        <family val="2"/>
        <charset val="134"/>
      </rPr>
      <t>、北京金唐建投科技服务中心</t>
    </r>
    <r>
      <rPr>
        <sz val="10"/>
        <color theme="1"/>
        <rFont val="Arial"/>
        <family val="2"/>
      </rPr>
      <t>(</t>
    </r>
    <r>
      <rPr>
        <sz val="10"/>
        <color theme="1"/>
        <rFont val="Arial Unicode MS"/>
        <family val="2"/>
        <charset val="134"/>
      </rPr>
      <t>有限合伙</t>
    </r>
    <r>
      <rPr>
        <sz val="10"/>
        <color theme="1"/>
        <rFont val="Arial"/>
        <family val="2"/>
      </rPr>
      <t xml:space="preserve">) </t>
    </r>
    <r>
      <rPr>
        <sz val="10"/>
        <color theme="1"/>
        <rFont val="Arial Unicode MS"/>
        <family val="2"/>
        <charset val="134"/>
      </rPr>
      <t>、北京丽控建投科技服务中心</t>
    </r>
    <r>
      <rPr>
        <sz val="10"/>
        <color theme="1"/>
        <rFont val="Arial"/>
        <family val="2"/>
      </rPr>
      <t>(</t>
    </r>
    <r>
      <rPr>
        <sz val="10"/>
        <color theme="1"/>
        <rFont val="Arial Unicode MS"/>
        <family val="2"/>
        <charset val="134"/>
      </rPr>
      <t>有限合伙</t>
    </r>
    <r>
      <rPr>
        <sz val="10"/>
        <color theme="1"/>
        <rFont val="Arial"/>
        <family val="2"/>
      </rPr>
      <t xml:space="preserve">)  </t>
    </r>
  </si>
  <si>
    <r>
      <t xml:space="preserve"> </t>
    </r>
    <r>
      <rPr>
        <sz val="10"/>
        <color theme="1"/>
        <rFont val="Arial Unicode MS"/>
        <family val="2"/>
        <charset val="134"/>
      </rPr>
      <t>北京丽泽金融商务区控股有限公司</t>
    </r>
    <r>
      <rPr>
        <sz val="10"/>
        <color theme="1"/>
        <rFont val="Arial"/>
        <family val="2"/>
      </rPr>
      <t>,</t>
    </r>
    <r>
      <rPr>
        <sz val="10"/>
        <color theme="1"/>
        <rFont val="Arial Unicode MS"/>
        <family val="2"/>
        <charset val="134"/>
      </rPr>
      <t>北京金唐丽行科技服务有限责任公司</t>
    </r>
    <r>
      <rPr>
        <sz val="10"/>
        <color theme="1"/>
        <rFont val="Arial"/>
        <family val="2"/>
      </rPr>
      <t>,</t>
    </r>
    <r>
      <rPr>
        <sz val="10"/>
        <color theme="1"/>
        <rFont val="Arial Unicode MS"/>
        <family val="2"/>
        <charset val="134"/>
      </rPr>
      <t>北京建工</t>
    </r>
    <r>
      <rPr>
        <sz val="10"/>
        <color theme="1"/>
        <rFont val="Arial"/>
        <family val="2"/>
      </rPr>
      <t xml:space="preserve"> </t>
    </r>
  </si>
  <si>
    <r>
      <t xml:space="preserve"> </t>
    </r>
    <r>
      <rPr>
        <sz val="10"/>
        <color theme="1"/>
        <rFont val="Arial Unicode MS"/>
        <family val="2"/>
        <charset val="134"/>
      </rPr>
      <t>地方国有企业，民营企业，地方国有企业</t>
    </r>
    <r>
      <rPr>
        <sz val="10"/>
        <color theme="1"/>
        <rFont val="Arial"/>
        <family val="2"/>
      </rPr>
      <t xml:space="preserve"> </t>
    </r>
  </si>
  <si>
    <r>
      <t xml:space="preserve"> --</t>
    </r>
    <r>
      <rPr>
        <sz val="10"/>
        <color theme="1"/>
        <rFont val="Arial Unicode MS"/>
        <family val="2"/>
        <charset val="134"/>
      </rPr>
      <t>，</t>
    </r>
    <r>
      <rPr>
        <sz val="10"/>
        <color theme="1"/>
        <rFont val="Arial"/>
        <family val="2"/>
      </rPr>
      <t>--</t>
    </r>
    <r>
      <rPr>
        <sz val="10"/>
        <color theme="1"/>
        <rFont val="Arial Unicode MS"/>
        <family val="2"/>
        <charset val="134"/>
      </rPr>
      <t>，城投企业</t>
    </r>
    <r>
      <rPr>
        <sz val="10"/>
        <color theme="1"/>
        <rFont val="Arial"/>
        <family val="2"/>
      </rPr>
      <t xml:space="preserve"> </t>
    </r>
  </si>
  <si>
    <r>
      <rPr>
        <sz val="10"/>
        <color theme="1"/>
        <rFont val="Arial Unicode MS"/>
        <family val="2"/>
        <charset val="134"/>
      </rPr>
      <t>北京市丰台区丽泽金融商务区</t>
    </r>
    <r>
      <rPr>
        <sz val="10"/>
        <color theme="1"/>
        <rFont val="Arial"/>
        <family val="2"/>
      </rPr>
      <t>D-01</t>
    </r>
    <r>
      <rPr>
        <sz val="10"/>
        <color theme="1"/>
        <rFont val="Arial Unicode MS"/>
        <family val="2"/>
        <charset val="134"/>
      </rPr>
      <t>地块</t>
    </r>
    <r>
      <rPr>
        <sz val="10"/>
        <color theme="1"/>
        <rFont val="Arial"/>
        <family val="2"/>
      </rPr>
      <t>B4</t>
    </r>
    <r>
      <rPr>
        <sz val="10"/>
        <color theme="1"/>
        <rFont val="Arial Unicode MS"/>
        <family val="2"/>
        <charset val="134"/>
      </rPr>
      <t>综合性商业金融服务业用地</t>
    </r>
  </si>
  <si>
    <r>
      <t xml:space="preserve"> </t>
    </r>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r>
      <rPr>
        <sz val="10"/>
        <color theme="1"/>
        <rFont val="Arial"/>
        <family val="2"/>
      </rPr>
      <t xml:space="preserve"> </t>
    </r>
  </si>
  <si>
    <r>
      <rPr>
        <sz val="10"/>
        <color theme="1"/>
        <rFont val="Arial Unicode MS"/>
        <family val="2"/>
        <charset val="134"/>
      </rPr>
      <t>京土储挂</t>
    </r>
    <r>
      <rPr>
        <sz val="10"/>
        <color theme="1"/>
        <rFont val="Arial"/>
        <family val="2"/>
      </rPr>
      <t>(</t>
    </r>
    <r>
      <rPr>
        <sz val="10"/>
        <color theme="1"/>
        <rFont val="Arial Unicode MS"/>
        <family val="2"/>
        <charset val="134"/>
      </rPr>
      <t>丰</t>
    </r>
    <r>
      <rPr>
        <sz val="10"/>
        <color theme="1"/>
        <rFont val="Arial"/>
        <family val="2"/>
      </rPr>
      <t>)[2022]043</t>
    </r>
    <r>
      <rPr>
        <sz val="10"/>
        <color theme="1"/>
        <rFont val="Arial Unicode MS"/>
        <family val="2"/>
        <charset val="134"/>
      </rPr>
      <t>号</t>
    </r>
  </si>
  <si>
    <r>
      <t xml:space="preserve"> B1</t>
    </r>
    <r>
      <rPr>
        <sz val="10"/>
        <color theme="1"/>
        <rFont val="Arial Unicode MS"/>
        <family val="2"/>
        <charset val="134"/>
      </rPr>
      <t>商业设施用地、</t>
    </r>
    <r>
      <rPr>
        <sz val="10"/>
        <color theme="1"/>
        <rFont val="Arial"/>
        <family val="2"/>
      </rPr>
      <t>B21</t>
    </r>
    <r>
      <rPr>
        <sz val="10"/>
        <color theme="1"/>
        <rFont val="Arial Unicode MS"/>
        <family val="2"/>
        <charset val="134"/>
      </rPr>
      <t>金融保险用地</t>
    </r>
    <r>
      <rPr>
        <sz val="10"/>
        <color theme="1"/>
        <rFont val="Arial"/>
        <family val="2"/>
      </rPr>
      <t xml:space="preserve"> </t>
    </r>
  </si>
  <si>
    <r>
      <t xml:space="preserve"> </t>
    </r>
    <r>
      <rPr>
        <sz val="10"/>
        <color theme="1"/>
        <rFont val="Arial Unicode MS"/>
        <family val="2"/>
        <charset val="134"/>
      </rPr>
      <t>≤</t>
    </r>
    <r>
      <rPr>
        <sz val="10"/>
        <color theme="1"/>
        <rFont val="Arial"/>
        <family val="2"/>
      </rPr>
      <t xml:space="preserve">6.33 </t>
    </r>
  </si>
  <si>
    <r>
      <t xml:space="preserve"> </t>
    </r>
    <r>
      <rPr>
        <sz val="10"/>
        <color theme="1"/>
        <rFont val="Arial Unicode MS"/>
        <family val="2"/>
        <charset val="134"/>
      </rPr>
      <t>北京福榕置业有限公司</t>
    </r>
    <r>
      <rPr>
        <sz val="10"/>
        <color theme="1"/>
        <rFont val="Arial"/>
        <family val="2"/>
      </rPr>
      <t xml:space="preserve">  </t>
    </r>
  </si>
  <si>
    <r>
      <t xml:space="preserve"> </t>
    </r>
    <r>
      <rPr>
        <sz val="10"/>
        <color theme="1"/>
        <rFont val="Arial Unicode MS"/>
        <family val="2"/>
        <charset val="134"/>
      </rPr>
      <t>福建省国有资产管理</t>
    </r>
    <r>
      <rPr>
        <sz val="10"/>
        <color theme="1"/>
        <rFont val="Arial"/>
        <family val="2"/>
      </rPr>
      <t>,</t>
    </r>
    <r>
      <rPr>
        <sz val="10"/>
        <color theme="1"/>
        <rFont val="Arial Unicode MS"/>
        <family val="2"/>
        <charset val="134"/>
      </rPr>
      <t>闽高速</t>
    </r>
    <r>
      <rPr>
        <sz val="10"/>
        <color theme="1"/>
        <rFont val="Arial"/>
        <family val="2"/>
      </rPr>
      <t>,</t>
    </r>
    <r>
      <rPr>
        <sz val="10"/>
        <color theme="1"/>
        <rFont val="Arial Unicode MS"/>
        <family val="2"/>
        <charset val="134"/>
      </rPr>
      <t>福建投资</t>
    </r>
    <r>
      <rPr>
        <sz val="10"/>
        <color theme="1"/>
        <rFont val="Arial"/>
        <family val="2"/>
      </rPr>
      <t xml:space="preserve"> </t>
    </r>
  </si>
  <si>
    <r>
      <t xml:space="preserve"> </t>
    </r>
    <r>
      <rPr>
        <sz val="10"/>
        <color theme="1"/>
        <rFont val="Arial Unicode MS"/>
        <family val="2"/>
        <charset val="134"/>
      </rPr>
      <t>地方国有企业，地方国有企业，地方国有企业</t>
    </r>
    <r>
      <rPr>
        <sz val="10"/>
        <color theme="1"/>
        <rFont val="Arial"/>
        <family val="2"/>
      </rPr>
      <t xml:space="preserve"> </t>
    </r>
  </si>
  <si>
    <r>
      <t xml:space="preserve"> </t>
    </r>
    <r>
      <rPr>
        <sz val="10"/>
        <color theme="1"/>
        <rFont val="Arial Unicode MS"/>
        <family val="2"/>
        <charset val="134"/>
      </rPr>
      <t>城投企业，城投企业，城投企业</t>
    </r>
    <r>
      <rPr>
        <sz val="10"/>
        <color theme="1"/>
        <rFont val="Arial"/>
        <family val="2"/>
      </rPr>
      <t xml:space="preserve"> </t>
    </r>
  </si>
  <si>
    <t>正常</t>
  </si>
  <si>
    <t>七通</t>
  </si>
  <si>
    <t>快速路</t>
    <phoneticPr fontId="30" type="noConversion"/>
  </si>
  <si>
    <t>主干道</t>
  </si>
  <si>
    <t>主干道</t>
    <phoneticPr fontId="30" type="noConversion"/>
  </si>
  <si>
    <t>次干道</t>
    <phoneticPr fontId="30" type="noConversion"/>
  </si>
  <si>
    <t>支路</t>
  </si>
  <si>
    <t>支路</t>
    <phoneticPr fontId="30" type="noConversion"/>
  </si>
  <si>
    <t>六通</t>
  </si>
  <si>
    <t>五通</t>
  </si>
  <si>
    <t>四通</t>
  </si>
  <si>
    <t>三通</t>
  </si>
  <si>
    <t>较差</t>
  </si>
  <si>
    <t>差</t>
  </si>
  <si>
    <r>
      <t xml:space="preserve"> B4</t>
    </r>
    <r>
      <rPr>
        <sz val="11"/>
        <rFont val="宋体"/>
        <family val="3"/>
        <charset val="134"/>
      </rPr>
      <t/>
    </r>
    <phoneticPr fontId="30" type="noConversion"/>
  </si>
  <si>
    <r>
      <t xml:space="preserve"> F3</t>
    </r>
    <r>
      <rPr>
        <sz val="11"/>
        <rFont val="宋体"/>
        <family val="3"/>
        <charset val="134"/>
      </rPr>
      <t/>
    </r>
    <phoneticPr fontId="30" type="noConversion"/>
  </si>
  <si>
    <t>住宅</t>
  </si>
  <si>
    <t>情况4</t>
  </si>
  <si>
    <t>转让取得</t>
  </si>
  <si>
    <t>非个人房产</t>
  </si>
  <si>
    <t xml:space="preserve"> B4</t>
  </si>
  <si>
    <t xml:space="preserve"> F3</t>
  </si>
  <si>
    <t>郑燚</t>
  </si>
  <si>
    <t>崔锴</t>
  </si>
  <si>
    <t>序号</t>
  </si>
  <si>
    <t>部位及</t>
  </si>
  <si>
    <t>房号</t>
  </si>
  <si>
    <t>建筑面积(m²)</t>
  </si>
  <si>
    <t>总层数</t>
  </si>
  <si>
    <t>所在层</t>
  </si>
  <si>
    <t>规划用途</t>
  </si>
  <si>
    <t>实际用途</t>
  </si>
  <si>
    <t>结构</t>
  </si>
  <si>
    <t>15(-03)</t>
  </si>
  <si>
    <t>-2层</t>
  </si>
  <si>
    <t>汽车库</t>
  </si>
  <si>
    <t>-1层</t>
  </si>
  <si>
    <t>商业用房</t>
  </si>
  <si>
    <t>1层</t>
  </si>
  <si>
    <t>2层</t>
  </si>
  <si>
    <t>3层</t>
  </si>
  <si>
    <t>4层</t>
  </si>
  <si>
    <t>5层</t>
  </si>
  <si>
    <t>6层</t>
  </si>
  <si>
    <t>7层</t>
  </si>
  <si>
    <t>8层</t>
  </si>
  <si>
    <t>9层</t>
  </si>
  <si>
    <t>10层</t>
  </si>
  <si>
    <t>11层</t>
  </si>
  <si>
    <t>12层</t>
  </si>
  <si>
    <t>13层</t>
  </si>
  <si>
    <t>14层</t>
  </si>
  <si>
    <t>15层</t>
  </si>
  <si>
    <t>商业</t>
    <phoneticPr fontId="7" type="noConversion"/>
  </si>
  <si>
    <t>办公</t>
    <phoneticPr fontId="7" type="noConversion"/>
  </si>
  <si>
    <t>车库</t>
    <phoneticPr fontId="7" type="noConversion"/>
  </si>
  <si>
    <t>收益法办</t>
  </si>
  <si>
    <t>收益法办</t>
    <phoneticPr fontId="16" type="noConversion"/>
  </si>
  <si>
    <t>收益法车</t>
  </si>
  <si>
    <t>收益法车</t>
    <phoneticPr fontId="16" type="noConversion"/>
  </si>
  <si>
    <t>收益法（汇总）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</si>
</sst>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0"/>
      <color theme="1"/>
      <name val="Arial Unicode MS"/>
      <family val="2"/>
      <charset val="134"/>
    </font>
    <font>
      <b/>
      <sz val="10.5"/>
      <color rgb="FF000000"/>
      <name val="宋体"/>
      <family val="3"/>
      <charset val="134"/>
    </font>
    <font>
      <sz val="10.5"/>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5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0" fillId="0" borderId="0" xfId="0" applyNumberFormat="1">
      <alignment vertical="center"/>
    </xf>
    <xf numFmtId="0" fontId="95" fillId="5" borderId="0" xfId="0" applyFont="1" applyFill="1" applyAlignment="1">
      <alignment horizontal="left" vertical="center"/>
    </xf>
    <xf numFmtId="14" fontId="0" fillId="5" borderId="0" xfId="0" applyNumberFormat="1" applyFill="1" applyAlignment="1">
      <alignment horizontal="left" vertical="center"/>
    </xf>
    <xf numFmtId="49" fontId="95" fillId="0" borderId="1" xfId="0" applyNumberFormat="1" applyFont="1" applyBorder="1" applyAlignment="1">
      <alignment horizontal="left" vertical="center"/>
    </xf>
    <xf numFmtId="0" fontId="0" fillId="0" borderId="1" xfId="0" applyBorder="1" applyAlignment="1">
      <alignment horizontal="left" vertical="center"/>
    </xf>
    <xf numFmtId="49" fontId="0" fillId="0" borderId="1" xfId="0" applyNumberFormat="1" applyBorder="1" applyAlignment="1">
      <alignment horizontal="left" vertical="center"/>
    </xf>
    <xf numFmtId="0" fontId="96" fillId="0" borderId="1" xfId="0" applyFont="1" applyBorder="1" applyAlignment="1">
      <alignment horizontal="left" vertical="center"/>
    </xf>
    <xf numFmtId="0" fontId="96" fillId="0" borderId="0" xfId="0" applyFont="1">
      <alignment vertical="center"/>
    </xf>
    <xf numFmtId="14" fontId="0" fillId="0" borderId="1" xfId="0" applyNumberFormat="1" applyBorder="1" applyAlignment="1">
      <alignment horizontal="left" vertical="center"/>
    </xf>
    <xf numFmtId="0" fontId="95" fillId="5" borderId="1" xfId="0" applyFont="1" applyFill="1" applyBorder="1" applyAlignment="1">
      <alignment horizontal="left" vertical="center"/>
    </xf>
    <xf numFmtId="0" fontId="95" fillId="5" borderId="0" xfId="0" applyFont="1" applyFill="1">
      <alignment vertical="center"/>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9" fontId="47" fillId="12" borderId="1" xfId="21" applyFont="1" applyFill="1" applyBorder="1" applyAlignment="1" applyProtection="1">
      <alignment horizontal="left" vertical="center"/>
      <protection locked="0"/>
    </xf>
    <xf numFmtId="181" fontId="47" fillId="12" borderId="1" xfId="21" applyNumberFormat="1" applyFont="1" applyFill="1" applyBorder="1" applyAlignment="1" applyProtection="1">
      <alignment horizontal="left" vertical="center"/>
      <protection locked="0"/>
    </xf>
    <xf numFmtId="0" fontId="0" fillId="16" borderId="1" xfId="0" applyFill="1" applyBorder="1" applyAlignment="1">
      <alignment horizontal="left" vertical="center"/>
    </xf>
    <xf numFmtId="0" fontId="99" fillId="16" borderId="1" xfId="0" applyFont="1" applyFill="1" applyBorder="1" applyAlignment="1" applyProtection="1">
      <alignment horizontal="center" vertical="center" wrapText="1"/>
      <protection locked="0"/>
    </xf>
    <xf numFmtId="2" fontId="95" fillId="0" borderId="1" xfId="0" applyNumberFormat="1" applyFont="1" applyBorder="1" applyAlignment="1">
      <alignment horizontal="left" vertical="center"/>
    </xf>
    <xf numFmtId="0" fontId="99" fillId="0" borderId="0" xfId="0" applyFont="1" applyAlignment="1"/>
    <xf numFmtId="14" fontId="99" fillId="0" borderId="0" xfId="0" applyNumberFormat="1" applyFont="1" applyAlignment="1"/>
    <xf numFmtId="0" fontId="99" fillId="0" borderId="0" xfId="0" applyFont="1">
      <alignment vertical="center"/>
    </xf>
    <xf numFmtId="0" fontId="128" fillId="0" borderId="44" xfId="0" applyFont="1" applyBorder="1" applyAlignment="1" applyProtection="1">
      <alignment horizontal="center" vertical="center" wrapText="1"/>
      <protection locked="0"/>
    </xf>
    <xf numFmtId="0" fontId="47" fillId="8" borderId="5" xfId="0" applyFont="1" applyFill="1" applyBorder="1" applyAlignment="1">
      <alignment horizontal="left" vertical="center"/>
    </xf>
    <xf numFmtId="0" fontId="272" fillId="0" borderId="179" xfId="0" applyFont="1" applyBorder="1" applyAlignment="1">
      <alignment vertical="center" wrapText="1"/>
    </xf>
    <xf numFmtId="0" fontId="272" fillId="0" borderId="180" xfId="0" applyFont="1" applyBorder="1" applyAlignment="1">
      <alignment vertical="center" wrapText="1"/>
    </xf>
    <xf numFmtId="0" fontId="273" fillId="0" borderId="177" xfId="0" applyFont="1" applyBorder="1" applyAlignment="1">
      <alignment horizontal="left" vertical="center" wrapText="1" indent="1"/>
    </xf>
    <xf numFmtId="0" fontId="273" fillId="0" borderId="180" xfId="0" applyFont="1" applyBorder="1" applyAlignment="1">
      <alignment vertical="center" wrapText="1"/>
    </xf>
    <xf numFmtId="0" fontId="273" fillId="0" borderId="180" xfId="0" applyFont="1" applyBorder="1" applyAlignment="1">
      <alignment horizontal="left" vertical="center" wrapText="1" indent="1"/>
    </xf>
    <xf numFmtId="0" fontId="273" fillId="0" borderId="177" xfId="0" applyFont="1" applyBorder="1" applyAlignment="1">
      <alignment vertical="center" wrapText="1"/>
    </xf>
    <xf numFmtId="14" fontId="47" fillId="0" borderId="1" xfId="0" applyNumberFormat="1" applyFont="1" applyBorder="1" applyAlignment="1" applyProtection="1">
      <alignment horizontal="center" vertical="center" shrinkToFit="1"/>
      <protection locked="0"/>
    </xf>
    <xf numFmtId="196" fontId="0" fillId="0" borderId="0" xfId="0" applyNumberForma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2" fillId="0" borderId="176" xfId="0" applyFont="1" applyBorder="1" applyAlignment="1">
      <alignment vertical="center" wrapText="1"/>
    </xf>
    <xf numFmtId="0" fontId="272" fillId="0" borderId="177" xfId="0" applyFont="1" applyBorder="1" applyAlignment="1">
      <alignment vertical="center" wrapText="1"/>
    </xf>
    <xf numFmtId="0" fontId="272" fillId="0" borderId="176" xfId="0" applyFont="1" applyBorder="1" applyAlignment="1">
      <alignment horizontal="left" vertical="center" wrapText="1" indent="1"/>
    </xf>
    <xf numFmtId="0" fontId="272" fillId="0" borderId="177" xfId="0" applyFont="1" applyBorder="1" applyAlignment="1">
      <alignment horizontal="left" vertical="center" wrapText="1" indent="1"/>
    </xf>
    <xf numFmtId="0" fontId="272" fillId="0" borderId="181" xfId="0" applyFont="1" applyBorder="1" applyAlignment="1">
      <alignment horizontal="left" vertical="center" wrapText="1" indent="1"/>
    </xf>
    <xf numFmtId="0" fontId="272" fillId="0" borderId="178" xfId="0" applyFont="1" applyBorder="1" applyAlignment="1">
      <alignment horizontal="left" vertical="center" wrapText="1" indent="1"/>
    </xf>
    <xf numFmtId="0" fontId="95" fillId="0" borderId="1"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51">
    <cellStyle name="Comma 2" xfId="23" xr:uid="{00000000-0005-0000-0000-000000000000}"/>
    <cellStyle name="Comma 2 2" xfId="24" xr:uid="{00000000-0005-0000-0000-000001000000}"/>
    <cellStyle name="Comma 2 2 2" xfId="25" xr:uid="{00000000-0005-0000-0000-000002000000}"/>
    <cellStyle name="Comma 2 2 2 2" xfId="26" xr:uid="{00000000-0005-0000-0000-000003000000}"/>
    <cellStyle name="Comma 2 2 3" xfId="27" xr:uid="{00000000-0005-0000-0000-000004000000}"/>
    <cellStyle name="Comma 2 3" xfId="28" xr:uid="{00000000-0005-0000-0000-000005000000}"/>
    <cellStyle name="Comma 2 3 2" xfId="29" xr:uid="{00000000-0005-0000-0000-000006000000}"/>
    <cellStyle name="Comma 2 4" xfId="30" xr:uid="{00000000-0005-0000-0000-000007000000}"/>
    <cellStyle name="Normal 2" xfId="31" xr:uid="{00000000-0005-0000-0000-000008000000}"/>
    <cellStyle name="Normal 2 2 2" xfId="32" xr:uid="{00000000-0005-0000-0000-000009000000}"/>
    <cellStyle name="Normal 2 8" xfId="33" xr:uid="{00000000-0005-0000-0000-00000A000000}"/>
    <cellStyle name="Normal 3" xfId="34" xr:uid="{00000000-0005-0000-0000-00000B000000}"/>
    <cellStyle name="Normal 4" xfId="35" xr:uid="{00000000-0005-0000-0000-00000C000000}"/>
    <cellStyle name="Normal 5" xfId="36" xr:uid="{00000000-0005-0000-0000-00000D000000}"/>
    <cellStyle name="Normal_Shangri-La Offices Rental Schedule by 8 units--elevator060803_Shangri-La Offices - Rental Guideline &amp; Leasing Policy 060913draft 2" xfId="37" xr:uid="{00000000-0005-0000-0000-00000E000000}"/>
    <cellStyle name="百分比" xfId="17" builtinId="5"/>
    <cellStyle name="百分比 2" xfId="14" xr:uid="{00000000-0005-0000-0000-000010000000}"/>
    <cellStyle name="百分比 3" xfId="21" xr:uid="{00000000-0005-0000-0000-000011000000}"/>
    <cellStyle name="百分比 4" xfId="19" xr:uid="{00000000-0005-0000-0000-000012000000}"/>
    <cellStyle name="常规" xfId="0" builtinId="0"/>
    <cellStyle name="常规 10" xfId="38" xr:uid="{00000000-0005-0000-0000-000014000000}"/>
    <cellStyle name="常规 11" xfId="18" xr:uid="{00000000-0005-0000-0000-000015000000}"/>
    <cellStyle name="常规 12" xfId="39" xr:uid="{00000000-0005-0000-0000-000016000000}"/>
    <cellStyle name="常规 13" xfId="40" xr:uid="{00000000-0005-0000-0000-000017000000}"/>
    <cellStyle name="常规 14" xfId="41" xr:uid="{00000000-0005-0000-0000-000018000000}"/>
    <cellStyle name="常规 16" xfId="10" xr:uid="{00000000-0005-0000-0000-000019000000}"/>
    <cellStyle name="常规 2" xfId="1" xr:uid="{00000000-0005-0000-0000-00001A000000}"/>
    <cellStyle name="常规 2 2" xfId="8" xr:uid="{00000000-0005-0000-0000-00001B000000}"/>
    <cellStyle name="常规 2 2 2 2 3" xfId="15" xr:uid="{00000000-0005-0000-0000-00001C000000}"/>
    <cellStyle name="常规 2 3" xfId="20" xr:uid="{00000000-0005-0000-0000-00001D000000}"/>
    <cellStyle name="常规 3" xfId="2" xr:uid="{00000000-0005-0000-0000-00001E000000}"/>
    <cellStyle name="常规 3 2" xfId="3" xr:uid="{00000000-0005-0000-0000-00001F000000}"/>
    <cellStyle name="常规 3 2 2" xfId="42" xr:uid="{00000000-0005-0000-0000-000020000000}"/>
    <cellStyle name="常规 3 3" xfId="43" xr:uid="{00000000-0005-0000-0000-000021000000}"/>
    <cellStyle name="常规 4" xfId="4" xr:uid="{00000000-0005-0000-0000-000022000000}"/>
    <cellStyle name="常规 5" xfId="5" xr:uid="{00000000-0005-0000-0000-000023000000}"/>
    <cellStyle name="常规 6" xfId="6" xr:uid="{00000000-0005-0000-0000-000024000000}"/>
    <cellStyle name="常规 6 2" xfId="9" xr:uid="{00000000-0005-0000-0000-000025000000}"/>
    <cellStyle name="常规 6 2 2" xfId="16" xr:uid="{00000000-0005-0000-0000-000026000000}"/>
    <cellStyle name="常规 6 2 3" xfId="13" xr:uid="{00000000-0005-0000-0000-000027000000}"/>
    <cellStyle name="常规 7" xfId="7" xr:uid="{00000000-0005-0000-0000-000028000000}"/>
    <cellStyle name="常规 8" xfId="11" xr:uid="{00000000-0005-0000-0000-000029000000}"/>
    <cellStyle name="常规 9" xfId="12" xr:uid="{00000000-0005-0000-0000-00002A000000}"/>
    <cellStyle name="常规 9 2" xfId="44" xr:uid="{00000000-0005-0000-0000-00002B000000}"/>
    <cellStyle name="千位分隔 2" xfId="22" xr:uid="{00000000-0005-0000-0000-00002C000000}"/>
    <cellStyle name="千位分隔 2 2" xfId="45" xr:uid="{00000000-0005-0000-0000-00002D000000}"/>
    <cellStyle name="千位分隔 2 2 2" xfId="46" xr:uid="{00000000-0005-0000-0000-00002E000000}"/>
    <cellStyle name="千位分隔 2 3" xfId="47" xr:uid="{00000000-0005-0000-0000-00002F000000}"/>
    <cellStyle name="千位分隔 3" xfId="48" xr:uid="{00000000-0005-0000-0000-000030000000}"/>
    <cellStyle name="千位分隔 3 2" xfId="49" xr:uid="{00000000-0005-0000-0000-000031000000}"/>
    <cellStyle name="千位分隔 4" xfId="50" xr:uid="{00000000-0005-0000-0000-000032000000}"/>
  </cellStyles>
  <dxfs count="17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估价对象为北京市房地产，为所有。根据《国有土地使用证》[]，估价对象（分摊）出让国有建设用地使用权面积为8274.56平方米，建筑面积为40045.23平方米。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估价对象为北京市房地产,属开发建设的，该项目尚在开发建设中。根据《国有土地使用证》[]，估价对象（分摊）出让国有建设用地使用权面积为8274.56平方米，规划建筑面积为40045.23平方米。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2024年8月22日（评估专业人员实地查勘之日）</v>
      </c>
    </row>
    <row r="13" spans="1:2">
      <c r="A13" s="1118" t="s">
        <v>529</v>
      </c>
      <c r="B13" s="1119"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107780</v>
      </c>
    </row>
    <row r="21" spans="1:2">
      <c r="A21" s="1118" t="s">
        <v>537</v>
      </c>
      <c r="B21" s="1119">
        <f ca="1">'预评函-2'!D7</f>
        <v>26915</v>
      </c>
    </row>
    <row r="22" spans="1:2">
      <c r="A22" s="1118" t="s">
        <v>538</v>
      </c>
      <c r="B22" s="1119" t="str">
        <f ca="1">'预评函-2'!D6</f>
        <v>壹拾亿柒仟柒佰捌拾万元整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107780</v>
      </c>
    </row>
    <row r="31" spans="1:2">
      <c r="A31" s="1118" t="s">
        <v>576</v>
      </c>
      <c r="B31" s="1119">
        <f ca="1">'预评函-2'!D15</f>
        <v>26915</v>
      </c>
    </row>
    <row r="32" spans="1:2">
      <c r="A32" s="1118" t="s">
        <v>543</v>
      </c>
      <c r="B32" s="1119" t="str">
        <f ca="1">'预评函-2'!D14</f>
        <v>壹拾亿柒仟柒佰捌拾万元整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96846</v>
      </c>
    </row>
    <row r="39" spans="1:2">
      <c r="A39" s="1118" t="s">
        <v>545</v>
      </c>
      <c r="B39" s="1119">
        <f ca="1">'预评函-2'!D21</f>
        <v>24184</v>
      </c>
    </row>
    <row r="40" spans="1:2">
      <c r="A40" s="1118" t="s">
        <v>546</v>
      </c>
      <c r="B40" s="1119" t="str">
        <f ca="1">'预评函-2'!D20</f>
        <v>玖亿陆仟捌佰肆拾陆万元整</v>
      </c>
    </row>
    <row r="41" spans="1:2">
      <c r="A41" s="1118" t="s">
        <v>592</v>
      </c>
      <c r="B41" s="1119" t="str">
        <f>'预评函-3'!A4</f>
        <v>北京市房地产</v>
      </c>
    </row>
    <row r="42" spans="1:2" ht="31.2">
      <c r="A42" s="1118" t="s">
        <v>590</v>
      </c>
      <c r="B42" s="1119" t="str">
        <f>'预评函-3'!B2</f>
        <v>建筑面积</v>
      </c>
    </row>
    <row r="43" spans="1:2">
      <c r="A43" s="1118" t="s">
        <v>591</v>
      </c>
      <c r="B43" s="1119">
        <f>'预评函-3'!B4</f>
        <v>40045.229999999996</v>
      </c>
    </row>
    <row r="44" spans="1:2" ht="31.2">
      <c r="A44" s="1118" t="s">
        <v>575</v>
      </c>
      <c r="B44" s="1119" t="str">
        <f>'预评函-3'!C2</f>
        <v>(分摊)土地面积</v>
      </c>
    </row>
    <row r="45" spans="1:2">
      <c r="A45" s="1118" t="s">
        <v>547</v>
      </c>
      <c r="B45" s="1119">
        <f>'预评函-3'!C4</f>
        <v>8274.56</v>
      </c>
    </row>
    <row r="46" spans="1:2">
      <c r="A46" s="1118" t="s">
        <v>573</v>
      </c>
      <c r="B46" s="1119" t="str">
        <f>'预评函-3'!D2</f>
        <v>出让国有建设用地使用权价值</v>
      </c>
    </row>
    <row r="47" spans="1:2">
      <c r="A47" s="1118" t="s">
        <v>548</v>
      </c>
      <c r="B47" s="1119">
        <f ca="1">'预评函-3'!D4</f>
        <v>84392</v>
      </c>
    </row>
    <row r="48" spans="1:2">
      <c r="A48" s="1118" t="s">
        <v>549</v>
      </c>
      <c r="B48" s="1119">
        <f ca="1">'预评函-3'!E4</f>
        <v>21075</v>
      </c>
    </row>
    <row r="49" spans="1:2">
      <c r="A49" s="1118" t="s">
        <v>550</v>
      </c>
      <c r="B49" s="1119" t="str">
        <f ca="1">'预评函-3'!D5</f>
        <v>捌亿肆仟叁佰玖拾贰万元整</v>
      </c>
    </row>
    <row r="50" spans="1:2">
      <c r="A50" s="1118" t="s">
        <v>574</v>
      </c>
      <c r="B50" s="1119" t="str">
        <f>'预评函-3'!F2</f>
        <v>在建建筑物价值</v>
      </c>
    </row>
    <row r="51" spans="1:2">
      <c r="A51" s="1118" t="s">
        <v>551</v>
      </c>
      <c r="B51" s="1119">
        <f ca="1">'预评函-3'!F4</f>
        <v>23388</v>
      </c>
    </row>
    <row r="52" spans="1:2">
      <c r="A52" s="1118" t="s">
        <v>552</v>
      </c>
      <c r="B52" s="1119">
        <f ca="1">'预评函-3'!G4</f>
        <v>5840</v>
      </c>
    </row>
    <row r="53" spans="1:2">
      <c r="A53" s="1118" t="s">
        <v>580</v>
      </c>
      <c r="B53" s="1119" t="str">
        <f ca="1">'预评函-3'!F5</f>
        <v>贰亿叁仟叁佰捌拾捌万元整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6.2" thickBot="1">
      <c r="A73" s="1121" t="s">
        <v>565</v>
      </c>
      <c r="B73" s="1122">
        <f ca="1">'预评函-4'!B5</f>
        <v>1120100036</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1" sqref="I1"/>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3" t="s">
        <v>3626</v>
      </c>
      <c r="C19" s="1441"/>
    </row>
    <row r="20" spans="1:3">
      <c r="A20" s="1440" t="s">
        <v>1048</v>
      </c>
      <c r="B20" s="1440" t="s">
        <v>3628</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1"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6" t="s">
        <v>385</v>
      </c>
      <c r="C54" s="1444" t="s">
        <v>583</v>
      </c>
    </row>
    <row r="55" spans="1:4">
      <c r="A55" s="3221"/>
      <c r="B55" s="1446" t="s">
        <v>386</v>
      </c>
      <c r="C55" s="1444" t="s">
        <v>584</v>
      </c>
    </row>
    <row r="56" spans="1:4">
      <c r="A56" s="3221"/>
      <c r="B56" s="1446" t="s">
        <v>387</v>
      </c>
      <c r="C56" s="1444" t="s">
        <v>588</v>
      </c>
    </row>
    <row r="57" spans="1:4">
      <c r="A57" s="3221"/>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22" workbookViewId="0">
      <selection activeCell="C50" sqref="C50"/>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2" t="s">
        <v>2580</v>
      </c>
      <c r="J2" s="3222"/>
      <c r="K2" s="3222"/>
      <c r="L2" s="3222"/>
      <c r="M2" s="3222"/>
      <c r="N2" s="3222"/>
      <c r="O2" s="3222"/>
      <c r="P2" s="3222"/>
      <c r="Q2" s="3222"/>
      <c r="R2" s="3222"/>
    </row>
    <row r="3" spans="1:18">
      <c r="A3" s="2762" t="s">
        <v>2501</v>
      </c>
      <c r="B3" s="2763">
        <f>项目基本情况!D3</f>
        <v>45526</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2.3199999999999998</v>
      </c>
      <c r="D5" s="2767">
        <f>IF(ISERROR(ROUND(POWER(1+E5,A5-C5)*(POWER(1+E5,C5)-1)/(POWER(1+E5,A5)-1),3)),0,ROUND(POWER(1+E5,A5-C5)*(POWER(1+E5,C5)-1)/(POWER(1+E5,A5)-1),4))</f>
        <v>0.1099</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12.33</v>
      </c>
      <c r="D6" s="2767">
        <f>IF(ISERROR(ROUND(POWER(1+E6,A6-C6)*(POWER(1+E6,C6)-1)/(POWER(1+E6,A6)-1),3)),0,ROUND(POWER(1+E6,A6-C6)*(POWER(1+E6,C6)-1)/(POWER(1+E6,A6)-1),4))</f>
        <v>0.44619999999999999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32.340000000000003</v>
      </c>
      <c r="D7" s="2767">
        <f>IF(ISERROR(ROUND(POWER(1+E7,A7-C7)*(POWER(1+E7,C7)-1)/(POWER(1+E7,A7)-1),3)),0,ROUND(POWER(1+E7,A7-C7)*(POWER(1+E7,C7)-1)/(POWER(1+E7,A7)-1),4))</f>
        <v>0.76800000000000002</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3">
      <c r="A17" s="2762" t="s">
        <v>2517</v>
      </c>
      <c r="B17" s="2770">
        <v>4810</v>
      </c>
      <c r="C17" s="2764"/>
      <c r="D17" s="2760"/>
      <c r="E17" s="2760"/>
      <c r="F17" s="2761"/>
    </row>
    <row r="18" spans="1:13" ht="15" thickBot="1">
      <c r="A18" s="2772" t="s">
        <v>2516</v>
      </c>
      <c r="B18" s="2773">
        <f>ROUND(B17*F11/F12,2)</f>
        <v>5541.87</v>
      </c>
      <c r="C18" s="2773">
        <f>ROUND(F11/F12,4)</f>
        <v>1.1521999999999999</v>
      </c>
      <c r="D18" s="2774"/>
      <c r="E18" s="2774"/>
      <c r="F18" s="2775"/>
    </row>
    <row r="19" spans="1:13" ht="15" thickBot="1"/>
    <row r="20" spans="1:13" s="2808" customFormat="1" ht="15" thickTop="1">
      <c r="A20" s="2805" t="s">
        <v>2519</v>
      </c>
      <c r="B20" s="2806"/>
      <c r="C20" s="2806"/>
      <c r="D20" s="2806"/>
      <c r="E20" s="2806"/>
      <c r="F20" s="2806"/>
      <c r="G20" s="2807"/>
      <c r="I20" s="2809" t="s">
        <v>2564</v>
      </c>
      <c r="J20" s="2809" t="s">
        <v>2569</v>
      </c>
      <c r="K20" s="2809"/>
      <c r="L20" s="2809"/>
      <c r="M20" s="2809"/>
    </row>
    <row r="21" spans="1:13">
      <c r="A21" s="2776"/>
      <c r="B21" s="2777" t="s">
        <v>2520</v>
      </c>
      <c r="C21" s="2777" t="s">
        <v>2521</v>
      </c>
      <c r="D21" s="2777" t="s">
        <v>2522</v>
      </c>
      <c r="E21" s="2777" t="s">
        <v>2523</v>
      </c>
      <c r="F21" s="2777" t="s">
        <v>2524</v>
      </c>
      <c r="G21" s="2778" t="s">
        <v>2525</v>
      </c>
      <c r="I21" s="2799">
        <v>5</v>
      </c>
      <c r="J21" s="2799">
        <v>54.2</v>
      </c>
    </row>
    <row r="22" spans="1:13">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M23" s="2799" t="s">
        <v>2568</v>
      </c>
    </row>
    <row r="24" spans="1:13">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M24" s="2799">
        <v>10</v>
      </c>
    </row>
    <row r="25" spans="1:13">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M25" s="2799">
        <v>8</v>
      </c>
    </row>
    <row r="26" spans="1:13">
      <c r="A26" s="2781"/>
      <c r="B26" s="2782"/>
      <c r="C26" s="2782"/>
      <c r="D26" s="2782"/>
      <c r="E26" s="2782"/>
      <c r="F26" s="2782"/>
      <c r="G26" s="2783"/>
      <c r="I26" s="2799">
        <v>30</v>
      </c>
      <c r="J26" s="2799">
        <v>90.5</v>
      </c>
      <c r="K26" s="2799">
        <f t="shared" si="2"/>
        <v>4.2000000000000028</v>
      </c>
      <c r="L26" s="2799" t="s">
        <v>2571</v>
      </c>
      <c r="M26" s="2799">
        <v>5</v>
      </c>
    </row>
    <row r="27" spans="1:13">
      <c r="A27" s="2781" t="s">
        <v>2530</v>
      </c>
      <c r="B27" s="2782"/>
      <c r="C27" s="2782"/>
      <c r="D27" s="2782"/>
      <c r="E27" s="2782"/>
      <c r="F27" s="2782"/>
      <c r="G27" s="2783"/>
      <c r="I27" s="2799">
        <v>35</v>
      </c>
      <c r="J27" s="2799">
        <v>93.8</v>
      </c>
      <c r="K27" s="2799">
        <f t="shared" si="2"/>
        <v>3.2999999999999972</v>
      </c>
      <c r="L27" s="2799" t="s">
        <v>2572</v>
      </c>
      <c r="M27" s="2799">
        <v>3</v>
      </c>
    </row>
    <row r="28" spans="1:13">
      <c r="A28" s="2781" t="s">
        <v>2531</v>
      </c>
      <c r="B28" s="2782"/>
      <c r="C28" s="2782"/>
      <c r="D28" s="2782"/>
      <c r="E28" s="2782"/>
      <c r="F28" s="2782"/>
      <c r="G28" s="2783"/>
      <c r="I28" s="2799">
        <v>40</v>
      </c>
      <c r="J28" s="2799">
        <v>96.4</v>
      </c>
      <c r="K28" s="2799">
        <f t="shared" si="2"/>
        <v>2.6000000000000085</v>
      </c>
      <c r="L28" s="2799" t="s">
        <v>2573</v>
      </c>
      <c r="M28" s="2799">
        <v>2</v>
      </c>
    </row>
    <row r="29" spans="1:13">
      <c r="A29" s="2781" t="s">
        <v>2532</v>
      </c>
      <c r="B29" s="2782"/>
      <c r="C29" s="2782"/>
      <c r="D29" s="2782"/>
      <c r="E29" s="2782"/>
      <c r="F29" s="2782"/>
      <c r="G29" s="2783"/>
      <c r="I29" s="2799">
        <v>45</v>
      </c>
      <c r="J29" s="2799">
        <v>98.4</v>
      </c>
      <c r="K29" s="2799">
        <f t="shared" si="2"/>
        <v>2</v>
      </c>
    </row>
    <row r="30" spans="1:13">
      <c r="A30" s="2781" t="s">
        <v>2533</v>
      </c>
      <c r="B30" s="2782"/>
      <c r="C30" s="2782"/>
      <c r="D30" s="2782"/>
      <c r="E30" s="2782"/>
      <c r="F30" s="2782"/>
      <c r="G30" s="2783"/>
      <c r="I30" s="2799">
        <v>50</v>
      </c>
      <c r="J30" s="2799">
        <v>100</v>
      </c>
      <c r="K30" s="2799">
        <f t="shared" si="2"/>
        <v>1.5999999999999943</v>
      </c>
    </row>
    <row r="31" spans="1:13">
      <c r="A31" s="2781" t="s">
        <v>2534</v>
      </c>
      <c r="B31" s="2782"/>
      <c r="C31" s="2782"/>
      <c r="D31" s="2782"/>
      <c r="E31" s="2782"/>
      <c r="F31" s="2782"/>
      <c r="G31" s="2783"/>
      <c r="I31" s="2799" t="s">
        <v>2565</v>
      </c>
    </row>
    <row r="32" spans="1:13">
      <c r="A32" s="2781" t="s">
        <v>2535</v>
      </c>
      <c r="B32" s="2782"/>
      <c r="C32" s="2782"/>
      <c r="D32" s="2782"/>
      <c r="E32" s="2782"/>
      <c r="F32" s="2782"/>
      <c r="G32" s="2783"/>
    </row>
    <row r="33" spans="1:13">
      <c r="A33" s="2781" t="s">
        <v>2536</v>
      </c>
      <c r="B33" s="2782"/>
      <c r="C33" s="2782"/>
      <c r="D33" s="2782"/>
      <c r="E33" s="2782"/>
      <c r="F33" s="2782"/>
      <c r="G33" s="2783"/>
      <c r="I33" s="2799" t="s">
        <v>2564</v>
      </c>
      <c r="J33" s="2799" t="s">
        <v>2574</v>
      </c>
    </row>
    <row r="34" spans="1:13">
      <c r="A34" s="2781" t="s">
        <v>2537</v>
      </c>
      <c r="B34" s="2782"/>
      <c r="C34" s="2782"/>
      <c r="D34" s="2782"/>
      <c r="E34" s="2782"/>
      <c r="F34" s="2782"/>
      <c r="G34" s="2783"/>
      <c r="I34" s="2799">
        <v>5</v>
      </c>
      <c r="J34" s="2799">
        <v>55.1</v>
      </c>
    </row>
    <row r="35" spans="1:13">
      <c r="A35" s="2781" t="s">
        <v>2538</v>
      </c>
      <c r="B35" s="2782"/>
      <c r="C35" s="2782"/>
      <c r="D35" s="2782"/>
      <c r="E35" s="2782"/>
      <c r="F35" s="2782"/>
      <c r="G35" s="2783"/>
      <c r="I35" s="2799">
        <v>10</v>
      </c>
      <c r="J35" s="2799">
        <v>67</v>
      </c>
      <c r="K35" s="2799">
        <f>J35-J34</f>
        <v>11.899999999999999</v>
      </c>
    </row>
    <row r="36" spans="1:13">
      <c r="A36" s="2781" t="s">
        <v>2539</v>
      </c>
      <c r="B36" s="2782"/>
      <c r="C36" s="2782"/>
      <c r="D36" s="2782"/>
      <c r="E36" s="2782"/>
      <c r="F36" s="2782"/>
      <c r="G36" s="2783"/>
      <c r="I36" s="2799">
        <v>15</v>
      </c>
      <c r="J36" s="2799">
        <v>76.3</v>
      </c>
      <c r="K36" s="2799">
        <f t="shared" ref="K36:K41" si="3">J36-J35</f>
        <v>9.2999999999999972</v>
      </c>
      <c r="L36" s="2799" t="s">
        <v>2567</v>
      </c>
      <c r="M36" s="2799" t="s">
        <v>2568</v>
      </c>
    </row>
    <row r="37" spans="1:13">
      <c r="A37" s="2781" t="s">
        <v>2540</v>
      </c>
      <c r="B37" s="2782"/>
      <c r="C37" s="2782"/>
      <c r="D37" s="2782"/>
      <c r="E37" s="2782"/>
      <c r="F37" s="2782"/>
      <c r="G37" s="2783"/>
      <c r="I37" s="2799">
        <v>20</v>
      </c>
      <c r="J37" s="2799">
        <v>83.6</v>
      </c>
      <c r="K37" s="2799">
        <f t="shared" si="3"/>
        <v>7.2999999999999972</v>
      </c>
      <c r="L37" s="2799" t="s">
        <v>2566</v>
      </c>
      <c r="M37" s="2799">
        <v>10</v>
      </c>
    </row>
    <row r="38" spans="1:13">
      <c r="A38" s="2781" t="s">
        <v>2541</v>
      </c>
      <c r="B38" s="2782"/>
      <c r="C38" s="2782"/>
      <c r="D38" s="2782"/>
      <c r="E38" s="2782"/>
      <c r="F38" s="2782"/>
      <c r="G38" s="2783"/>
      <c r="I38" s="2799">
        <v>25</v>
      </c>
      <c r="J38" s="2799">
        <v>89.3</v>
      </c>
      <c r="K38" s="2799">
        <f t="shared" si="3"/>
        <v>5.7000000000000028</v>
      </c>
      <c r="L38" s="2799" t="s">
        <v>2570</v>
      </c>
      <c r="M38" s="2799">
        <v>8</v>
      </c>
    </row>
    <row r="39" spans="1:13">
      <c r="A39" s="2781"/>
      <c r="B39" s="2782"/>
      <c r="C39" s="2782"/>
      <c r="D39" s="2782"/>
      <c r="E39" s="2782"/>
      <c r="F39" s="2782"/>
      <c r="G39" s="2783"/>
      <c r="I39" s="2799">
        <v>30</v>
      </c>
      <c r="J39" s="2799">
        <v>93.8</v>
      </c>
      <c r="K39" s="2799">
        <f t="shared" si="3"/>
        <v>4.5</v>
      </c>
      <c r="L39" s="2799" t="s">
        <v>2571</v>
      </c>
      <c r="M39" s="2799">
        <v>6</v>
      </c>
    </row>
    <row r="40" spans="1:13">
      <c r="A40" s="2784" t="s">
        <v>2542</v>
      </c>
      <c r="B40" s="2785"/>
      <c r="C40" s="2785"/>
      <c r="D40" s="2785"/>
      <c r="E40" s="2785"/>
      <c r="F40" s="2785"/>
      <c r="G40" s="2786"/>
      <c r="I40" s="2799">
        <v>35</v>
      </c>
      <c r="J40" s="2799">
        <v>97.2</v>
      </c>
      <c r="K40" s="2799">
        <f t="shared" si="3"/>
        <v>3.4000000000000057</v>
      </c>
      <c r="L40" s="2799" t="s">
        <v>2572</v>
      </c>
      <c r="M40" s="2799">
        <v>3</v>
      </c>
    </row>
    <row r="41" spans="1:13">
      <c r="A41" s="2787" t="s">
        <v>2543</v>
      </c>
      <c r="B41" s="2788" t="s">
        <v>2544</v>
      </c>
      <c r="C41" s="2789" t="s">
        <v>2545</v>
      </c>
      <c r="D41" s="2789" t="s">
        <v>2546</v>
      </c>
      <c r="E41" s="2790"/>
      <c r="F41" s="2791"/>
      <c r="G41" s="2792"/>
      <c r="I41" s="2799">
        <v>40</v>
      </c>
      <c r="J41" s="2799">
        <v>100</v>
      </c>
      <c r="K41" s="2799">
        <f t="shared" si="3"/>
        <v>2.7999999999999972</v>
      </c>
    </row>
    <row r="42" spans="1:13">
      <c r="A42" s="2787" t="s">
        <v>2547</v>
      </c>
      <c r="B42" s="2788" t="s">
        <v>2548</v>
      </c>
      <c r="C42" s="2789" t="s">
        <v>2549</v>
      </c>
      <c r="D42" s="2793" t="s">
        <v>2550</v>
      </c>
      <c r="E42" s="2785" t="s">
        <v>2551</v>
      </c>
      <c r="F42" s="2785"/>
      <c r="G42" s="2786"/>
    </row>
    <row r="43" spans="1:13">
      <c r="A43" s="2787" t="s">
        <v>2552</v>
      </c>
      <c r="B43" s="2788" t="s">
        <v>2553</v>
      </c>
      <c r="C43" s="2789" t="s">
        <v>2554</v>
      </c>
      <c r="D43" s="2789" t="s">
        <v>2555</v>
      </c>
      <c r="E43" s="2790" t="s">
        <v>2556</v>
      </c>
      <c r="F43" s="2791"/>
      <c r="G43" s="2792"/>
      <c r="I43" s="2799" t="s">
        <v>2564</v>
      </c>
      <c r="J43" s="2799" t="s">
        <v>2575</v>
      </c>
    </row>
    <row r="44" spans="1:13">
      <c r="A44" s="2787" t="s">
        <v>2557</v>
      </c>
      <c r="B44" s="2788" t="s">
        <v>2558</v>
      </c>
      <c r="C44" s="2789" t="s">
        <v>2559</v>
      </c>
      <c r="D44" s="2793">
        <v>0.5</v>
      </c>
      <c r="E44" s="2790" t="s">
        <v>2560</v>
      </c>
      <c r="F44" s="2791"/>
      <c r="G44" s="2792"/>
      <c r="I44" s="2799">
        <v>30</v>
      </c>
      <c r="J44" s="2799">
        <v>81.7</v>
      </c>
    </row>
    <row r="45" spans="1:13" ht="15" thickBot="1">
      <c r="A45" s="2794" t="s">
        <v>2561</v>
      </c>
      <c r="B45" s="2795" t="s">
        <v>2548</v>
      </c>
      <c r="C45" s="2796" t="s">
        <v>2548</v>
      </c>
      <c r="D45" s="2796" t="s">
        <v>2562</v>
      </c>
      <c r="E45" s="2797" t="s">
        <v>2563</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12" sqref="M12"/>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30" t="str">
        <f>IF(B10="北京市","北京市",C10)&amp;F10&amp;IF(结果表!G1="在建","出让国有建设用地使用权及在建建筑物",IF(结果表!G1="土地","出让国有建设用地使用权",))&amp;B9&amp;"预评估"</f>
        <v>北京市房地产抵押价值预评估</v>
      </c>
      <c r="C1" s="3231"/>
      <c r="D1" s="3231"/>
      <c r="E1" s="3231"/>
      <c r="F1" s="3231"/>
      <c r="G1" s="3231"/>
      <c r="H1" s="3231"/>
      <c r="I1" s="3232"/>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45526</v>
      </c>
      <c r="C3" s="2185" t="s">
        <v>2171</v>
      </c>
      <c r="D3" s="2184">
        <f>B3</f>
        <v>45526</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8" thickBot="1">
      <c r="A4" s="1027" t="s">
        <v>2172</v>
      </c>
      <c r="B4" s="2186" t="s">
        <v>3591</v>
      </c>
      <c r="C4" s="2187">
        <f ca="1">SUMIF(注册房地产估价师,B4,估价师及机构信息!B3:B24)</f>
        <v>1120070131</v>
      </c>
      <c r="D4" s="2186" t="s">
        <v>3592</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3415</v>
      </c>
      <c r="C8" s="2200"/>
      <c r="D8" s="3233" t="s">
        <v>2177</v>
      </c>
      <c r="E8" s="2201" t="s">
        <v>3416</v>
      </c>
      <c r="F8" s="2202"/>
      <c r="G8" s="2441"/>
      <c r="H8" s="2441"/>
      <c r="I8" s="2441"/>
      <c r="J8" s="2244"/>
      <c r="K8" s="2399"/>
      <c r="L8" s="2398"/>
      <c r="M8" s="2398"/>
      <c r="N8" s="2244"/>
      <c r="O8" s="1669"/>
      <c r="P8" s="2244"/>
      <c r="Q8" s="2244"/>
      <c r="R8" s="2244"/>
    </row>
    <row r="9" spans="1:30" ht="13.8" thickBot="1">
      <c r="A9" s="2203" t="s">
        <v>2178</v>
      </c>
      <c r="B9" s="2204" t="s">
        <v>3416</v>
      </c>
      <c r="C9" s="2205"/>
      <c r="D9" s="3234"/>
      <c r="E9" s="2204" t="s">
        <v>587</v>
      </c>
      <c r="F9" s="2206"/>
      <c r="G9" s="2442"/>
      <c r="H9" s="2442"/>
      <c r="I9" s="2442"/>
      <c r="J9" s="2244"/>
      <c r="K9" s="2401"/>
      <c r="L9" s="2398"/>
      <c r="M9" s="2398"/>
      <c r="N9" s="2244"/>
      <c r="O9" s="1669"/>
      <c r="P9" s="2244"/>
      <c r="Q9" s="2244"/>
      <c r="R9" s="2244"/>
    </row>
    <row r="10" spans="1:30" ht="13.8" thickTop="1">
      <c r="A10" s="2207" t="s">
        <v>2179</v>
      </c>
      <c r="B10" s="2208" t="s">
        <v>3413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3414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69"/>
      <c r="O12" s="2244"/>
      <c r="P12" s="2244"/>
      <c r="Q12" s="2244"/>
      <c r="AD12" s="1617"/>
    </row>
    <row r="13" spans="1:30">
      <c r="A13" s="3121" t="s">
        <v>3332</v>
      </c>
      <c r="B13" s="2217" t="s">
        <v>2190</v>
      </c>
      <c r="C13" s="803"/>
      <c r="D13" s="3179">
        <v>51133</v>
      </c>
      <c r="E13" s="3179">
        <v>54786</v>
      </c>
      <c r="F13" s="3179">
        <v>54786</v>
      </c>
      <c r="G13" s="803"/>
      <c r="H13" s="803"/>
      <c r="I13" s="803"/>
      <c r="J13" s="2802"/>
      <c r="K13" s="2398"/>
      <c r="L13" s="2398"/>
      <c r="M13" s="2244"/>
      <c r="N13" s="1669"/>
      <c r="O13" s="2244"/>
      <c r="P13" s="2244"/>
      <c r="Q13" s="2244"/>
      <c r="AD13" s="1617"/>
    </row>
    <row r="14" spans="1:30">
      <c r="A14" s="1018"/>
      <c r="B14" s="2217" t="s">
        <v>2191</v>
      </c>
      <c r="C14" s="2218"/>
      <c r="D14" s="2218">
        <v>40</v>
      </c>
      <c r="E14" s="2218">
        <v>50</v>
      </c>
      <c r="F14" s="2218">
        <v>50</v>
      </c>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15.36</v>
      </c>
      <c r="E15" s="2220">
        <f>IF(A13="出让",IF(E13="","",ROUNDDOWN(MIN((E13-$D$3)/365,E14),2)),E14)</f>
        <v>25.36</v>
      </c>
      <c r="F15" s="2220">
        <f>IF(A13="出让",IF(F13="","",ROUNDDOWN(MIN((F13-$D$3)/365,F14),2)),F14)</f>
        <v>25.36</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40"/>
      <c r="C16" s="3241"/>
      <c r="D16" s="3242"/>
      <c r="E16" s="2221" t="s">
        <v>2194</v>
      </c>
      <c r="F16" s="3243"/>
      <c r="G16" s="3244"/>
      <c r="H16" s="3244"/>
      <c r="I16" s="3245"/>
      <c r="J16" s="2244"/>
      <c r="K16" s="2402"/>
      <c r="L16" s="1669"/>
      <c r="M16" s="1669"/>
      <c r="N16" s="2244"/>
      <c r="O16" s="1669"/>
      <c r="P16" s="2244"/>
      <c r="Q16" s="2244"/>
      <c r="R16" s="2244"/>
    </row>
    <row r="17" spans="1:28">
      <c r="A17" s="305" t="s">
        <v>2195</v>
      </c>
      <c r="B17" s="294" t="s">
        <v>2196</v>
      </c>
      <c r="C17" s="8">
        <f>'数据-汇总表'!E3</f>
        <v>40045.229999999996</v>
      </c>
      <c r="D17" s="1255" t="s">
        <v>2197</v>
      </c>
      <c r="E17" s="3246" t="s">
        <v>2198</v>
      </c>
      <c r="F17" s="3247"/>
      <c r="G17" s="3247"/>
      <c r="H17" s="3247"/>
      <c r="I17" s="3248"/>
      <c r="J17" s="2244"/>
      <c r="K17" s="2403"/>
      <c r="L17" s="1669"/>
      <c r="M17" s="1669"/>
      <c r="N17" s="2244"/>
      <c r="O17" s="1669"/>
      <c r="P17" s="2244"/>
      <c r="Q17" s="2244"/>
      <c r="R17" s="2244"/>
      <c r="S17" s="2244"/>
      <c r="T17" s="2244"/>
      <c r="U17" s="2244"/>
      <c r="V17" s="2244"/>
    </row>
    <row r="18" spans="1:28" ht="24.6" thickBot="1">
      <c r="A18" s="2222" t="s">
        <v>2199</v>
      </c>
      <c r="B18" s="1027" t="s">
        <v>2200</v>
      </c>
      <c r="C18" s="2223">
        <f>'数据-汇总表'!D3</f>
        <v>8274.56</v>
      </c>
      <c r="D18" s="1029" t="s">
        <v>2201</v>
      </c>
      <c r="E18" s="3249" t="s">
        <v>2202</v>
      </c>
      <c r="F18" s="3250"/>
      <c r="G18" s="3250"/>
      <c r="H18" s="3250"/>
      <c r="I18" s="3251"/>
      <c r="J18" s="2244"/>
      <c r="K18" s="2403"/>
      <c r="L18" s="1669"/>
      <c r="M18" s="1669"/>
      <c r="N18" s="2244"/>
      <c r="O18" s="1669"/>
      <c r="P18" s="2244"/>
      <c r="Q18" s="2244"/>
      <c r="R18" s="2244"/>
      <c r="S18" s="2244"/>
      <c r="T18" s="2244"/>
      <c r="U18" s="2244"/>
      <c r="V18" s="2244"/>
    </row>
    <row r="19" spans="1:28" ht="37.200000000000003"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36" t="s">
        <v>2206</v>
      </c>
      <c r="C20" s="3237"/>
      <c r="D20" s="3238" t="s">
        <v>2207</v>
      </c>
      <c r="E20" s="3239"/>
      <c r="F20" s="2429" t="s">
        <v>1056</v>
      </c>
      <c r="G20" s="2441"/>
      <c r="H20" s="2441"/>
      <c r="I20" s="2441"/>
      <c r="J20" s="2244"/>
      <c r="K20" s="323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6"/>
      <c r="B21" s="2417" t="s">
        <v>2209</v>
      </c>
      <c r="C21" s="2295" t="s">
        <v>1057</v>
      </c>
      <c r="D21" s="1459" t="s">
        <v>2210</v>
      </c>
      <c r="E21" s="2418" t="s">
        <v>1057</v>
      </c>
      <c r="F21" s="2430"/>
      <c r="G21" s="2441"/>
      <c r="H21" s="2441"/>
      <c r="I21" s="2441"/>
      <c r="J21" s="2244"/>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6"/>
      <c r="B22" s="2419" t="s">
        <v>2211</v>
      </c>
      <c r="C22" s="2295" t="s">
        <v>1058</v>
      </c>
      <c r="D22" s="2441"/>
      <c r="E22" s="2441"/>
      <c r="F22" s="2441"/>
      <c r="G22" s="2441"/>
      <c r="H22" s="2441"/>
      <c r="I22" s="2441"/>
      <c r="J22" s="2244"/>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8" thickTop="1">
      <c r="A27" s="3224"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4"/>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4"/>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5"/>
      <c r="B30" s="294" t="s">
        <v>2218</v>
      </c>
      <c r="C30" s="3226"/>
      <c r="D30" s="3227"/>
      <c r="E30" s="2441"/>
      <c r="F30" s="2441"/>
      <c r="G30" s="2441"/>
      <c r="H30" s="2441"/>
      <c r="I30" s="2441"/>
      <c r="J30" s="2244"/>
      <c r="K30" s="2401"/>
      <c r="L30" s="2398"/>
      <c r="M30" s="2398"/>
      <c r="N30" s="2244"/>
      <c r="O30" s="1669"/>
      <c r="P30" s="2244"/>
      <c r="Q30" s="2244"/>
      <c r="R30" s="2244"/>
      <c r="S30" s="2244"/>
      <c r="T30" s="2244"/>
      <c r="U30" s="2244"/>
      <c r="V30" s="2244"/>
    </row>
    <row r="31" spans="1:28">
      <c r="A31" s="3228"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29"/>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29"/>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4"/>
      <c r="V34" s="2244"/>
    </row>
    <row r="35" spans="1:30">
      <c r="A35" s="2235"/>
      <c r="B35" s="3223" t="s">
        <v>2229</v>
      </c>
      <c r="C35" s="3223"/>
      <c r="D35" s="3223"/>
      <c r="E35" s="322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t="s">
        <v>296</v>
      </c>
      <c r="C37" s="2236" t="s">
        <v>296</v>
      </c>
      <c r="D37" s="2236"/>
      <c r="E37" s="2236"/>
      <c r="F37" s="2236"/>
      <c r="G37" s="2441"/>
      <c r="H37" s="2441"/>
      <c r="I37" s="2441"/>
      <c r="J37" s="2244"/>
      <c r="K37" s="2401"/>
      <c r="L37" s="2398"/>
      <c r="M37" s="2398"/>
      <c r="N37" s="2244"/>
      <c r="O37" s="1669"/>
      <c r="P37" s="2244"/>
      <c r="Q37" s="2244"/>
      <c r="R37" s="2244"/>
      <c r="S37" s="2244"/>
      <c r="T37" s="2244"/>
      <c r="U37" s="2244"/>
      <c r="V37" s="2244"/>
    </row>
    <row r="38" spans="1:30" ht="13.8" thickBot="1">
      <c r="A38" s="2415" t="s">
        <v>2231</v>
      </c>
      <c r="B38" s="2237" t="s">
        <v>169</v>
      </c>
      <c r="C38" s="2237" t="s">
        <v>169</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8274.56</v>
      </c>
      <c r="B3" s="11">
        <f>IF(C3="否",G5-AT5,G5)</f>
        <v>40045.229999999996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40045.229999999996</v>
      </c>
      <c r="H5" s="13">
        <f t="shared" ref="H5:AT5" si="0">SUM(H13:H656)</f>
        <v>40045.229999999996</v>
      </c>
      <c r="I5" s="13">
        <f t="shared" si="0"/>
        <v>2330.09</v>
      </c>
      <c r="J5" s="13">
        <f t="shared" si="0"/>
        <v>0</v>
      </c>
      <c r="K5" s="13">
        <f t="shared" si="0"/>
        <v>26553.1</v>
      </c>
      <c r="L5" s="13">
        <f t="shared" si="0"/>
        <v>0</v>
      </c>
      <c r="M5" s="13">
        <f t="shared" si="0"/>
        <v>4597.07</v>
      </c>
      <c r="N5" s="13">
        <f t="shared" si="0"/>
        <v>0</v>
      </c>
      <c r="O5" s="13">
        <f t="shared" si="0"/>
        <v>6564.97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40045.229999999996</v>
      </c>
      <c r="BA5" s="15">
        <f t="shared" si="1"/>
        <v>40045.229999999996</v>
      </c>
      <c r="BB5" s="15">
        <f t="shared" si="1"/>
        <v>2330.09</v>
      </c>
      <c r="BC5" s="15">
        <f t="shared" si="1"/>
        <v>26553.1</v>
      </c>
      <c r="BD5" s="15">
        <f t="shared" si="1"/>
        <v>4597.07</v>
      </c>
      <c r="BE5" s="15">
        <f t="shared" si="1"/>
        <v>6564.97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8274.5600000000013</v>
      </c>
      <c r="F6" s="13" t="s">
        <v>0</v>
      </c>
      <c r="G6" s="13" t="s">
        <v>1</v>
      </c>
      <c r="H6" s="17">
        <f>SUMIF(I$12:AB$12,"总值",I6:AB6)</f>
        <v>8274.5600000000013</v>
      </c>
      <c r="I6" s="13">
        <f t="shared" ref="I6:AB6" si="2">ROUND($A$3*I5/$B$3,2)</f>
        <v>481.47</v>
      </c>
      <c r="J6" s="13">
        <f t="shared" si="2"/>
        <v>0</v>
      </c>
      <c r="K6" s="13">
        <f t="shared" si="2"/>
        <v>5486.68</v>
      </c>
      <c r="L6" s="13">
        <f t="shared" si="2"/>
        <v>0</v>
      </c>
      <c r="M6" s="13">
        <f t="shared" si="2"/>
        <v>949.89</v>
      </c>
      <c r="N6" s="13">
        <f t="shared" si="2"/>
        <v>0</v>
      </c>
      <c r="O6" s="13">
        <f t="shared" si="2"/>
        <v>1356.52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8274.56</v>
      </c>
      <c r="AZ6" s="13" t="s">
        <v>2</v>
      </c>
      <c r="BA6" s="13">
        <f>ROUND($AY$6*BA5/$AZ$5,2)</f>
        <v>8274.56</v>
      </c>
      <c r="BB6" s="13">
        <f>ROUND($AY$6*BB5/$AZ$5,2)</f>
        <v>481.47</v>
      </c>
      <c r="BC6" s="13">
        <f t="shared" ref="BC6:BH6" si="4">ROUND($AY$6*BC5/$AZ$5,2)</f>
        <v>5486.68</v>
      </c>
      <c r="BD6" s="13">
        <f t="shared" si="4"/>
        <v>949.89</v>
      </c>
      <c r="BE6" s="13">
        <f t="shared" si="4"/>
        <v>1356.52</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3418</v>
      </c>
      <c r="J9" s="761"/>
      <c r="K9" s="1490" t="s">
        <v>3418</v>
      </c>
      <c r="L9" s="761"/>
      <c r="M9" s="1490" t="s">
        <v>3419</v>
      </c>
      <c r="N9" s="761"/>
      <c r="O9" s="1490" t="s">
        <v>3419</v>
      </c>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673</v>
      </c>
      <c r="J10" s="761"/>
      <c r="K10" s="1490" t="s">
        <v>21</v>
      </c>
      <c r="L10" s="761"/>
      <c r="M10" s="1490" t="s">
        <v>673</v>
      </c>
      <c r="N10" s="761"/>
      <c r="O10" s="1490" t="s">
        <v>3333</v>
      </c>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t="str">
        <f>K10</f>
        <v>办公</v>
      </c>
      <c r="BD11" s="1486" t="str">
        <f>M10</f>
        <v>商业</v>
      </c>
      <c r="BE11" s="1486" t="str">
        <f>O10</f>
        <v>车库</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2243"/>
      <c r="D13" s="1512" t="s">
        <v>3417</v>
      </c>
      <c r="E13" s="13">
        <f>IF($C$3="是",ROUND($A$3*G13/$B$3,2),ROUND($A$3*(G13-AT13)/$B$3,2))</f>
        <v>8274.56</v>
      </c>
      <c r="F13" s="29"/>
      <c r="G13" s="30">
        <f>H13+AC13+AT13</f>
        <v>40045.229999999996</v>
      </c>
      <c r="H13" s="17">
        <f>SUMIF(I$12:AB$12,"总值",I13:AB13)</f>
        <v>40045.229999999996</v>
      </c>
      <c r="I13" s="1513">
        <f>面积取值!D58+面积取值!D57</f>
        <v>2330.09</v>
      </c>
      <c r="J13" s="1513"/>
      <c r="K13" s="1513">
        <f>SUM(面积取值!D59:D72)</f>
        <v>26553.1</v>
      </c>
      <c r="L13" s="1513"/>
      <c r="M13" s="1513">
        <f>面积取值!D56</f>
        <v>4597.07</v>
      </c>
      <c r="N13" s="1513"/>
      <c r="O13" s="1513">
        <f>面积取值!D55</f>
        <v>6564.97</v>
      </c>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8274.56</v>
      </c>
      <c r="AZ13" s="13">
        <f>BA13+BL13</f>
        <v>40045.229999999996</v>
      </c>
      <c r="BA13" s="13">
        <f>SUM(BB13:BK13)</f>
        <v>40045.229999999996</v>
      </c>
      <c r="BB13" s="13">
        <f>IF($D13="是",I13-J13,0)</f>
        <v>2330.09</v>
      </c>
      <c r="BC13" s="13">
        <f>IF($D13="是",K13-L13,0)</f>
        <v>26553.1</v>
      </c>
      <c r="BD13" s="13">
        <f>IF($D13="是",M13-N13,0)</f>
        <v>4597.07</v>
      </c>
      <c r="BE13" s="13">
        <f>IF($D13="是",O13-P13,0)</f>
        <v>6564.97</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2243"/>
      <c r="D14" s="1512" t="s">
        <v>3417</v>
      </c>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2243"/>
      <c r="D15" s="1512" t="s">
        <v>3417</v>
      </c>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2243"/>
      <c r="D16" s="1512" t="s">
        <v>3417</v>
      </c>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2243"/>
      <c r="D17" s="1512" t="s">
        <v>3417</v>
      </c>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243"/>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73"/>
  <sheetViews>
    <sheetView topLeftCell="A49" workbookViewId="0">
      <selection activeCell="M69" sqref="M69"/>
    </sheetView>
  </sheetViews>
  <sheetFormatPr defaultRowHeight="14.4"/>
  <cols>
    <col min="1" max="2" width="10.88671875" customWidth="1"/>
    <col min="3" max="4" width="13.44140625" customWidth="1"/>
    <col min="5" max="5" width="10.77734375" customWidth="1"/>
    <col min="6" max="6" width="9.21875" customWidth="1"/>
    <col min="7" max="7" width="10.21875" customWidth="1"/>
    <col min="8" max="8" width="11.6640625" bestFit="1" customWidth="1"/>
  </cols>
  <sheetData>
    <row r="1" spans="1:8">
      <c r="A1" s="1420" t="s">
        <v>3383</v>
      </c>
      <c r="F1" s="2813"/>
      <c r="G1" s="2813"/>
    </row>
    <row r="2" spans="1:8">
      <c r="A2" s="1428"/>
      <c r="B2" s="1428" t="s">
        <v>3383</v>
      </c>
      <c r="C2" s="3152"/>
      <c r="D2" s="1428" t="s">
        <v>3385</v>
      </c>
      <c r="E2" s="1428" t="s">
        <v>3389</v>
      </c>
      <c r="F2" s="2813"/>
      <c r="G2" s="3145" t="s">
        <v>3407</v>
      </c>
      <c r="H2" s="3145" t="s">
        <v>3408</v>
      </c>
    </row>
    <row r="3" spans="1:8">
      <c r="A3" s="3148">
        <v>1</v>
      </c>
      <c r="B3" s="1428" t="s">
        <v>3388</v>
      </c>
      <c r="C3" s="1428" t="s">
        <v>3384</v>
      </c>
      <c r="D3" s="3148">
        <v>1268.1400000000001</v>
      </c>
      <c r="E3" s="3148">
        <v>5731.73</v>
      </c>
      <c r="F3" s="2813"/>
      <c r="G3" s="3145" t="s">
        <v>3386</v>
      </c>
      <c r="H3" s="3146">
        <v>54392</v>
      </c>
    </row>
    <row r="4" spans="1:8">
      <c r="A4" s="3148">
        <v>2</v>
      </c>
      <c r="B4" s="1428" t="s">
        <v>3387</v>
      </c>
      <c r="C4" s="1428" t="s">
        <v>3384</v>
      </c>
      <c r="D4" s="3148">
        <v>2594.2600000000002</v>
      </c>
      <c r="E4" s="3148">
        <v>11725.6</v>
      </c>
      <c r="F4" s="2813"/>
      <c r="G4" s="2813"/>
    </row>
    <row r="5" spans="1:8">
      <c r="A5" s="2813"/>
      <c r="B5" s="2813"/>
      <c r="C5" s="2813"/>
      <c r="D5" s="2813"/>
      <c r="E5" s="2813"/>
      <c r="F5" s="2813"/>
      <c r="G5" s="2813"/>
    </row>
    <row r="6" spans="1:8">
      <c r="A6" s="2813"/>
      <c r="B6" s="2813"/>
      <c r="C6" s="2813"/>
      <c r="D6" s="2813"/>
      <c r="E6" s="2813"/>
      <c r="F6" s="2813"/>
      <c r="G6" s="2813"/>
    </row>
    <row r="7" spans="1:8">
      <c r="A7" s="2813"/>
      <c r="B7" s="2813"/>
      <c r="C7" s="2813"/>
      <c r="D7" s="2813"/>
      <c r="E7" s="2813"/>
      <c r="F7" s="2813"/>
      <c r="G7" s="2813"/>
    </row>
    <row r="8" spans="1:8">
      <c r="A8" s="1420" t="s">
        <v>3391</v>
      </c>
      <c r="B8" s="1420" t="s">
        <v>3392</v>
      </c>
      <c r="C8" s="1420" t="s">
        <v>3394</v>
      </c>
      <c r="D8" s="1420" t="s">
        <v>3396</v>
      </c>
      <c r="E8" s="2813"/>
      <c r="F8" s="2813"/>
      <c r="G8" s="2813"/>
    </row>
    <row r="9" spans="1:8">
      <c r="A9" s="3258" t="s">
        <v>3390</v>
      </c>
      <c r="B9" s="3147" t="s">
        <v>3393</v>
      </c>
      <c r="C9" s="1428" t="s">
        <v>3395</v>
      </c>
      <c r="D9" s="3148">
        <v>117</v>
      </c>
      <c r="E9" s="3165">
        <v>2336.59</v>
      </c>
      <c r="F9" s="2813"/>
      <c r="G9" s="2813"/>
    </row>
    <row r="10" spans="1:8">
      <c r="A10" s="3258"/>
      <c r="B10" s="3147" t="s">
        <v>3397</v>
      </c>
      <c r="C10" s="3148"/>
      <c r="D10" s="3148">
        <v>144</v>
      </c>
      <c r="E10" s="3148">
        <v>2885.39</v>
      </c>
    </row>
    <row r="11" spans="1:8">
      <c r="A11" s="3258"/>
      <c r="B11" s="3149"/>
      <c r="C11" s="3148"/>
      <c r="D11" s="3148"/>
      <c r="E11" s="3148">
        <v>509.75</v>
      </c>
    </row>
    <row r="12" spans="1:8" s="3151" customFormat="1">
      <c r="A12" s="3258"/>
      <c r="B12" s="3150" t="s">
        <v>3398</v>
      </c>
      <c r="C12" s="3150"/>
      <c r="D12" s="3150"/>
      <c r="E12" s="3150">
        <f>SUM(E9:E11)</f>
        <v>5731.73</v>
      </c>
    </row>
    <row r="13" spans="1:8">
      <c r="A13" s="3258" t="s">
        <v>3403</v>
      </c>
      <c r="B13" s="3147" t="s">
        <v>3399</v>
      </c>
      <c r="C13" s="1428" t="s">
        <v>3395</v>
      </c>
      <c r="D13" s="3148">
        <v>153</v>
      </c>
      <c r="E13" s="3148">
        <v>2299.6</v>
      </c>
    </row>
    <row r="14" spans="1:8">
      <c r="A14" s="3258"/>
      <c r="B14" s="3147" t="s">
        <v>3399</v>
      </c>
      <c r="C14" s="1428" t="s">
        <v>3400</v>
      </c>
      <c r="D14" s="3148">
        <v>165</v>
      </c>
      <c r="E14" s="3148">
        <v>2470.54</v>
      </c>
    </row>
    <row r="15" spans="1:8">
      <c r="A15" s="3258"/>
      <c r="B15" s="3147" t="s">
        <v>3399</v>
      </c>
      <c r="C15" s="1428" t="s">
        <v>3401</v>
      </c>
      <c r="D15" s="3148">
        <v>165</v>
      </c>
      <c r="E15" s="3148">
        <v>2470.54</v>
      </c>
    </row>
    <row r="16" spans="1:8">
      <c r="A16" s="3258"/>
      <c r="B16" s="3147" t="s">
        <v>3397</v>
      </c>
      <c r="C16" s="3148"/>
      <c r="D16" s="3148">
        <v>150</v>
      </c>
      <c r="E16" s="3148">
        <v>2288.79</v>
      </c>
    </row>
    <row r="17" spans="1:8">
      <c r="A17" s="3258"/>
      <c r="B17" s="3147" t="s">
        <v>3402</v>
      </c>
      <c r="C17" s="3148"/>
      <c r="D17" s="3148">
        <v>147</v>
      </c>
      <c r="E17" s="3148">
        <v>2196.12</v>
      </c>
      <c r="G17">
        <f>E12</f>
        <v>5731.73</v>
      </c>
    </row>
    <row r="18" spans="1:8" s="3151" customFormat="1">
      <c r="A18" s="3258"/>
      <c r="B18" s="3150" t="s">
        <v>3398</v>
      </c>
      <c r="C18" s="3150"/>
      <c r="D18" s="3150"/>
      <c r="E18" s="3150">
        <f>SUM(E13:E17)</f>
        <v>11725.59</v>
      </c>
      <c r="G18" s="3151">
        <v>11725.6</v>
      </c>
      <c r="H18" s="3151">
        <f>E18-G18</f>
        <v>-1.0000000000218279E-2</v>
      </c>
    </row>
    <row r="19" spans="1:8">
      <c r="G19">
        <f>G17+G18</f>
        <v>17457.330000000002</v>
      </c>
    </row>
    <row r="22" spans="1:8">
      <c r="D22" s="3154" t="s">
        <v>3409</v>
      </c>
    </row>
    <row r="23" spans="1:8">
      <c r="B23" s="3144"/>
      <c r="C23" s="1428" t="s">
        <v>3389</v>
      </c>
      <c r="D23" s="3153" t="s">
        <v>3406</v>
      </c>
      <c r="E23" s="1428" t="s">
        <v>3411</v>
      </c>
      <c r="F23" s="1428" t="s">
        <v>3410</v>
      </c>
      <c r="G23" s="1428"/>
    </row>
    <row r="24" spans="1:8">
      <c r="B24" s="3147" t="s">
        <v>3395</v>
      </c>
      <c r="C24" s="1428">
        <f>E9+E13</f>
        <v>4636.1900000000005</v>
      </c>
      <c r="D24" s="3153">
        <v>5578.72</v>
      </c>
      <c r="E24" s="1428">
        <v>8.7200000000000006</v>
      </c>
      <c r="F24" s="1428">
        <v>1</v>
      </c>
      <c r="G24" s="1428">
        <f>E24</f>
        <v>8.7200000000000006</v>
      </c>
    </row>
    <row r="25" spans="1:8">
      <c r="B25" s="3147" t="s">
        <v>3400</v>
      </c>
      <c r="C25" s="1428">
        <f>E14</f>
        <v>2470.54</v>
      </c>
      <c r="D25" s="3153">
        <v>2008.35</v>
      </c>
      <c r="E25" s="1428">
        <v>5.05</v>
      </c>
      <c r="F25" s="1428">
        <v>0.7</v>
      </c>
      <c r="G25" s="1428">
        <f>$G$24*F25</f>
        <v>6.1040000000000001</v>
      </c>
    </row>
    <row r="26" spans="1:8">
      <c r="B26" s="3147" t="s">
        <v>3401</v>
      </c>
      <c r="C26" s="1428">
        <f>E15</f>
        <v>2470.54</v>
      </c>
      <c r="D26" s="3153">
        <v>3221.55</v>
      </c>
      <c r="E26" s="1428">
        <v>4.04</v>
      </c>
      <c r="F26" s="1428">
        <v>0.6</v>
      </c>
      <c r="G26" s="1428">
        <f>$G$24*F26</f>
        <v>5.2320000000000002</v>
      </c>
    </row>
    <row r="27" spans="1:8">
      <c r="B27" s="3147" t="s">
        <v>3404</v>
      </c>
      <c r="C27" s="1428">
        <f>E10+E16+E11</f>
        <v>5683.93</v>
      </c>
      <c r="D27" s="3153">
        <v>5455.72</v>
      </c>
      <c r="E27" s="1428">
        <v>4.5999999999999996</v>
      </c>
      <c r="F27" s="1428">
        <v>0.5</v>
      </c>
      <c r="G27" s="1428">
        <f>$G$24*F27</f>
        <v>4.3600000000000003</v>
      </c>
    </row>
    <row r="28" spans="1:8">
      <c r="B28" s="3147" t="s">
        <v>3405</v>
      </c>
      <c r="C28" s="1428">
        <f>E17</f>
        <v>2196.12</v>
      </c>
      <c r="D28" s="3153" t="s">
        <v>3412</v>
      </c>
      <c r="E28" s="1428">
        <f>G17</f>
        <v>5731.73</v>
      </c>
      <c r="F28" s="1428">
        <f>H17</f>
        <v>0</v>
      </c>
      <c r="G28" s="1428">
        <v>1</v>
      </c>
    </row>
    <row r="29" spans="1:8">
      <c r="B29" s="3147"/>
      <c r="C29" s="1428">
        <f>SUM(C24:C28)</f>
        <v>17457.32</v>
      </c>
      <c r="D29" s="3153">
        <f>SUM(D24:D28)</f>
        <v>16264.34</v>
      </c>
      <c r="E29" s="1428"/>
      <c r="F29" s="1428">
        <f>SUM(F24:F28)</f>
        <v>2.8</v>
      </c>
      <c r="G29" s="3167">
        <f>SUMPRODUCT(G24:G28,C24:C28)/C29</f>
        <v>5.4654249930688108</v>
      </c>
    </row>
    <row r="31" spans="1:8">
      <c r="D31" s="1404" t="s">
        <v>3412</v>
      </c>
      <c r="E31">
        <f>C28/40</f>
        <v>54.902999999999999</v>
      </c>
      <c r="F31">
        <v>1000</v>
      </c>
      <c r="G31">
        <f>E31*F31*12/365/C28</f>
        <v>0.82191780821917815</v>
      </c>
    </row>
    <row r="34" spans="2:8" s="3155" customFormat="1"/>
    <row r="35" spans="2:8" s="3155" customFormat="1">
      <c r="B35" s="3155" t="s">
        <v>3433</v>
      </c>
    </row>
    <row r="36" spans="2:8" s="3155" customFormat="1">
      <c r="B36" s="3156"/>
      <c r="C36" s="3157" t="s">
        <v>3434</v>
      </c>
      <c r="D36" s="3157" t="s">
        <v>3435</v>
      </c>
      <c r="E36" s="3157" t="s">
        <v>3436</v>
      </c>
      <c r="F36" s="3156"/>
      <c r="G36" s="3158" t="s">
        <v>3437</v>
      </c>
    </row>
    <row r="37" spans="2:8" s="3155" customFormat="1">
      <c r="B37" s="3159" t="s">
        <v>3438</v>
      </c>
      <c r="C37" s="3160">
        <f>C38+C39</f>
        <v>17457.32</v>
      </c>
      <c r="D37" s="3160">
        <f>E37/C37</f>
        <v>3538.1957253461587</v>
      </c>
      <c r="E37" s="3160">
        <f>E38+E39</f>
        <v>61767415</v>
      </c>
      <c r="F37" s="3156"/>
      <c r="G37" s="3161">
        <v>1</v>
      </c>
    </row>
    <row r="38" spans="2:8" s="3155" customFormat="1">
      <c r="B38" s="3157" t="s">
        <v>3418</v>
      </c>
      <c r="C38" s="3162">
        <f>C24+C25+C26</f>
        <v>9577.27</v>
      </c>
      <c r="D38" s="3156">
        <v>2500</v>
      </c>
      <c r="E38" s="3156">
        <f>D38*C38</f>
        <v>23943175</v>
      </c>
      <c r="F38" s="3156"/>
      <c r="G38" s="3156"/>
    </row>
    <row r="39" spans="2:8" s="3155" customFormat="1">
      <c r="B39" s="3157" t="s">
        <v>3419</v>
      </c>
      <c r="C39" s="3162">
        <f>C27+C28</f>
        <v>7880.05</v>
      </c>
      <c r="D39" s="3156">
        <v>4800</v>
      </c>
      <c r="E39" s="3156">
        <f t="shared" ref="E39:E42" si="0">D39*C39</f>
        <v>37824240</v>
      </c>
      <c r="F39" s="3156"/>
      <c r="G39" s="3156"/>
    </row>
    <row r="40" spans="2:8" s="3155" customFormat="1">
      <c r="B40" s="3159" t="s">
        <v>3439</v>
      </c>
      <c r="C40" s="3160">
        <f>C37</f>
        <v>17457.32</v>
      </c>
      <c r="D40" s="3160">
        <v>1000</v>
      </c>
      <c r="E40" s="3160">
        <f t="shared" si="0"/>
        <v>17457320</v>
      </c>
      <c r="F40" s="3156"/>
      <c r="G40" s="3161">
        <v>1</v>
      </c>
    </row>
    <row r="41" spans="2:8" s="3155" customFormat="1">
      <c r="B41" s="3159" t="s">
        <v>3440</v>
      </c>
      <c r="C41" s="3160">
        <f>C37</f>
        <v>17457.32</v>
      </c>
      <c r="D41" s="3160">
        <v>1500</v>
      </c>
      <c r="E41" s="3160">
        <f t="shared" si="0"/>
        <v>26185980</v>
      </c>
      <c r="F41" s="3156"/>
      <c r="G41" s="3161">
        <v>1</v>
      </c>
    </row>
    <row r="42" spans="2:8" s="3155" customFormat="1">
      <c r="B42" s="3159" t="s">
        <v>3441</v>
      </c>
      <c r="C42" s="3160">
        <v>0</v>
      </c>
      <c r="D42" s="3160">
        <f>D39</f>
        <v>4800</v>
      </c>
      <c r="E42" s="3160">
        <f t="shared" si="0"/>
        <v>0</v>
      </c>
      <c r="F42" s="3156"/>
      <c r="G42" s="3156"/>
    </row>
    <row r="43" spans="2:8" s="3155" customFormat="1">
      <c r="B43" s="3157" t="s">
        <v>3442</v>
      </c>
      <c r="C43" s="3156">
        <f>C37</f>
        <v>17457.32</v>
      </c>
      <c r="D43" s="3156">
        <f>E43/C43</f>
        <v>6038.1957253461587</v>
      </c>
      <c r="E43" s="3156">
        <f>E37+E40+E41+E42</f>
        <v>105410715</v>
      </c>
      <c r="F43" s="3156"/>
      <c r="G43" s="3159">
        <f>(G37*E37+G40*E40+G41*E41)/E43</f>
        <v>1</v>
      </c>
    </row>
    <row r="44" spans="2:8" s="3155" customFormat="1"/>
    <row r="45" spans="2:8" s="3155" customFormat="1"/>
    <row r="46" spans="2:8" s="3155" customFormat="1"/>
    <row r="47" spans="2:8" s="3155" customFormat="1">
      <c r="B47" s="3155" t="s">
        <v>3420</v>
      </c>
    </row>
    <row r="48" spans="2:8" s="3155" customFormat="1">
      <c r="B48" s="3156"/>
      <c r="C48" s="3157" t="s">
        <v>3443</v>
      </c>
      <c r="D48" s="3157"/>
      <c r="E48" s="3157" t="s">
        <v>3444</v>
      </c>
      <c r="F48" s="3157" t="s">
        <v>3425</v>
      </c>
      <c r="G48" s="3157" t="s">
        <v>3445</v>
      </c>
      <c r="H48" s="3158" t="s">
        <v>3420</v>
      </c>
    </row>
    <row r="49" spans="2:15" s="3155" customFormat="1">
      <c r="B49" s="3159" t="s">
        <v>3446</v>
      </c>
      <c r="C49" s="3160">
        <v>2012</v>
      </c>
      <c r="D49" s="3160">
        <v>2024</v>
      </c>
      <c r="E49" s="3160">
        <v>50</v>
      </c>
      <c r="F49" s="3156">
        <v>60</v>
      </c>
      <c r="G49" s="3156">
        <v>0</v>
      </c>
      <c r="H49" s="3163">
        <f>ROUND((1-G49)-(D49-C49)/F49,2)</f>
        <v>0.8</v>
      </c>
    </row>
    <row r="50" spans="2:15" s="3155" customFormat="1">
      <c r="B50" s="3157" t="s">
        <v>3447</v>
      </c>
      <c r="C50" s="3162"/>
      <c r="D50" s="3156"/>
      <c r="E50" s="3156"/>
      <c r="F50" s="3156"/>
      <c r="G50" s="3156"/>
      <c r="H50" s="3161">
        <v>0.85</v>
      </c>
    </row>
    <row r="51" spans="2:15" s="3155" customFormat="1">
      <c r="B51" s="3157"/>
      <c r="C51" s="3156"/>
      <c r="D51" s="3156"/>
      <c r="E51" s="3156"/>
      <c r="F51" s="3156"/>
      <c r="G51" s="3156"/>
      <c r="H51" s="3164">
        <f>ROUND((H50+H49)/2,2)</f>
        <v>0.83</v>
      </c>
    </row>
    <row r="52" spans="2:15" s="3155" customFormat="1" ht="15" thickBot="1"/>
    <row r="53" spans="2:15">
      <c r="B53" s="3252" t="s">
        <v>3593</v>
      </c>
      <c r="C53" s="3173" t="s">
        <v>3594</v>
      </c>
      <c r="D53" s="3252" t="s">
        <v>3596</v>
      </c>
      <c r="E53" s="3252" t="s">
        <v>3597</v>
      </c>
      <c r="F53" s="3252" t="s">
        <v>3598</v>
      </c>
      <c r="G53" s="3252" t="s">
        <v>3599</v>
      </c>
      <c r="H53" s="3252" t="s">
        <v>3600</v>
      </c>
      <c r="I53" s="3254" t="s">
        <v>3601</v>
      </c>
    </row>
    <row r="54" spans="2:15" ht="15" thickBot="1">
      <c r="B54" s="3253"/>
      <c r="C54" s="3174" t="s">
        <v>3595</v>
      </c>
      <c r="D54" s="3253"/>
      <c r="E54" s="3253"/>
      <c r="F54" s="3253"/>
      <c r="G54" s="3253"/>
      <c r="H54" s="3253"/>
      <c r="I54" s="3255"/>
    </row>
    <row r="55" spans="2:15" ht="15" thickBot="1">
      <c r="B55" s="3175">
        <v>1</v>
      </c>
      <c r="C55" s="3176">
        <v>-201</v>
      </c>
      <c r="D55" s="3177">
        <v>6564.97</v>
      </c>
      <c r="E55" s="3176" t="s">
        <v>3602</v>
      </c>
      <c r="F55" s="3176" t="s">
        <v>3603</v>
      </c>
      <c r="G55" s="3177" t="s">
        <v>3604</v>
      </c>
      <c r="H55" s="3177" t="s">
        <v>3604</v>
      </c>
      <c r="I55" s="3177" t="s">
        <v>3425</v>
      </c>
    </row>
    <row r="56" spans="2:15" ht="15" thickBot="1">
      <c r="B56" s="3175">
        <v>2</v>
      </c>
      <c r="C56" s="3176">
        <v>-102</v>
      </c>
      <c r="D56" s="3177">
        <v>4597.07</v>
      </c>
      <c r="E56" s="3176" t="s">
        <v>3602</v>
      </c>
      <c r="F56" s="3176" t="s">
        <v>3605</v>
      </c>
      <c r="G56" s="3176" t="s">
        <v>3606</v>
      </c>
      <c r="H56" s="3176" t="s">
        <v>3606</v>
      </c>
      <c r="I56" s="3177" t="s">
        <v>3425</v>
      </c>
      <c r="L56">
        <f>D57-D58</f>
        <v>2149.5100000000002</v>
      </c>
      <c r="M56">
        <v>1</v>
      </c>
      <c r="N56">
        <v>1</v>
      </c>
      <c r="O56">
        <v>10</v>
      </c>
    </row>
    <row r="57" spans="2:15" ht="15" thickBot="1">
      <c r="B57" s="3175">
        <v>3</v>
      </c>
      <c r="C57" s="3176">
        <v>101</v>
      </c>
      <c r="D57" s="3177">
        <v>2239.8000000000002</v>
      </c>
      <c r="E57" s="3176" t="s">
        <v>3602</v>
      </c>
      <c r="F57" s="3177" t="s">
        <v>3607</v>
      </c>
      <c r="G57" s="3176" t="s">
        <v>3606</v>
      </c>
      <c r="H57" s="3176" t="s">
        <v>3606</v>
      </c>
      <c r="I57" s="3177" t="s">
        <v>3425</v>
      </c>
      <c r="L57">
        <f>D56</f>
        <v>4597.07</v>
      </c>
      <c r="M57">
        <v>-1</v>
      </c>
      <c r="N57">
        <v>0.5</v>
      </c>
      <c r="O57">
        <f>O56*N57</f>
        <v>5</v>
      </c>
    </row>
    <row r="58" spans="2:15" ht="15" thickBot="1">
      <c r="B58" s="3175">
        <v>4</v>
      </c>
      <c r="C58" s="3176">
        <v>102</v>
      </c>
      <c r="D58" s="3177">
        <v>90.29</v>
      </c>
      <c r="E58" s="3176" t="s">
        <v>3602</v>
      </c>
      <c r="F58" s="3177" t="s">
        <v>3607</v>
      </c>
      <c r="G58" s="3176" t="s">
        <v>3606</v>
      </c>
      <c r="H58" s="3176" t="s">
        <v>3606</v>
      </c>
      <c r="I58" s="3177" t="s">
        <v>3425</v>
      </c>
      <c r="L58">
        <f>L56+L57</f>
        <v>6746.58</v>
      </c>
      <c r="O58" s="3180">
        <f>(L56*O56+L57*O57)/L58</f>
        <v>6.5930367682588802</v>
      </c>
    </row>
    <row r="59" spans="2:15" ht="15" thickBot="1">
      <c r="B59" s="3175">
        <v>5</v>
      </c>
      <c r="C59" s="3176">
        <v>201</v>
      </c>
      <c r="D59" s="3177">
        <v>3615.56</v>
      </c>
      <c r="E59" s="3176" t="s">
        <v>3602</v>
      </c>
      <c r="F59" s="3177" t="s">
        <v>3608</v>
      </c>
      <c r="G59" s="3177" t="s">
        <v>21</v>
      </c>
      <c r="H59" s="3177" t="s">
        <v>21</v>
      </c>
      <c r="I59" s="3177" t="s">
        <v>3425</v>
      </c>
    </row>
    <row r="60" spans="2:15" ht="15" thickBot="1">
      <c r="B60" s="3175">
        <v>6</v>
      </c>
      <c r="C60" s="3176">
        <v>301</v>
      </c>
      <c r="D60" s="3177">
        <v>4073.24</v>
      </c>
      <c r="E60" s="3176" t="s">
        <v>3602</v>
      </c>
      <c r="F60" s="3177" t="s">
        <v>3609</v>
      </c>
      <c r="G60" s="3177" t="s">
        <v>21</v>
      </c>
      <c r="H60" s="3177" t="s">
        <v>21</v>
      </c>
      <c r="I60" s="3177" t="s">
        <v>3425</v>
      </c>
    </row>
    <row r="61" spans="2:15" ht="15" thickBot="1">
      <c r="B61" s="3175">
        <v>7</v>
      </c>
      <c r="C61" s="3176">
        <v>401</v>
      </c>
      <c r="D61" s="3177">
        <v>3924.26</v>
      </c>
      <c r="E61" s="3176" t="s">
        <v>3602</v>
      </c>
      <c r="F61" s="3177" t="s">
        <v>3610</v>
      </c>
      <c r="G61" s="3177" t="s">
        <v>21</v>
      </c>
      <c r="H61" s="3177" t="s">
        <v>21</v>
      </c>
      <c r="I61" s="3177" t="s">
        <v>3425</v>
      </c>
    </row>
    <row r="62" spans="2:15" ht="15" thickBot="1">
      <c r="B62" s="3175">
        <v>8</v>
      </c>
      <c r="C62" s="3176">
        <v>501</v>
      </c>
      <c r="D62" s="3177">
        <v>1872.24</v>
      </c>
      <c r="E62" s="3176" t="s">
        <v>3602</v>
      </c>
      <c r="F62" s="3177" t="s">
        <v>3611</v>
      </c>
      <c r="G62" s="3177" t="s">
        <v>21</v>
      </c>
      <c r="H62" s="3177" t="s">
        <v>21</v>
      </c>
      <c r="I62" s="3177" t="s">
        <v>3425</v>
      </c>
    </row>
    <row r="63" spans="2:15" ht="15" thickBot="1">
      <c r="B63" s="3175">
        <v>9</v>
      </c>
      <c r="C63" s="3176">
        <v>601</v>
      </c>
      <c r="D63" s="3177">
        <v>1872.24</v>
      </c>
      <c r="E63" s="3176" t="s">
        <v>3602</v>
      </c>
      <c r="F63" s="3177" t="s">
        <v>3612</v>
      </c>
      <c r="G63" s="3177" t="s">
        <v>21</v>
      </c>
      <c r="H63" s="3177" t="s">
        <v>21</v>
      </c>
      <c r="I63" s="3177" t="s">
        <v>3425</v>
      </c>
    </row>
    <row r="64" spans="2:15" ht="15" thickBot="1">
      <c r="B64" s="3178">
        <v>10</v>
      </c>
      <c r="C64" s="3176">
        <v>701</v>
      </c>
      <c r="D64" s="3177">
        <v>1833.68</v>
      </c>
      <c r="E64" s="3176" t="s">
        <v>3602</v>
      </c>
      <c r="F64" s="3177" t="s">
        <v>3613</v>
      </c>
      <c r="G64" s="3177" t="s">
        <v>21</v>
      </c>
      <c r="H64" s="3177" t="s">
        <v>21</v>
      </c>
      <c r="I64" s="3177" t="s">
        <v>3425</v>
      </c>
    </row>
    <row r="65" spans="2:9" ht="15" thickBot="1">
      <c r="B65" s="3178">
        <v>11</v>
      </c>
      <c r="C65" s="3176">
        <v>801</v>
      </c>
      <c r="D65" s="3177">
        <v>1771.75</v>
      </c>
      <c r="E65" s="3176" t="s">
        <v>3602</v>
      </c>
      <c r="F65" s="3177" t="s">
        <v>3614</v>
      </c>
      <c r="G65" s="3177" t="s">
        <v>21</v>
      </c>
      <c r="H65" s="3177" t="s">
        <v>21</v>
      </c>
      <c r="I65" s="3177" t="s">
        <v>3425</v>
      </c>
    </row>
    <row r="66" spans="2:9" ht="15" thickBot="1">
      <c r="B66" s="3178">
        <v>12</v>
      </c>
      <c r="C66" s="3176">
        <v>901</v>
      </c>
      <c r="D66" s="3177">
        <v>1657.03</v>
      </c>
      <c r="E66" s="3176" t="s">
        <v>3602</v>
      </c>
      <c r="F66" s="3177" t="s">
        <v>3615</v>
      </c>
      <c r="G66" s="3177" t="s">
        <v>21</v>
      </c>
      <c r="H66" s="3177" t="s">
        <v>21</v>
      </c>
      <c r="I66" s="3177" t="s">
        <v>3425</v>
      </c>
    </row>
    <row r="67" spans="2:9" ht="15" thickBot="1">
      <c r="B67" s="3178">
        <v>13</v>
      </c>
      <c r="C67" s="3176">
        <v>1001</v>
      </c>
      <c r="D67" s="3177">
        <v>1502.24</v>
      </c>
      <c r="E67" s="3176" t="s">
        <v>3602</v>
      </c>
      <c r="F67" s="3176" t="s">
        <v>3616</v>
      </c>
      <c r="G67" s="3177" t="s">
        <v>21</v>
      </c>
      <c r="H67" s="3177" t="s">
        <v>21</v>
      </c>
      <c r="I67" s="3177" t="s">
        <v>3425</v>
      </c>
    </row>
    <row r="68" spans="2:9" ht="15" thickBot="1">
      <c r="B68" s="3178">
        <v>14</v>
      </c>
      <c r="C68" s="3176">
        <v>1101</v>
      </c>
      <c r="D68" s="3177">
        <v>1383.27</v>
      </c>
      <c r="E68" s="3176" t="s">
        <v>3602</v>
      </c>
      <c r="F68" s="3176" t="s">
        <v>3617</v>
      </c>
      <c r="G68" s="3177" t="s">
        <v>21</v>
      </c>
      <c r="H68" s="3177" t="s">
        <v>21</v>
      </c>
      <c r="I68" s="3177" t="s">
        <v>3425</v>
      </c>
    </row>
    <row r="69" spans="2:9" ht="15" thickBot="1">
      <c r="B69" s="3178">
        <v>15</v>
      </c>
      <c r="C69" s="3176">
        <v>1201</v>
      </c>
      <c r="D69" s="3177">
        <v>1186.3599999999999</v>
      </c>
      <c r="E69" s="3176" t="s">
        <v>3602</v>
      </c>
      <c r="F69" s="3176" t="s">
        <v>3618</v>
      </c>
      <c r="G69" s="3177" t="s">
        <v>21</v>
      </c>
      <c r="H69" s="3177" t="s">
        <v>21</v>
      </c>
      <c r="I69" s="3177" t="s">
        <v>3425</v>
      </c>
    </row>
    <row r="70" spans="2:9" ht="15" thickBot="1">
      <c r="B70" s="3178">
        <v>16</v>
      </c>
      <c r="C70" s="3176">
        <v>1301</v>
      </c>
      <c r="D70" s="3177">
        <v>983.76</v>
      </c>
      <c r="E70" s="3176" t="s">
        <v>3602</v>
      </c>
      <c r="F70" s="3176" t="s">
        <v>3619</v>
      </c>
      <c r="G70" s="3177" t="s">
        <v>21</v>
      </c>
      <c r="H70" s="3177" t="s">
        <v>21</v>
      </c>
      <c r="I70" s="3177" t="s">
        <v>3425</v>
      </c>
    </row>
    <row r="71" spans="2:9" ht="15" thickBot="1">
      <c r="B71" s="3178">
        <v>17</v>
      </c>
      <c r="C71" s="3176">
        <v>1401</v>
      </c>
      <c r="D71" s="3177">
        <v>523.74</v>
      </c>
      <c r="E71" s="3176" t="s">
        <v>3602</v>
      </c>
      <c r="F71" s="3176" t="s">
        <v>3620</v>
      </c>
      <c r="G71" s="3177" t="s">
        <v>21</v>
      </c>
      <c r="H71" s="3177" t="s">
        <v>21</v>
      </c>
      <c r="I71" s="3177" t="s">
        <v>3425</v>
      </c>
    </row>
    <row r="72" spans="2:9" ht="15" thickBot="1">
      <c r="B72" s="3178">
        <v>18</v>
      </c>
      <c r="C72" s="3176">
        <v>1501</v>
      </c>
      <c r="D72" s="3177">
        <v>353.73</v>
      </c>
      <c r="E72" s="3176" t="s">
        <v>3602</v>
      </c>
      <c r="F72" s="3176" t="s">
        <v>3621</v>
      </c>
      <c r="G72" s="3177" t="s">
        <v>21</v>
      </c>
      <c r="H72" s="3177" t="s">
        <v>21</v>
      </c>
      <c r="I72" s="3177" t="s">
        <v>3425</v>
      </c>
    </row>
    <row r="73" spans="2:9" ht="15" thickBot="1">
      <c r="B73" s="3256" t="s">
        <v>3436</v>
      </c>
      <c r="C73" s="3257"/>
      <c r="D73" s="3174">
        <v>40045.230000000003</v>
      </c>
      <c r="E73" s="3177" t="s">
        <v>43</v>
      </c>
      <c r="F73" s="3176" t="s">
        <v>43</v>
      </c>
      <c r="G73" s="3177" t="s">
        <v>43</v>
      </c>
      <c r="H73" s="3177" t="s">
        <v>43</v>
      </c>
      <c r="I73" s="3177" t="s">
        <v>43</v>
      </c>
    </row>
  </sheetData>
  <mergeCells count="10">
    <mergeCell ref="A9:A12"/>
    <mergeCell ref="A13:A18"/>
    <mergeCell ref="B53:B54"/>
    <mergeCell ref="D53:D54"/>
    <mergeCell ref="E53:E54"/>
    <mergeCell ref="F53:F54"/>
    <mergeCell ref="G53:G54"/>
    <mergeCell ref="H53:H54"/>
    <mergeCell ref="I53:I54"/>
    <mergeCell ref="B73:C73"/>
  </mergeCells>
  <phoneticPr fontId="134" type="noConversion"/>
  <pageMargins left="0.7" right="0.7" top="0.75" bottom="0.75" header="0.3" footer="0.3"/>
  <ignoredErrors>
    <ignoredError sqref="C27" formula="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8"/>
  <sheetViews>
    <sheetView view="pageBreakPreview" zoomScale="70" zoomScaleNormal="100" zoomScaleSheetLayoutView="70" workbookViewId="0">
      <selection activeCell="E3" sqref="E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268" t="s">
        <v>1131</v>
      </c>
      <c r="B2" s="3268"/>
      <c r="C2" s="3268"/>
      <c r="D2" s="748" t="s">
        <v>1107</v>
      </c>
      <c r="E2" s="1522" t="s">
        <v>1108</v>
      </c>
      <c r="F2" s="2438"/>
      <c r="G2" s="2431"/>
      <c r="H2" s="2432"/>
      <c r="I2" s="2145" t="s">
        <v>1132</v>
      </c>
      <c r="J2" s="2438"/>
      <c r="K2" s="2438"/>
      <c r="L2" s="2438"/>
      <c r="M2" s="2438"/>
      <c r="N2" s="2439"/>
      <c r="O2" s="2438"/>
      <c r="P2" s="2438"/>
    </row>
    <row r="3" spans="1:16" ht="15" thickBot="1">
      <c r="A3" s="3269" t="s">
        <v>1105</v>
      </c>
      <c r="B3" s="3269"/>
      <c r="C3" s="3269"/>
      <c r="D3" s="41">
        <f>'数据-基础表'!AY6</f>
        <v>8274.56</v>
      </c>
      <c r="E3" s="41">
        <f>'数据-基础表'!AZ5</f>
        <v>40045.229999999996</v>
      </c>
      <c r="F3" s="2438"/>
      <c r="G3" s="42"/>
      <c r="H3" s="43" t="s">
        <v>1106</v>
      </c>
      <c r="I3" s="802">
        <f>ROUND('数据-基础表'!B3/'数据-基础表'!A3,2)</f>
        <v>4.84</v>
      </c>
      <c r="J3" s="2438"/>
      <c r="K3" s="2438"/>
      <c r="L3" s="2438"/>
      <c r="M3" s="2438"/>
      <c r="N3" s="2439"/>
      <c r="O3" s="2438"/>
      <c r="P3" s="2438"/>
    </row>
    <row r="4" spans="1:16" ht="14.4">
      <c r="A4" s="3270"/>
      <c r="B4" s="3271"/>
      <c r="C4" s="3272"/>
      <c r="D4" s="1523" t="s">
        <v>1107</v>
      </c>
      <c r="E4" s="1524" t="s">
        <v>1108</v>
      </c>
      <c r="F4" s="2438"/>
      <c r="G4" s="2433" t="s">
        <v>1133</v>
      </c>
      <c r="H4" s="43" t="s">
        <v>1113</v>
      </c>
      <c r="I4" s="802">
        <f>ROUND(SUMIF('数据-基础表'!I9:AS9,"地上",'数据-基础表'!I5:AS5)/'数据-基础表'!A3,2)</f>
        <v>3.49</v>
      </c>
      <c r="J4" s="2438"/>
      <c r="K4" s="2438"/>
      <c r="L4" s="2438"/>
      <c r="M4" s="2438"/>
      <c r="N4" s="2439"/>
      <c r="O4" s="2438"/>
      <c r="P4" s="2438"/>
    </row>
    <row r="5" spans="1:16" ht="14.4">
      <c r="A5" s="42" t="s">
        <v>1109</v>
      </c>
      <c r="B5" s="3273" t="s">
        <v>1110</v>
      </c>
      <c r="C5" s="3273"/>
      <c r="D5" s="43">
        <f>ROUND($D$3*E5/$E$3,2)</f>
        <v>0</v>
      </c>
      <c r="E5" s="44">
        <f>SUMIF('数据-基础表'!$11:$11,"住宅",'数据-基础表'!$5:$5)</f>
        <v>0</v>
      </c>
      <c r="F5" s="2438"/>
      <c r="G5" s="42"/>
      <c r="H5" s="43" t="s">
        <v>1106</v>
      </c>
      <c r="I5" s="802">
        <f>ROUND(E31/D31,2)</f>
        <v>4.84</v>
      </c>
      <c r="J5" s="2438"/>
      <c r="K5" s="2438"/>
      <c r="L5" s="2438"/>
      <c r="M5" s="2438"/>
      <c r="N5" s="2438"/>
      <c r="O5" s="2438"/>
      <c r="P5" s="2438"/>
    </row>
    <row r="6" spans="1:16" ht="15" thickBot="1">
      <c r="A6" s="1526"/>
      <c r="B6" s="3273" t="s">
        <v>1111</v>
      </c>
      <c r="C6" s="3273"/>
      <c r="D6" s="43">
        <f>ROUND($D$3*E6/$E$3,2)</f>
        <v>8274.56</v>
      </c>
      <c r="E6" s="44">
        <f>E3-E5</f>
        <v>40045.229999999996</v>
      </c>
      <c r="F6" s="2438"/>
      <c r="G6" s="1528" t="s">
        <v>1112</v>
      </c>
      <c r="H6" s="45" t="s">
        <v>1113</v>
      </c>
      <c r="I6" s="2434">
        <f>ROUND(F31/D31,2)</f>
        <v>3.49</v>
      </c>
      <c r="J6" s="2438"/>
      <c r="K6" s="2438"/>
      <c r="L6" s="2438"/>
      <c r="M6" s="2438"/>
      <c r="N6" s="2438"/>
      <c r="O6" s="2438"/>
      <c r="P6" s="2438"/>
    </row>
    <row r="7" spans="1:16" ht="15" thickBot="1">
      <c r="A7" s="3265"/>
      <c r="B7" s="3266"/>
      <c r="C7" s="3267"/>
      <c r="D7" s="1523" t="s">
        <v>1107</v>
      </c>
      <c r="E7" s="1527" t="s">
        <v>1114</v>
      </c>
      <c r="F7" s="2438"/>
      <c r="G7" s="2435" t="s">
        <v>1115</v>
      </c>
      <c r="H7" s="95"/>
      <c r="I7" s="2436">
        <f>I6</f>
        <v>3.49</v>
      </c>
      <c r="J7" s="2438"/>
      <c r="K7" s="2438"/>
      <c r="L7" s="2438"/>
      <c r="M7" s="2438"/>
      <c r="N7" s="2438"/>
      <c r="O7" s="2438"/>
      <c r="P7" s="2438"/>
    </row>
    <row r="8" spans="1:16" ht="14.4">
      <c r="A8" s="42" t="s">
        <v>1116</v>
      </c>
      <c r="B8" s="45" t="s">
        <v>1117</v>
      </c>
      <c r="C8" s="43" t="s">
        <v>1118</v>
      </c>
      <c r="D8" s="43">
        <f t="shared" ref="D8:D15" si="0">ROUND($D$3*E8/$E$3,2)</f>
        <v>5968.14</v>
      </c>
      <c r="E8" s="46">
        <f>SUMIF('数据-基础表'!BB10:BK10,"地上",'数据-基础表'!BB5:BK5)</f>
        <v>28883.19</v>
      </c>
      <c r="F8" s="2438"/>
      <c r="G8" s="2438"/>
      <c r="H8" s="2438"/>
      <c r="I8" s="2438"/>
      <c r="J8" s="2438"/>
      <c r="K8" s="2438"/>
      <c r="L8" s="2438"/>
      <c r="M8" s="2438"/>
      <c r="N8" s="2438"/>
      <c r="O8" s="2438"/>
      <c r="P8" s="2438"/>
    </row>
    <row r="9" spans="1:16" ht="14.4">
      <c r="A9" s="1528"/>
      <c r="B9" s="1529"/>
      <c r="C9" s="43" t="s">
        <v>1119</v>
      </c>
      <c r="D9" s="43">
        <f t="shared" si="0"/>
        <v>0</v>
      </c>
      <c r="E9" s="47">
        <v>0</v>
      </c>
      <c r="F9" s="2438"/>
      <c r="G9" s="2438"/>
      <c r="H9" s="2438"/>
      <c r="I9" s="2438"/>
      <c r="J9" s="2438"/>
      <c r="K9" s="2438"/>
      <c r="L9" s="2438"/>
      <c r="M9" s="2438"/>
      <c r="N9" s="2438"/>
      <c r="O9" s="2438"/>
      <c r="P9" s="2438"/>
    </row>
    <row r="10" spans="1:16" ht="14.4">
      <c r="A10" s="1528"/>
      <c r="B10" s="1529"/>
      <c r="C10" s="43" t="s">
        <v>1128</v>
      </c>
      <c r="D10" s="43">
        <f t="shared" si="0"/>
        <v>949.89</v>
      </c>
      <c r="E10" s="46">
        <f>SUMPRODUCT(('数据-基础表'!BB10:BK10="地下")*('数据-基础表'!BB11:BK11="商业")*('数据-基础表'!BB5:BK5))</f>
        <v>4597.07</v>
      </c>
      <c r="F10" s="2438"/>
      <c r="G10" s="2438"/>
      <c r="H10" s="2438"/>
      <c r="I10" s="2438"/>
      <c r="J10" s="2438"/>
      <c r="K10" s="2438"/>
      <c r="L10" s="2438"/>
      <c r="M10" s="2438"/>
      <c r="N10" s="2438"/>
      <c r="O10" s="2438"/>
      <c r="P10" s="2438"/>
    </row>
    <row r="11" spans="1:16" ht="14.4">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8"/>
      <c r="B13" s="1529"/>
      <c r="C13" s="43" t="s">
        <v>1122</v>
      </c>
      <c r="D13" s="43">
        <f t="shared" si="0"/>
        <v>1356.52</v>
      </c>
      <c r="E13" s="46">
        <f>SUMPRODUCT(('数据-基础表'!BB10:BK10="地下")*('数据-基础表'!BB11:BK11="车库")*('数据-基础表'!BB5:BK5))</f>
        <v>6564.97</v>
      </c>
      <c r="F13" s="2438"/>
      <c r="G13" s="2438"/>
      <c r="H13" s="2438"/>
      <c r="I13" s="2438"/>
      <c r="J13" s="2438"/>
      <c r="K13" s="2438"/>
      <c r="L13" s="2438"/>
      <c r="M13" s="2438"/>
      <c r="N13" s="2438"/>
      <c r="O13" s="2438"/>
      <c r="P13" s="2438"/>
    </row>
    <row r="14" spans="1:16" ht="14.4">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6"/>
      <c r="B16" s="1529"/>
      <c r="C16" s="45" t="s">
        <v>1123</v>
      </c>
      <c r="D16" s="45">
        <f>SUM(D8:D15)</f>
        <v>8274.5500000000011</v>
      </c>
      <c r="E16" s="48">
        <f>SUM(E8:E15)</f>
        <v>40045.229999999996</v>
      </c>
      <c r="F16" s="2438"/>
      <c r="G16" s="2438"/>
      <c r="H16" s="1530" t="s">
        <v>1135</v>
      </c>
      <c r="I16" s="1531"/>
      <c r="J16" s="1071"/>
      <c r="K16" s="3262" t="s">
        <v>1135</v>
      </c>
      <c r="L16" s="3263"/>
      <c r="M16" s="3263"/>
      <c r="N16" s="3263"/>
      <c r="O16" s="3263"/>
      <c r="P16" s="3264"/>
    </row>
    <row r="17" spans="1:19" ht="14.4">
      <c r="A17" s="1532" t="s">
        <v>1136</v>
      </c>
      <c r="B17" s="1533" t="s">
        <v>1137</v>
      </c>
      <c r="C17" s="1534" t="s">
        <v>1138</v>
      </c>
      <c r="D17" s="1535" t="s">
        <v>1126</v>
      </c>
      <c r="E17" s="1536" t="s">
        <v>1127</v>
      </c>
      <c r="F17" s="1537"/>
      <c r="G17" s="1538"/>
      <c r="H17" s="1539" t="s">
        <v>1139</v>
      </c>
      <c r="I17" s="1540" t="s">
        <v>1124</v>
      </c>
      <c r="J17" s="1071"/>
      <c r="K17" s="3259" t="s">
        <v>1140</v>
      </c>
      <c r="L17" s="3260"/>
      <c r="M17" s="3261"/>
      <c r="N17" s="3259" t="s">
        <v>1141</v>
      </c>
      <c r="O17" s="3260"/>
      <c r="P17" s="3261"/>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115" t="s">
        <v>3622</v>
      </c>
      <c r="D19" s="43">
        <f>ROUND($D$3*E19/$E$3,2)</f>
        <v>1431.36</v>
      </c>
      <c r="E19" s="51">
        <f t="shared" ref="E19:E26" si="1">SUM(F19:G19)</f>
        <v>6927.16</v>
      </c>
      <c r="F19" s="2557">
        <f>'数据-基础表'!I13</f>
        <v>2330.09</v>
      </c>
      <c r="G19" s="1242">
        <f>'数据-基础表'!M13</f>
        <v>4597.07</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1431.36</v>
      </c>
      <c r="S19" s="51">
        <f t="shared" si="5"/>
        <v>6927.16</v>
      </c>
    </row>
    <row r="20" spans="1:19" ht="14.4">
      <c r="A20" s="1548"/>
      <c r="B20" s="45" t="s">
        <v>1153</v>
      </c>
      <c r="C20" s="3115" t="s">
        <v>3623</v>
      </c>
      <c r="D20" s="43">
        <f t="shared" ref="D20:D26" si="6">ROUND($D$3*E20/$E$3,2)</f>
        <v>5486.68</v>
      </c>
      <c r="E20" s="51">
        <f t="shared" si="1"/>
        <v>26553.1</v>
      </c>
      <c r="F20" s="2557">
        <f>'数据-基础表'!K13</f>
        <v>26553.1</v>
      </c>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5486.68</v>
      </c>
      <c r="S20" s="51">
        <f t="shared" si="5"/>
        <v>26553.1</v>
      </c>
    </row>
    <row r="21" spans="1:19" ht="14.4">
      <c r="A21" s="1548"/>
      <c r="B21" s="45" t="s">
        <v>1153</v>
      </c>
      <c r="C21" s="3115" t="s">
        <v>3624</v>
      </c>
      <c r="D21" s="43">
        <f t="shared" si="6"/>
        <v>1356.52</v>
      </c>
      <c r="E21" s="51">
        <f t="shared" si="1"/>
        <v>6564.97</v>
      </c>
      <c r="F21" s="2557"/>
      <c r="G21" s="1242">
        <f>'数据-基础表'!O13</f>
        <v>6564.97</v>
      </c>
      <c r="H21" s="637">
        <f t="shared" si="7"/>
        <v>0</v>
      </c>
      <c r="I21" s="46">
        <f t="shared" si="2"/>
        <v>0</v>
      </c>
      <c r="J21" s="1071"/>
      <c r="K21" s="637">
        <f t="shared" si="3"/>
        <v>0</v>
      </c>
      <c r="L21" s="43">
        <f t="shared" si="4"/>
        <v>0</v>
      </c>
      <c r="M21" s="46">
        <f t="shared" si="8"/>
        <v>0</v>
      </c>
      <c r="N21" s="1549"/>
      <c r="O21" s="1550"/>
      <c r="P21" s="46">
        <f t="shared" si="9"/>
        <v>0</v>
      </c>
      <c r="R21" s="43">
        <f t="shared" si="5"/>
        <v>1356.52</v>
      </c>
      <c r="S21" s="51">
        <f t="shared" si="5"/>
        <v>6564.97</v>
      </c>
    </row>
    <row r="22" spans="1:19" ht="14.4">
      <c r="A22" s="1548"/>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8274.56</v>
      </c>
      <c r="E27" s="1073">
        <f>IF(SUM(E19:E26)='数据-基础表'!BA5,SUM(E19:E26),IF(F27="地上面积有误","面积有误","地下面积有误"))</f>
        <v>40045.229999999996</v>
      </c>
      <c r="F27" s="1072">
        <f>IF(SUM(F19:F26)=E8,SUM(F19:F26),"地上面积有误")</f>
        <v>28883.19</v>
      </c>
      <c r="G27" s="1074">
        <f>SUM(G19:G26)</f>
        <v>11162.04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8274.56</v>
      </c>
      <c r="S27" s="43">
        <f>IF(SUM(S19:S26)=$E$3,SUM(S19:S26),SUM(S19:S26)&amp;"误差"&amp;ROUND(SUM(S19:S26)-E3,2))</f>
        <v>40045.229999999996</v>
      </c>
    </row>
    <row r="28" spans="1:19" ht="14.4">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6"/>
      <c r="B31" s="96"/>
      <c r="C31" s="785" t="s">
        <v>1158</v>
      </c>
      <c r="D31" s="643">
        <f>D27+D30</f>
        <v>8274.56</v>
      </c>
      <c r="E31" s="643">
        <f>E27+E30</f>
        <v>40045.229999999996</v>
      </c>
      <c r="F31" s="644">
        <f>F27+F30</f>
        <v>28883.19</v>
      </c>
      <c r="G31" s="645">
        <f>G27+G30</f>
        <v>11162.04</v>
      </c>
      <c r="H31" s="2438"/>
      <c r="I31" s="2438"/>
      <c r="J31" s="2438"/>
      <c r="K31" s="2438"/>
      <c r="L31" s="2438"/>
      <c r="M31" s="2438"/>
      <c r="N31" s="2438"/>
      <c r="O31" s="2438"/>
      <c r="P31" s="2438"/>
    </row>
    <row r="32" spans="1:19" ht="14.4">
      <c r="A32" s="1525"/>
      <c r="B32" s="1525" t="s">
        <v>1159</v>
      </c>
      <c r="C32" s="1525"/>
      <c r="D32" s="1525"/>
      <c r="E32" s="990">
        <f>SUMIF(C19:C26,"*住宅*",E19:E26)</f>
        <v>0</v>
      </c>
      <c r="F32" s="1525"/>
      <c r="G32" s="1525"/>
      <c r="H32" s="2438"/>
      <c r="I32" s="2438"/>
      <c r="J32" s="2438"/>
      <c r="K32" s="2438"/>
      <c r="L32" s="2438"/>
      <c r="M32" s="2438"/>
      <c r="N32" s="2438"/>
      <c r="O32" s="2438"/>
      <c r="P32" s="2438"/>
    </row>
    <row r="33" spans="4:8">
      <c r="D33" s="1557"/>
    </row>
    <row r="35" spans="4:8">
      <c r="F35" s="1521">
        <v>4</v>
      </c>
      <c r="G35" s="1521">
        <v>2</v>
      </c>
      <c r="H35" s="1521">
        <v>0.6</v>
      </c>
    </row>
    <row r="36" spans="4:8">
      <c r="E36" s="1521">
        <f>F36+G36+H36</f>
        <v>128218.292</v>
      </c>
      <c r="F36" s="1521">
        <f>F35*F31</f>
        <v>115532.76</v>
      </c>
      <c r="G36" s="1521">
        <f>G35*G38</f>
        <v>11367.86</v>
      </c>
      <c r="H36" s="1521">
        <f>H35*H38</f>
        <v>1317.6719999999998</v>
      </c>
    </row>
    <row r="38" spans="4:8">
      <c r="G38" s="1521">
        <f>面积取值!C27</f>
        <v>5683.93</v>
      </c>
      <c r="H38" s="1521">
        <f>面积取值!C28</f>
        <v>2196.12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V13" sqref="V13"/>
    </sheetView>
  </sheetViews>
  <sheetFormatPr defaultColWidth="9"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12"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9" style="122"/>
    <col min="68" max="16384" width="9"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 thickBot="1">
      <c r="A2" s="1561" t="s">
        <v>1161</v>
      </c>
      <c r="B2" s="984">
        <f>项目基本情况!D3</f>
        <v>45526</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商业</v>
      </c>
      <c r="B6" s="1586" t="str">
        <f>IF(A6=0,"","经营性")</f>
        <v>经营性</v>
      </c>
      <c r="C6" s="1587" t="s">
        <v>673</v>
      </c>
      <c r="D6" s="805">
        <f>SUMIF(项目基本情况!C$12:I$12,C6,项目基本情况!C$14:I$14)</f>
        <v>40</v>
      </c>
      <c r="E6" s="804">
        <f>IF(B6="","",SUMIF(项目基本情况!C$12:I$12,C6,项目基本情况!C$13:I$13))</f>
        <v>51133</v>
      </c>
      <c r="F6" s="61">
        <f>SUMIF(项目基本情况!C$12:I$12,C6,项目基本情况!C$15:I$15)</f>
        <v>15.36</v>
      </c>
      <c r="G6" s="62">
        <f>IF(ISERROR(ROUND(POWER(1+H6,D6-F6)*(POWER(1+H6,F6)-1)/(POWER(1+H6,D6)-1),3)),0,ROUND(POWER(1+H6,D6-F6)*(POWER(1+H6,F6)-1)/(POWER(1+H6,D6)-1),3))</f>
        <v>0.61499999999999999</v>
      </c>
      <c r="H6" s="691">
        <v>0.05</v>
      </c>
      <c r="I6" s="691">
        <v>5.5E-2</v>
      </c>
      <c r="J6" s="63">
        <v>7.0000000000000007E-2</v>
      </c>
      <c r="K6" s="970">
        <f>SUMIF('数据-汇总表'!C$19:C$33,A6,'数据-汇总表'!E$19:E$33)</f>
        <v>6927.16</v>
      </c>
      <c r="L6" s="692">
        <v>5500</v>
      </c>
      <c r="M6" s="64">
        <f t="shared" ref="M6:M14" si="0">ROUND(K6*L6/10000,0)</f>
        <v>3810</v>
      </c>
      <c r="N6" s="690">
        <v>0.8</v>
      </c>
      <c r="O6" s="64" t="str">
        <f>IF($N$5="成新度","——",ROUND(M6*N6,0))</f>
        <v>——</v>
      </c>
      <c r="P6" s="65" t="str">
        <f>IF($N$5="成新度","——",M6-O6)</f>
        <v>——</v>
      </c>
      <c r="Q6" s="693">
        <v>0.15</v>
      </c>
      <c r="R6" s="66">
        <f ca="1">SUMIF('数据-汇总表'!C$19:C$33,A6,'数据-汇总表'!R$19:R$27)</f>
        <v>1431.36</v>
      </c>
      <c r="S6" s="49">
        <f>IF('数据-汇总表'!$I$17="按面积比例",SUMIF('数据-汇总表'!C$19:C$33,A6,'数据-汇总表'!K$19:K$33),SUMIF('数据-汇总表'!C$19:C$33,A6,'数据-汇总表'!N$19:N$33))</f>
        <v>0</v>
      </c>
      <c r="T6" s="1092">
        <f>ROUND($L$14*S6/10000,0)</f>
        <v>0</v>
      </c>
      <c r="U6" s="3126">
        <v>6</v>
      </c>
      <c r="V6" s="67">
        <v>0.02</v>
      </c>
      <c r="W6" s="67">
        <v>0.1</v>
      </c>
      <c r="X6" s="979"/>
      <c r="Y6" s="68">
        <f>N6</f>
        <v>0.8</v>
      </c>
      <c r="Z6" s="69"/>
      <c r="AA6" s="63"/>
      <c r="AB6" s="63"/>
      <c r="AC6" s="979"/>
      <c r="AD6" s="70"/>
      <c r="AE6" s="980">
        <f ca="1">IF(AN6="",0,SUMIF(INDIRECT("'"&amp;AN6&amp;"'"&amp;"!E:E"),$AE$5,INDIRECT("'"&amp;AN6&amp;"'"&amp;"!F:F")))</f>
        <v>15.36</v>
      </c>
      <c r="AF6" s="74"/>
      <c r="AG6" s="130">
        <f>IF(AF6="",0,AE6-AF6)</f>
        <v>0</v>
      </c>
      <c r="AH6" s="71"/>
      <c r="AI6" s="73">
        <v>365</v>
      </c>
      <c r="AJ6" s="74"/>
      <c r="AK6" s="75">
        <v>5.0000000000000001E-3</v>
      </c>
      <c r="AL6" s="76">
        <v>1E-3</v>
      </c>
      <c r="AM6" s="77">
        <v>5.0000000000000001E-3</v>
      </c>
      <c r="AN6" s="1588" t="s">
        <v>3421</v>
      </c>
      <c r="AO6" s="50">
        <f ca="1">SUMIF(INDIRECT("'"&amp;AN6&amp;"'"&amp;"!A:A"),"总价",INDIRECT("'"&amp;AN6&amp;"'"&amp;"!B:B"))</f>
        <v>13392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办公</v>
      </c>
      <c r="B7" s="1586" t="str">
        <f t="shared" ref="B7:B13" si="1">IF(A7=0,"","经营性")</f>
        <v>经营性</v>
      </c>
      <c r="C7" s="1587" t="s">
        <v>21</v>
      </c>
      <c r="D7" s="805">
        <f>SUMIF(项目基本情况!C$12:I$12,C7,项目基本情况!C$14:I$14)</f>
        <v>50</v>
      </c>
      <c r="E7" s="804">
        <f>IF(B7="","",SUMIF(项目基本情况!C$12:I$12,C7,项目基本情况!C$13:I$13))</f>
        <v>54786</v>
      </c>
      <c r="F7" s="61">
        <f>SUMIF(项目基本情况!C$12:I$12,C7,项目基本情况!C$15:I$15)</f>
        <v>25.36</v>
      </c>
      <c r="G7" s="62">
        <f t="shared" ref="G7:G11" si="2">IF(ISERROR(ROUND(POWER(1+H7,D7-F7)*(POWER(1+H7,F7)-1)/(POWER(1+H7,D7)-1),3)),0,ROUND(POWER(1+H7,D7-F7)*(POWER(1+H7,F7)-1)/(POWER(1+H7,D7)-1),3))</f>
        <v>0.77800000000000002</v>
      </c>
      <c r="H7" s="691">
        <v>0.05</v>
      </c>
      <c r="I7" s="691">
        <v>5.5E-2</v>
      </c>
      <c r="J7" s="63">
        <v>7.0000000000000007E-2</v>
      </c>
      <c r="K7" s="970">
        <f>SUMIF('数据-汇总表'!C$19:C$33,A7,'数据-汇总表'!E$19:E$33)</f>
        <v>26553.1</v>
      </c>
      <c r="L7" s="692">
        <v>5500</v>
      </c>
      <c r="M7" s="64">
        <f t="shared" si="0"/>
        <v>14604</v>
      </c>
      <c r="N7" s="690">
        <f>N6</f>
        <v>0.8</v>
      </c>
      <c r="O7" s="64" t="str">
        <f t="shared" ref="O7:O14" si="3">IF($N$5="成新度","——",ROUND(M7*N7,0))</f>
        <v>——</v>
      </c>
      <c r="P7" s="65" t="str">
        <f t="shared" ref="P7:P14" si="4">IF($N$5="成新度","——",M7-O7)</f>
        <v>——</v>
      </c>
      <c r="Q7" s="693">
        <v>0.15</v>
      </c>
      <c r="R7" s="66">
        <f ca="1">SUMIF('数据-汇总表'!C$19:C$33,A7,'数据-汇总表'!R$19:R$27)</f>
        <v>5486.68</v>
      </c>
      <c r="S7" s="49">
        <f>IF('数据-汇总表'!$I$17="按面积比例",SUMIF('数据-汇总表'!C$19:C$33,A7,'数据-汇总表'!K$19:K$33),SUMIF('数据-汇总表'!C$19:C$33,A7,'数据-汇总表'!N$19:N$33))</f>
        <v>0</v>
      </c>
      <c r="T7" s="1092">
        <f t="shared" ref="T7:T13" si="5">ROUND($L$14*S7/10000,0)</f>
        <v>0</v>
      </c>
      <c r="U7" s="3126">
        <v>7</v>
      </c>
      <c r="V7" s="67">
        <v>0.02</v>
      </c>
      <c r="W7" s="67">
        <f>W6</f>
        <v>0.1</v>
      </c>
      <c r="X7" s="979"/>
      <c r="Y7" s="68">
        <f t="shared" ref="Y7:Y8" si="6">N7</f>
        <v>0.8</v>
      </c>
      <c r="Z7" s="69"/>
      <c r="AA7" s="63"/>
      <c r="AB7" s="63"/>
      <c r="AC7" s="979"/>
      <c r="AD7" s="70"/>
      <c r="AE7" s="980">
        <f t="shared" ref="AE7:AE13" ca="1" si="7">IF(AN7="",0,SUMIF(INDIRECT("'"&amp;AN7&amp;"'"&amp;"!E:E"),$AE$5,INDIRECT("'"&amp;AN7&amp;"'"&amp;"!F:F")))</f>
        <v>25.36</v>
      </c>
      <c r="AF7" s="74"/>
      <c r="AG7" s="130">
        <f t="shared" ref="AG7:AG13" si="8">IF(AF7="",0,AE7-AF7)</f>
        <v>0</v>
      </c>
      <c r="AH7" s="71"/>
      <c r="AI7" s="73">
        <v>365</v>
      </c>
      <c r="AJ7" s="74"/>
      <c r="AK7" s="75">
        <v>5.0000000000000001E-3</v>
      </c>
      <c r="AL7" s="76">
        <v>1E-3</v>
      </c>
      <c r="AM7" s="77">
        <v>5.0000000000000001E-3</v>
      </c>
      <c r="AN7" s="1588" t="s">
        <v>3625</v>
      </c>
      <c r="AO7" s="50">
        <f t="shared" ref="AO7:AO13" ca="1" si="9">SUMIF(INDIRECT("'"&amp;AN7&amp;"'"&amp;"!A:A"),"总价",INDIRECT("'"&amp;AN7&amp;"'"&amp;"!B:B"))</f>
        <v>82231</v>
      </c>
      <c r="AP7" s="1589">
        <f t="shared" ref="AP7:AP13" si="10">IF(C7="住宅",K7*L7,0)</f>
        <v>0</v>
      </c>
      <c r="AQ7" s="50">
        <f t="shared" ref="AQ7:AQ13" si="11">ROUND($L$14*$N$14*S7/10000,0)</f>
        <v>0</v>
      </c>
      <c r="AR7" s="50">
        <f t="shared" ref="AR7:AR13" si="12">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t="str">
        <f>'数据-汇总表'!C21</f>
        <v>车库</v>
      </c>
      <c r="B8" s="1586" t="str">
        <f t="shared" si="1"/>
        <v>经营性</v>
      </c>
      <c r="C8" s="1587" t="s">
        <v>3333</v>
      </c>
      <c r="D8" s="805">
        <f>SUMIF(项目基本情况!C$12:I$12,C8,项目基本情况!C$14:I$14)</f>
        <v>50</v>
      </c>
      <c r="E8" s="804">
        <f>IF(B8="","",SUMIF(项目基本情况!C$12:I$12,C8,项目基本情况!C$13:I$13))</f>
        <v>54786</v>
      </c>
      <c r="F8" s="61">
        <f>SUMIF(项目基本情况!C$12:I$12,C8,项目基本情况!C$15:I$15)</f>
        <v>25.36</v>
      </c>
      <c r="G8" s="62">
        <f t="shared" si="2"/>
        <v>0.75600000000000001</v>
      </c>
      <c r="H8" s="691">
        <v>4.4999999999999998E-2</v>
      </c>
      <c r="I8" s="691">
        <v>0.05</v>
      </c>
      <c r="J8" s="63">
        <v>7.0000000000000007E-2</v>
      </c>
      <c r="K8" s="970">
        <f>SUMIF('数据-汇总表'!C$19:C$33,A8,'数据-汇总表'!E$19:E$33)</f>
        <v>6564.97</v>
      </c>
      <c r="L8" s="692">
        <v>5000</v>
      </c>
      <c r="M8" s="64">
        <f>ROUND(K8*L8/10000,0)</f>
        <v>3282</v>
      </c>
      <c r="N8" s="690">
        <f>N6</f>
        <v>0.8</v>
      </c>
      <c r="O8" s="64" t="str">
        <f t="shared" si="3"/>
        <v>——</v>
      </c>
      <c r="P8" s="65" t="str">
        <f t="shared" si="4"/>
        <v>——</v>
      </c>
      <c r="Q8" s="693">
        <v>0.05</v>
      </c>
      <c r="R8" s="66">
        <f ca="1">SUMIF('数据-汇总表'!C$19:C$33,A8,'数据-汇总表'!R$19:R$27)</f>
        <v>1356.52</v>
      </c>
      <c r="S8" s="49">
        <f>IF('数据-汇总表'!$I$17="按面积比例",SUMIF('数据-汇总表'!C$19:C$33,A8,'数据-汇总表'!K$19:K$33),SUMIF('数据-汇总表'!C$19:C$33,A8,'数据-汇总表'!N$19:N$33))</f>
        <v>0</v>
      </c>
      <c r="T8" s="1092">
        <f t="shared" si="5"/>
        <v>0</v>
      </c>
      <c r="U8" s="3127">
        <v>1.5</v>
      </c>
      <c r="V8" s="694">
        <f>V7</f>
        <v>0.02</v>
      </c>
      <c r="W8" s="694">
        <f>W7</f>
        <v>0.1</v>
      </c>
      <c r="X8" s="979"/>
      <c r="Y8" s="68">
        <f t="shared" si="6"/>
        <v>0.8</v>
      </c>
      <c r="Z8" s="69"/>
      <c r="AA8" s="63"/>
      <c r="AB8" s="63"/>
      <c r="AC8" s="979"/>
      <c r="AD8" s="70"/>
      <c r="AE8" s="980">
        <f t="shared" ca="1" si="7"/>
        <v>25.36</v>
      </c>
      <c r="AF8" s="74"/>
      <c r="AG8" s="130">
        <f t="shared" si="8"/>
        <v>0</v>
      </c>
      <c r="AH8" s="695"/>
      <c r="AI8" s="73">
        <v>365</v>
      </c>
      <c r="AJ8" s="74"/>
      <c r="AK8" s="696">
        <v>5.0000000000000001E-3</v>
      </c>
      <c r="AL8" s="697">
        <v>1E-3</v>
      </c>
      <c r="AM8" s="106">
        <v>5.0000000000000001E-3</v>
      </c>
      <c r="AN8" s="1588" t="s">
        <v>3627</v>
      </c>
      <c r="AO8" s="50">
        <f t="shared" ca="1" si="9"/>
        <v>4413</v>
      </c>
      <c r="AP8" s="1589">
        <f t="shared" si="10"/>
        <v>0</v>
      </c>
      <c r="AQ8" s="50">
        <f t="shared" si="11"/>
        <v>0</v>
      </c>
      <c r="AR8" s="50">
        <f t="shared" si="12"/>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7"/>
        <v>0</v>
      </c>
      <c r="AF9" s="74"/>
      <c r="AG9" s="130">
        <f t="shared" si="8"/>
        <v>0</v>
      </c>
      <c r="AH9" s="71"/>
      <c r="AI9" s="73"/>
      <c r="AJ9" s="74"/>
      <c r="AK9" s="75"/>
      <c r="AL9" s="76"/>
      <c r="AM9" s="77"/>
      <c r="AN9" s="1588"/>
      <c r="AO9" s="50" t="e">
        <f t="shared" ca="1" si="9"/>
        <v>#REF!</v>
      </c>
      <c r="AP9" s="1589">
        <f t="shared" si="10"/>
        <v>0</v>
      </c>
      <c r="AQ9" s="50">
        <f t="shared" si="11"/>
        <v>0</v>
      </c>
      <c r="AR9" s="50">
        <f t="shared" si="12"/>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7"/>
        <v>0</v>
      </c>
      <c r="AF10" s="74"/>
      <c r="AG10" s="130">
        <f t="shared" si="8"/>
        <v>0</v>
      </c>
      <c r="AH10" s="71"/>
      <c r="AI10" s="73"/>
      <c r="AJ10" s="74"/>
      <c r="AK10" s="75"/>
      <c r="AL10" s="76"/>
      <c r="AM10" s="77"/>
      <c r="AN10" s="1588"/>
      <c r="AO10" s="50" t="e">
        <f t="shared" ca="1" si="9"/>
        <v>#REF!</v>
      </c>
      <c r="AP10" s="1589">
        <f t="shared" si="10"/>
        <v>0</v>
      </c>
      <c r="AQ10" s="50">
        <f t="shared" si="11"/>
        <v>0</v>
      </c>
      <c r="AR10" s="50">
        <f t="shared" si="12"/>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7"/>
        <v>0</v>
      </c>
      <c r="AF11" s="74"/>
      <c r="AG11" s="130">
        <f t="shared" si="8"/>
        <v>0</v>
      </c>
      <c r="AH11" s="71"/>
      <c r="AI11" s="73"/>
      <c r="AJ11" s="74"/>
      <c r="AK11" s="75"/>
      <c r="AL11" s="76"/>
      <c r="AM11" s="77"/>
      <c r="AN11" s="1588"/>
      <c r="AO11" s="50" t="e">
        <f t="shared" ca="1" si="9"/>
        <v>#REF!</v>
      </c>
      <c r="AP11" s="1589">
        <f t="shared" si="10"/>
        <v>0</v>
      </c>
      <c r="AQ11" s="50">
        <f t="shared" si="11"/>
        <v>0</v>
      </c>
      <c r="AR11" s="50">
        <f t="shared" si="12"/>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7"/>
        <v>0</v>
      </c>
      <c r="AF12" s="74"/>
      <c r="AG12" s="130">
        <f t="shared" si="8"/>
        <v>0</v>
      </c>
      <c r="AH12" s="71"/>
      <c r="AI12" s="73"/>
      <c r="AJ12" s="74"/>
      <c r="AK12" s="75"/>
      <c r="AL12" s="76"/>
      <c r="AM12" s="77"/>
      <c r="AN12" s="1588"/>
      <c r="AO12" s="50" t="e">
        <f t="shared" ca="1" si="9"/>
        <v>#REF!</v>
      </c>
      <c r="AP12" s="1589">
        <f t="shared" si="10"/>
        <v>0</v>
      </c>
      <c r="AQ12" s="50">
        <f t="shared" si="11"/>
        <v>0</v>
      </c>
      <c r="AR12" s="50">
        <f t="shared" si="12"/>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7"/>
        <v>0</v>
      </c>
      <c r="AF13" s="74"/>
      <c r="AG13" s="130">
        <f t="shared" si="8"/>
        <v>0</v>
      </c>
      <c r="AH13" s="71"/>
      <c r="AI13" s="73"/>
      <c r="AJ13" s="74"/>
      <c r="AK13" s="75"/>
      <c r="AL13" s="76"/>
      <c r="AM13" s="77"/>
      <c r="AN13" s="1588"/>
      <c r="AO13" s="50" t="e">
        <f t="shared" ca="1" si="9"/>
        <v>#REF!</v>
      </c>
      <c r="AP13" s="1589">
        <f t="shared" si="10"/>
        <v>0</v>
      </c>
      <c r="AQ13" s="50">
        <f t="shared" si="11"/>
        <v>0</v>
      </c>
      <c r="AR13" s="50">
        <f t="shared" si="12"/>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0.746</v>
      </c>
      <c r="H16" s="84">
        <f>ROUND(SUMPRODUCT(H6:H13,K6:K13)/SUMPRODUCT((H6:H13&gt;0)*(K6:K13)),3)</f>
        <v>4.9000000000000002E-2</v>
      </c>
      <c r="I16" s="85"/>
      <c r="J16" s="85"/>
      <c r="K16" s="86">
        <f>SUM(K6:K15)</f>
        <v>40045.229999999996</v>
      </c>
      <c r="L16" s="87">
        <f>ROUND(M16*10000/SUM(K6:K14),0)</f>
        <v>5418</v>
      </c>
      <c r="M16" s="87">
        <f>SUM(M6:M14)</f>
        <v>21696</v>
      </c>
      <c r="N16" s="88">
        <f>ROUND(SUMPRODUCT(M6:M14,N6:N14)/M16,3)</f>
        <v>0.8</v>
      </c>
      <c r="O16" s="87">
        <f>SUM(O6:O14)</f>
        <v>0</v>
      </c>
      <c r="P16" s="87">
        <f>SUM(P6:P14)</f>
        <v>0</v>
      </c>
      <c r="Q16" s="89">
        <f>ROUND(SUMPRODUCT(Q6:Q13,K6:K13)/SUMPRODUCT((Q6:Q13&gt;0)*(K6:K13)),2)</f>
        <v>0.13</v>
      </c>
      <c r="R16" s="974">
        <f ca="1">SUM(R6:R13)</f>
        <v>8274.56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f>U8/35/30</f>
        <v>1.4285714285714286E-3</v>
      </c>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5" t="s">
        <v>1211</v>
      </c>
      <c r="B19" s="97">
        <v>0</v>
      </c>
      <c r="C19" s="2560" t="s">
        <v>2301</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6" t="s">
        <v>1212</v>
      </c>
      <c r="B20" s="98">
        <v>2.5</v>
      </c>
      <c r="C20" s="2561" t="s">
        <v>2299</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7" t="s">
        <v>1213</v>
      </c>
      <c r="B21" s="98">
        <f>B20</f>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6" t="s">
        <v>1214</v>
      </c>
      <c r="B22" s="99">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7" t="s">
        <v>1215</v>
      </c>
      <c r="B23" s="99">
        <f>B19+B21</f>
        <v>2.5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0" t="s">
        <v>1220</v>
      </c>
      <c r="B27" s="101"/>
      <c r="C27" s="2562" t="s">
        <v>2303</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2" t="s">
        <v>1222</v>
      </c>
      <c r="B29" s="105">
        <f>ROUND(B28*K16/10000,0)</f>
        <v>801</v>
      </c>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4"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0" t="s">
        <v>1226</v>
      </c>
      <c r="B33" s="640">
        <v>0.05</v>
      </c>
      <c r="C33" s="2564" t="s">
        <v>3381</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1" t="s">
        <v>1227</v>
      </c>
      <c r="B34" s="106">
        <v>0</v>
      </c>
      <c r="C34" s="2564" t="s">
        <v>2293</v>
      </c>
      <c r="D34" s="2459" t="s">
        <v>2300</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1" t="s">
        <v>1228</v>
      </c>
      <c r="B35" s="103">
        <v>200</v>
      </c>
      <c r="C35" s="2564" t="s">
        <v>2294</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3382</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3" t="s">
        <v>1230</v>
      </c>
      <c r="B37" s="108">
        <v>0.03</v>
      </c>
      <c r="C37" s="2564" t="s">
        <v>2295</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1" t="s">
        <v>1231</v>
      </c>
      <c r="B38" s="106">
        <v>0.02</v>
      </c>
      <c r="C38" s="2564" t="s">
        <v>2295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f ca="1">IF(A40="利息：取LPR",存贷款利率!G1,存贷款利率!G1+C40)</f>
        <v>3.3500000000000002E-2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6" t="s">
        <v>1236</v>
      </c>
      <c r="B44" s="112">
        <v>7.0000000000000007E-2</v>
      </c>
      <c r="C44" s="2564" t="s">
        <v>2304</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6" t="s">
        <v>1237</v>
      </c>
      <c r="B45" s="110">
        <v>0.03</v>
      </c>
      <c r="C45" s="2563" t="s">
        <v>2296</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6" t="s">
        <v>1238</v>
      </c>
      <c r="B46" s="110">
        <v>0.02</v>
      </c>
      <c r="C46" s="2563" t="s">
        <v>2297</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8" t="s">
        <v>1240</v>
      </c>
      <c r="B48" s="114">
        <v>0.03</v>
      </c>
      <c r="C48" s="2563" t="s">
        <v>2296</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2298</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09" t="s">
        <v>1244</v>
      </c>
      <c r="B52" s="117">
        <f>SUMIF(A54:A63,B53,B54:B63)</f>
        <v>24</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1" t="s">
        <v>1245</v>
      </c>
      <c r="B53" s="1610" t="s">
        <v>184</v>
      </c>
      <c r="C53" s="2439" t="s">
        <v>1246</v>
      </c>
      <c r="D53" s="2565" t="s">
        <v>2302</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1"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1"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1"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1"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1"/>
  </cols>
  <sheetData>
    <row r="1" spans="1:29" s="2258" customFormat="1" ht="18" thickBot="1">
      <c r="A1" s="3274" t="s">
        <v>2284</v>
      </c>
      <c r="B1" s="3275"/>
      <c r="C1" s="3275"/>
      <c r="D1" s="3275"/>
      <c r="E1" s="3275"/>
      <c r="F1" s="3275"/>
      <c r="G1" s="327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2280</v>
      </c>
      <c r="D2" s="1594"/>
      <c r="E2" s="2259"/>
      <c r="F2" s="2262"/>
      <c r="G2" s="2261" t="s">
        <v>2281</v>
      </c>
      <c r="H2" s="751"/>
      <c r="I2" s="751"/>
      <c r="J2" s="751"/>
      <c r="K2" s="751"/>
      <c r="L2" s="751"/>
      <c r="M2" s="751"/>
      <c r="N2" s="751"/>
      <c r="O2" s="751"/>
      <c r="P2" s="751"/>
      <c r="Q2" s="751"/>
    </row>
    <row r="3" spans="1:29" ht="39.6">
      <c r="A3" s="2246" t="s">
        <v>2282</v>
      </c>
      <c r="B3" s="2263" t="s">
        <v>2252</v>
      </c>
      <c r="C3" s="2264"/>
      <c r="D3" s="2265"/>
      <c r="E3" s="2247" t="s">
        <v>2282</v>
      </c>
      <c r="F3" s="2266" t="s">
        <v>2253</v>
      </c>
      <c r="G3" s="2267" t="s">
        <v>2283</v>
      </c>
      <c r="H3" s="751"/>
      <c r="I3" s="751"/>
      <c r="J3" s="751"/>
      <c r="K3" s="751"/>
      <c r="L3" s="751"/>
      <c r="M3" s="751"/>
      <c r="N3" s="751"/>
      <c r="O3" s="751"/>
      <c r="P3" s="751"/>
      <c r="Q3" s="751"/>
    </row>
    <row r="4" spans="1:29" ht="36">
      <c r="A4" s="2247"/>
      <c r="B4" s="315" t="s">
        <v>2254</v>
      </c>
      <c r="C4" s="2268"/>
      <c r="D4" s="2265"/>
      <c r="E4" s="2269"/>
      <c r="F4" s="1280" t="s">
        <v>2255</v>
      </c>
      <c r="G4" s="2270" t="s">
        <v>2256</v>
      </c>
      <c r="H4" s="751"/>
      <c r="I4" s="751"/>
      <c r="J4" s="751"/>
      <c r="K4" s="751"/>
      <c r="L4" s="751"/>
      <c r="M4" s="751"/>
      <c r="N4" s="751"/>
      <c r="O4" s="751"/>
      <c r="P4" s="751"/>
      <c r="Q4" s="751"/>
    </row>
    <row r="5" spans="1:29" ht="37.200000000000003">
      <c r="A5" s="2247"/>
      <c r="B5" s="315" t="s">
        <v>2257</v>
      </c>
      <c r="C5" s="2268" t="s">
        <v>2258</v>
      </c>
      <c r="D5" s="2265"/>
      <c r="E5" s="2269"/>
      <c r="F5" s="315" t="s">
        <v>2259</v>
      </c>
      <c r="G5" s="2270" t="s">
        <v>2260</v>
      </c>
      <c r="H5" s="751"/>
      <c r="I5" s="751"/>
      <c r="J5" s="751"/>
      <c r="K5" s="751"/>
      <c r="L5" s="751"/>
      <c r="M5" s="751"/>
      <c r="N5" s="751"/>
      <c r="O5" s="751"/>
      <c r="P5" s="751"/>
      <c r="Q5" s="751"/>
    </row>
    <row r="6" spans="1:29" ht="48">
      <c r="A6" s="2247"/>
      <c r="B6" s="315" t="s">
        <v>2261</v>
      </c>
      <c r="C6" s="2270" t="s">
        <v>2256</v>
      </c>
      <c r="D6" s="2265"/>
      <c r="E6" s="2269"/>
      <c r="F6" s="315" t="s">
        <v>2262</v>
      </c>
      <c r="G6" s="2270" t="s">
        <v>2263</v>
      </c>
      <c r="H6" s="751"/>
      <c r="I6" s="751"/>
      <c r="J6" s="751"/>
      <c r="K6" s="751"/>
      <c r="L6" s="751"/>
      <c r="M6" s="751"/>
      <c r="N6" s="751"/>
      <c r="O6" s="751"/>
      <c r="P6" s="751"/>
      <c r="Q6" s="751"/>
    </row>
    <row r="7" spans="1:29" ht="36.6" thickBot="1">
      <c r="A7" s="2247"/>
      <c r="B7" s="315" t="s">
        <v>2259</v>
      </c>
      <c r="C7" s="2270" t="s">
        <v>2260</v>
      </c>
      <c r="D7" s="2244"/>
      <c r="E7" s="2271"/>
      <c r="F7" s="2272" t="s">
        <v>2264</v>
      </c>
      <c r="G7" s="2273" t="s">
        <v>2265</v>
      </c>
      <c r="H7" s="751"/>
      <c r="I7" s="751"/>
      <c r="J7" s="751"/>
      <c r="K7" s="751"/>
      <c r="L7" s="751"/>
      <c r="M7" s="751"/>
      <c r="N7" s="751"/>
      <c r="O7" s="751"/>
      <c r="P7" s="751"/>
      <c r="Q7" s="751"/>
    </row>
    <row r="8" spans="1:29" ht="24">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4.4"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2285</v>
      </c>
      <c r="B13" s="2279"/>
      <c r="C13" s="2279"/>
      <c r="D13" s="2278"/>
      <c r="E13" s="2279"/>
      <c r="F13" s="2279"/>
      <c r="G13" s="2279"/>
    </row>
    <row r="14" spans="1:29" ht="14.4" thickBot="1">
      <c r="A14" s="2284"/>
      <c r="B14" s="2284"/>
      <c r="C14" s="2285" t="s">
        <v>2269</v>
      </c>
      <c r="D14" s="2265"/>
      <c r="E14" s="2286"/>
      <c r="F14" s="2286"/>
      <c r="G14" s="2261" t="s">
        <v>2270</v>
      </c>
    </row>
    <row r="15" spans="1:29" ht="39.6">
      <c r="A15" s="2249" t="s">
        <v>2271</v>
      </c>
      <c r="B15" s="2287" t="s">
        <v>2252</v>
      </c>
      <c r="C15" s="2288">
        <f>C3</f>
        <v>0</v>
      </c>
      <c r="D15" s="2265"/>
      <c r="E15" s="2250" t="s">
        <v>2272</v>
      </c>
      <c r="F15" s="2287" t="s">
        <v>2273</v>
      </c>
      <c r="G15" s="2289" t="str">
        <f>G3</f>
        <v>估价对象位于XX开发区，园区建设成熟度XX，产业集聚程度XX</v>
      </c>
    </row>
    <row r="16" spans="1:29" ht="39.6">
      <c r="A16" s="2251"/>
      <c r="B16" s="2290" t="s">
        <v>2254</v>
      </c>
      <c r="C16" s="2291">
        <f>C4</f>
        <v>0</v>
      </c>
      <c r="D16" s="2265"/>
      <c r="E16" s="2252"/>
      <c r="F16" s="2292" t="s">
        <v>2255</v>
      </c>
      <c r="G16" s="2293" t="str">
        <f>G4</f>
        <v>估价对象周边道路状况、公共交通通达情况、停车便捷程度，综合评价交通便捷度较好</v>
      </c>
    </row>
    <row r="17" spans="1:17" ht="39.6">
      <c r="A17" s="2251"/>
      <c r="B17" s="2290" t="s">
        <v>2257</v>
      </c>
      <c r="C17" s="2291" t="str">
        <f>C5</f>
        <v>估价对象位于XX商圈，周边办公楼项目较多，入驻率高，办公集聚程度较好</v>
      </c>
      <c r="D17" s="2244"/>
      <c r="E17" s="2252"/>
      <c r="F17" s="2292" t="s">
        <v>2274</v>
      </c>
      <c r="G17" s="2294"/>
    </row>
    <row r="18" spans="1:17" ht="52.8">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6.4">
      <c r="A19" s="2251"/>
      <c r="B19" s="2292" t="s">
        <v>2275</v>
      </c>
      <c r="C19" s="2294"/>
      <c r="D19" s="2265"/>
      <c r="E19" s="2252"/>
      <c r="F19" s="315" t="s">
        <v>2259</v>
      </c>
      <c r="G19" s="2293" t="str">
        <f>G5</f>
        <v>估价对象所在区域公共配套设施齐备情况</v>
      </c>
    </row>
    <row r="20" spans="1:17" ht="26.4">
      <c r="A20" s="2251"/>
      <c r="B20" s="2292" t="s">
        <v>2276</v>
      </c>
      <c r="C20" s="2291" t="str">
        <f>C9</f>
        <v>区域自然环境：；人文环境；综合评价环境状况一般</v>
      </c>
      <c r="D20" s="2244"/>
      <c r="E20" s="2252"/>
      <c r="F20" s="315" t="s">
        <v>2262</v>
      </c>
      <c r="G20" s="2293" t="str">
        <f>G6</f>
        <v>估价对象所在区域基础设施水平</v>
      </c>
    </row>
    <row r="21" spans="1:17" ht="26.4">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4.4" thickBot="1">
      <c r="A23" s="2251"/>
      <c r="B23" s="2292" t="s">
        <v>2277</v>
      </c>
      <c r="C23" s="2295"/>
      <c r="D23" s="1613"/>
      <c r="E23" s="2253"/>
      <c r="F23" s="2296" t="s">
        <v>2278</v>
      </c>
      <c r="G23" s="2297"/>
      <c r="H23" s="2276"/>
      <c r="I23" s="2276"/>
      <c r="J23" s="2276"/>
      <c r="K23" s="2276"/>
      <c r="L23" s="2276"/>
      <c r="M23" s="2276"/>
      <c r="N23" s="2276"/>
      <c r="O23" s="2276"/>
      <c r="P23" s="2276"/>
      <c r="Q23" s="2276"/>
    </row>
    <row r="24" spans="1:17" s="751" customFormat="1" ht="14.4" thickBot="1">
      <c r="A24" s="2254"/>
      <c r="B24" s="2296" t="s">
        <v>2279</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C5" sqref="C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40045.229999999996</v>
      </c>
      <c r="C1" s="2461"/>
      <c r="D1" s="2461"/>
      <c r="E1" s="2461"/>
      <c r="F1" s="2461"/>
      <c r="G1" s="2462"/>
      <c r="H1" s="2462"/>
      <c r="I1" s="2462"/>
      <c r="J1" s="2462"/>
      <c r="K1" s="2462"/>
    </row>
    <row r="2" spans="1:11" ht="16.2">
      <c r="A2" s="2299" t="s">
        <v>653</v>
      </c>
      <c r="B2" s="2299">
        <f>SUM(C14:C23)</f>
        <v>8274.56</v>
      </c>
      <c r="C2" s="2461"/>
      <c r="D2" s="2461"/>
      <c r="E2" s="2461"/>
      <c r="F2" s="2461"/>
      <c r="G2" s="2462"/>
      <c r="H2" s="2462"/>
      <c r="I2" s="2462"/>
      <c r="J2" s="2462"/>
      <c r="K2" s="2462"/>
    </row>
    <row r="3" spans="1:11" ht="15.6">
      <c r="A3" s="2299" t="s">
        <v>662</v>
      </c>
      <c r="B3" s="2301">
        <f>项目基本情况!D3</f>
        <v>45526</v>
      </c>
      <c r="C3" s="2461"/>
      <c r="D3" s="2461"/>
      <c r="E3" s="2461"/>
      <c r="F3" s="2461"/>
      <c r="G3" s="2462"/>
      <c r="H3" s="2462"/>
      <c r="I3" s="2462"/>
      <c r="J3" s="2462"/>
      <c r="K3" s="2462"/>
    </row>
    <row r="4" spans="1:11" ht="31.2">
      <c r="A4" s="2299" t="s">
        <v>661</v>
      </c>
      <c r="B4" s="2299" t="s">
        <v>660</v>
      </c>
      <c r="C4" s="2299" t="s">
        <v>659</v>
      </c>
      <c r="D4" s="2299" t="s">
        <v>658</v>
      </c>
      <c r="E4" s="2461"/>
      <c r="F4" s="2462"/>
      <c r="G4" s="2462"/>
      <c r="H4" s="2462"/>
      <c r="I4" s="2462"/>
      <c r="J4" s="2462"/>
      <c r="K4" s="2462"/>
    </row>
    <row r="5" spans="1:11" ht="15.6">
      <c r="A5" s="2299" t="s">
        <v>657</v>
      </c>
      <c r="B5" s="2299">
        <f ca="1">SUM(D14:D23)</f>
        <v>107780</v>
      </c>
      <c r="C5" s="2299">
        <f ca="1">IF(B5=D14,结果表!H102,ROUND(B5*10000/$B$1,0))</f>
        <v>26915</v>
      </c>
      <c r="D5" s="2299">
        <f ca="1">ROUND(B5*10000/$B$2,0)</f>
        <v>130255</v>
      </c>
      <c r="E5" s="2461"/>
      <c r="F5" s="2462"/>
      <c r="G5" s="2462"/>
      <c r="H5" s="2462"/>
      <c r="I5" s="2462"/>
      <c r="J5" s="2462"/>
      <c r="K5" s="2462"/>
    </row>
    <row r="6" spans="1:11" ht="15.6">
      <c r="A6" s="2299" t="s">
        <v>656</v>
      </c>
      <c r="B6" s="2299">
        <f ca="1">SUM(G14:G23)</f>
        <v>107780</v>
      </c>
      <c r="C6" s="2299">
        <f ca="1">IF(B6=G14,结果表!H108,ROUND(B6*10000/$B$1,0))</f>
        <v>26915</v>
      </c>
      <c r="D6" s="2299">
        <f ca="1">ROUND(B6*10000/$B$2,0)</f>
        <v>130255</v>
      </c>
      <c r="E6" s="2461"/>
      <c r="F6" s="2462"/>
      <c r="G6" s="2462"/>
      <c r="H6" s="2462"/>
      <c r="I6" s="2462"/>
      <c r="J6" s="2462"/>
      <c r="K6" s="2462"/>
    </row>
    <row r="7" spans="1:11" ht="15.6">
      <c r="A7" s="2299" t="s">
        <v>664</v>
      </c>
      <c r="B7" s="2299">
        <f>SUM(H14:H23)</f>
        <v>0</v>
      </c>
      <c r="C7" s="2299" t="str">
        <f>IF(B7=H14,结果表!H110,ROUND(B7*10000/$B$1,0))</f>
        <v>——</v>
      </c>
      <c r="D7" s="2299">
        <f>ROUND(B7*10000/$B$2,0)</f>
        <v>0</v>
      </c>
      <c r="E7" s="2461"/>
      <c r="F7" s="2462"/>
      <c r="G7" s="2462"/>
      <c r="H7" s="2462"/>
      <c r="I7" s="2462"/>
      <c r="J7" s="2462"/>
      <c r="K7" s="2462"/>
    </row>
    <row r="8" spans="1:11" ht="15.6">
      <c r="A8" s="2299" t="s">
        <v>587</v>
      </c>
      <c r="B8" s="2299">
        <f>SUM(I14:I23)</f>
        <v>0</v>
      </c>
      <c r="C8" s="2299">
        <f ca="1">IF(B8=I14,结果表!H112,ROUND(B8*10000/$B$1,0))</f>
        <v>24184</v>
      </c>
      <c r="D8" s="2299">
        <f>ROUND(B8*10000/$B$2,0)</f>
        <v>0</v>
      </c>
      <c r="E8" s="2461"/>
      <c r="F8" s="2462"/>
      <c r="G8" s="2462"/>
      <c r="H8" s="2462"/>
      <c r="I8" s="2462"/>
      <c r="J8" s="2462"/>
      <c r="K8" s="2462"/>
    </row>
    <row r="9" spans="1:11" ht="15.6">
      <c r="A9" s="2299" t="s">
        <v>655</v>
      </c>
      <c r="B9" s="1243"/>
      <c r="C9" s="2461"/>
      <c r="D9" s="2461"/>
      <c r="E9" s="2461"/>
      <c r="F9" s="2462"/>
      <c r="G9" s="2462"/>
      <c r="H9" s="2462"/>
      <c r="I9" s="2462"/>
      <c r="J9" s="2462"/>
      <c r="K9" s="2462"/>
    </row>
    <row r="10" spans="1:11" ht="15.6">
      <c r="A10" s="2299" t="s">
        <v>654</v>
      </c>
      <c r="B10" s="2299">
        <f>IF(E10="",0,ROUND(B1*(E10*365/G10)/10000,0))</f>
        <v>0</v>
      </c>
      <c r="C10" s="2299" t="s">
        <v>3356</v>
      </c>
      <c r="D10" s="2299" t="s">
        <v>3357</v>
      </c>
      <c r="E10" s="3136"/>
      <c r="F10" s="3140" t="s">
        <v>3358</v>
      </c>
      <c r="G10" s="3137"/>
      <c r="H10" s="2462"/>
      <c r="I10" s="2462"/>
      <c r="J10" s="2462"/>
      <c r="K10" s="2462"/>
    </row>
    <row r="11" spans="1:11" ht="15.6">
      <c r="A11" s="2299" t="s">
        <v>670</v>
      </c>
      <c r="B11" s="1243"/>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2" t="s">
        <v>669</v>
      </c>
      <c r="B13" s="2303" t="s">
        <v>666</v>
      </c>
      <c r="C13" s="2303" t="s">
        <v>668</v>
      </c>
      <c r="D13" s="2303" t="s">
        <v>667</v>
      </c>
      <c r="E13" s="2299" t="s">
        <v>659</v>
      </c>
      <c r="F13" s="2299" t="s">
        <v>658</v>
      </c>
      <c r="G13" s="2303" t="s">
        <v>652</v>
      </c>
      <c r="H13" s="2303" t="s">
        <v>663</v>
      </c>
      <c r="I13" s="2303" t="s">
        <v>651</v>
      </c>
      <c r="J13" s="2462"/>
      <c r="K13" s="2462"/>
    </row>
    <row r="14" spans="1:11" ht="15.6">
      <c r="A14" s="2304" t="s">
        <v>650</v>
      </c>
      <c r="B14" s="2305">
        <f>结果表!B118</f>
        <v>40045.229999999996</v>
      </c>
      <c r="C14" s="2305">
        <f>结果表!C118</f>
        <v>8274.56</v>
      </c>
      <c r="D14" s="2305">
        <f ca="1">结果表!H118</f>
        <v>107780</v>
      </c>
      <c r="E14" s="2305">
        <f ca="1">ROUND(D14*10000/B14,0)</f>
        <v>26915</v>
      </c>
      <c r="F14" s="2305">
        <f ca="1">ROUND(D14*10000/C14,0)</f>
        <v>130255</v>
      </c>
      <c r="G14" s="2305">
        <f ca="1">D14</f>
        <v>107780</v>
      </c>
      <c r="H14" s="2305"/>
      <c r="I14" s="2305"/>
      <c r="J14" s="2462"/>
      <c r="K14" s="2462"/>
    </row>
    <row r="15" spans="1:11" ht="15.6">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5.6">
      <c r="A16" s="2304" t="s">
        <v>648</v>
      </c>
      <c r="B16" s="2306"/>
      <c r="C16" s="2306"/>
      <c r="D16" s="2306"/>
      <c r="E16" s="2305" t="e">
        <f t="shared" si="0"/>
        <v>#DIV/0!</v>
      </c>
      <c r="F16" s="2305" t="e">
        <f t="shared" si="1"/>
        <v>#DIV/0!</v>
      </c>
      <c r="G16" s="1243"/>
      <c r="H16" s="1243"/>
      <c r="I16" s="2306"/>
      <c r="J16" s="2462"/>
      <c r="K16" s="2462"/>
    </row>
    <row r="17" spans="1:11" ht="15.6">
      <c r="A17" s="2304" t="s">
        <v>647</v>
      </c>
      <c r="B17" s="2306"/>
      <c r="C17" s="2306"/>
      <c r="D17" s="2306"/>
      <c r="E17" s="2305" t="e">
        <f t="shared" si="0"/>
        <v>#DIV/0!</v>
      </c>
      <c r="F17" s="2305" t="e">
        <f t="shared" si="1"/>
        <v>#DIV/0!</v>
      </c>
      <c r="G17" s="1243"/>
      <c r="H17" s="1243"/>
      <c r="I17" s="2306"/>
      <c r="J17" s="2462"/>
      <c r="K17" s="2462"/>
    </row>
    <row r="18" spans="1:11" ht="15.6">
      <c r="A18" s="2304" t="s">
        <v>646</v>
      </c>
      <c r="B18" s="2306"/>
      <c r="C18" s="2306"/>
      <c r="D18" s="2306"/>
      <c r="E18" s="2305" t="e">
        <f t="shared" si="0"/>
        <v>#DIV/0!</v>
      </c>
      <c r="F18" s="2305" t="e">
        <f t="shared" si="1"/>
        <v>#DIV/0!</v>
      </c>
      <c r="G18" s="2306"/>
      <c r="H18" s="2306"/>
      <c r="I18" s="2306"/>
      <c r="J18" s="2462"/>
      <c r="K18" s="2462"/>
    </row>
    <row r="19" spans="1:11" ht="15.6">
      <c r="A19" s="2304" t="s">
        <v>645</v>
      </c>
      <c r="B19" s="2306"/>
      <c r="C19" s="2306"/>
      <c r="D19" s="2306"/>
      <c r="E19" s="2305" t="e">
        <f t="shared" si="0"/>
        <v>#DIV/0!</v>
      </c>
      <c r="F19" s="2305" t="e">
        <f t="shared" si="1"/>
        <v>#DIV/0!</v>
      </c>
      <c r="G19" s="2306"/>
      <c r="H19" s="2306"/>
      <c r="I19" s="2306"/>
      <c r="J19" s="2462"/>
      <c r="K19" s="2462"/>
    </row>
    <row r="20" spans="1:11" ht="15.6">
      <c r="A20" s="2304" t="s">
        <v>644</v>
      </c>
      <c r="B20" s="2306"/>
      <c r="C20" s="2306"/>
      <c r="D20" s="2306"/>
      <c r="E20" s="2305" t="e">
        <f t="shared" si="0"/>
        <v>#DIV/0!</v>
      </c>
      <c r="F20" s="2305" t="e">
        <f t="shared" si="1"/>
        <v>#DIV/0!</v>
      </c>
      <c r="G20" s="2306"/>
      <c r="H20" s="2306"/>
      <c r="I20" s="2306"/>
      <c r="J20" s="2462"/>
      <c r="K20" s="2462"/>
    </row>
    <row r="21" spans="1:11" ht="15.6">
      <c r="A21" s="2304" t="s">
        <v>643</v>
      </c>
      <c r="B21" s="2306"/>
      <c r="C21" s="2306"/>
      <c r="D21" s="2306"/>
      <c r="E21" s="2305" t="e">
        <f t="shared" si="0"/>
        <v>#DIV/0!</v>
      </c>
      <c r="F21" s="2305" t="e">
        <f t="shared" si="1"/>
        <v>#DIV/0!</v>
      </c>
      <c r="G21" s="2306"/>
      <c r="H21" s="2306"/>
      <c r="I21" s="2306"/>
      <c r="J21" s="2462"/>
      <c r="K21" s="2462"/>
    </row>
    <row r="22" spans="1:11" ht="15.6">
      <c r="A22" s="2304" t="s">
        <v>642</v>
      </c>
      <c r="B22" s="2306"/>
      <c r="C22" s="2306"/>
      <c r="D22" s="2306"/>
      <c r="E22" s="2305" t="e">
        <f t="shared" si="0"/>
        <v>#DIV/0!</v>
      </c>
      <c r="F22" s="2305" t="e">
        <f t="shared" si="1"/>
        <v>#DIV/0!</v>
      </c>
      <c r="G22" s="2306"/>
      <c r="H22" s="2306"/>
      <c r="I22" s="2306"/>
      <c r="J22" s="2462"/>
      <c r="K22" s="2462"/>
    </row>
    <row r="23" spans="1:11" ht="15.6">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E5" sqref="E5"/>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c r="D1" s="646"/>
      <c r="E1" s="646"/>
      <c r="F1" s="1620" t="s">
        <v>1263</v>
      </c>
      <c r="G1" s="1452" t="s">
        <v>3428</v>
      </c>
      <c r="H1" s="1620" t="str">
        <f>IF(G1="现房","——","估价对象范围")</f>
        <v>——</v>
      </c>
      <c r="I1" s="1621" t="s">
        <v>3429</v>
      </c>
    </row>
    <row r="2" spans="1:12" ht="21.75" customHeight="1" thickBot="1">
      <c r="A2" s="3310" t="str">
        <f>项目基本情况!S2</f>
        <v>北京市房地产</v>
      </c>
      <c r="B2" s="3311"/>
      <c r="C2" s="3311"/>
      <c r="D2" s="3311"/>
      <c r="E2" s="3311"/>
      <c r="F2" s="3311"/>
      <c r="G2" s="3311"/>
      <c r="H2" s="3311"/>
      <c r="I2" s="3312"/>
    </row>
    <row r="3" spans="1:12" ht="13.2">
      <c r="A3" s="3314" t="s">
        <v>1264</v>
      </c>
      <c r="B3" s="3315"/>
      <c r="C3" s="3315"/>
      <c r="D3" s="3315"/>
      <c r="E3" s="3315"/>
      <c r="F3" s="3315"/>
      <c r="G3" s="3315"/>
      <c r="H3" s="3315"/>
      <c r="I3" s="3315"/>
    </row>
    <row r="4" spans="1:12" ht="14.4">
      <c r="A4" s="1623" t="s">
        <v>1265</v>
      </c>
      <c r="B4" s="1624" t="s">
        <v>1266</v>
      </c>
      <c r="C4" s="1625" t="s">
        <v>3430</v>
      </c>
      <c r="D4" s="1625" t="s">
        <v>3629</v>
      </c>
      <c r="E4" s="3316" t="s">
        <v>1267</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90" t="s">
        <v>1268</v>
      </c>
      <c r="B5" s="3277">
        <v>25</v>
      </c>
      <c r="C5" s="3293"/>
      <c r="D5" s="3313"/>
      <c r="E5" s="123" t="s">
        <v>1269</v>
      </c>
      <c r="F5" s="1626"/>
      <c r="G5" s="1626"/>
      <c r="H5" s="1626"/>
      <c r="I5" s="1280"/>
    </row>
    <row r="6" spans="1:12" ht="13.2">
      <c r="A6" s="3290"/>
      <c r="B6" s="3277"/>
      <c r="C6" s="3294"/>
      <c r="D6" s="3313"/>
      <c r="E6" s="123" t="s">
        <v>1270</v>
      </c>
      <c r="F6" s="1626"/>
      <c r="G6" s="1626"/>
      <c r="H6" s="1626"/>
      <c r="I6" s="1280"/>
    </row>
    <row r="7" spans="1:12" ht="13.2">
      <c r="A7" s="3290"/>
      <c r="B7" s="3277"/>
      <c r="C7" s="3295"/>
      <c r="D7" s="3313"/>
      <c r="E7" s="123" t="s">
        <v>1271</v>
      </c>
      <c r="F7" s="1626"/>
      <c r="G7" s="1626"/>
      <c r="H7" s="1626"/>
      <c r="I7" s="1280"/>
    </row>
    <row r="8" spans="1:12" ht="13.2">
      <c r="A8" s="3290" t="s">
        <v>1272</v>
      </c>
      <c r="B8" s="3277">
        <v>15</v>
      </c>
      <c r="C8" s="3293"/>
      <c r="D8" s="3313"/>
      <c r="E8" s="123" t="s">
        <v>1273</v>
      </c>
      <c r="F8" s="1626"/>
      <c r="G8" s="1626"/>
      <c r="H8" s="1626"/>
      <c r="I8" s="1280"/>
    </row>
    <row r="9" spans="1:12" ht="13.2">
      <c r="A9" s="3290"/>
      <c r="B9" s="3277"/>
      <c r="C9" s="3295"/>
      <c r="D9" s="3313"/>
      <c r="E9" s="123" t="s">
        <v>1274</v>
      </c>
      <c r="F9" s="1626"/>
      <c r="G9" s="1626"/>
      <c r="H9" s="1626"/>
      <c r="I9" s="1280"/>
    </row>
    <row r="10" spans="1:12" ht="13.2">
      <c r="A10" s="3290" t="s">
        <v>1275</v>
      </c>
      <c r="B10" s="3277">
        <v>15</v>
      </c>
      <c r="C10" s="3293"/>
      <c r="D10" s="3313"/>
      <c r="E10" s="123" t="s">
        <v>1276</v>
      </c>
      <c r="F10" s="1626"/>
      <c r="G10" s="1626"/>
      <c r="H10" s="1626"/>
      <c r="I10" s="1280"/>
    </row>
    <row r="11" spans="1:12" ht="13.2">
      <c r="A11" s="3290"/>
      <c r="B11" s="3277"/>
      <c r="C11" s="3295"/>
      <c r="D11" s="3313"/>
      <c r="E11" s="123" t="s">
        <v>1277</v>
      </c>
      <c r="F11" s="1626"/>
      <c r="G11" s="1626"/>
      <c r="H11" s="1626"/>
      <c r="I11" s="1280"/>
    </row>
    <row r="12" spans="1:12" ht="13.2">
      <c r="A12" s="3290" t="s">
        <v>1278</v>
      </c>
      <c r="B12" s="3277">
        <v>15</v>
      </c>
      <c r="C12" s="3293"/>
      <c r="D12" s="3313"/>
      <c r="E12" s="123" t="s">
        <v>1279</v>
      </c>
      <c r="F12" s="1626"/>
      <c r="G12" s="1626"/>
      <c r="H12" s="1626"/>
      <c r="I12" s="1280"/>
    </row>
    <row r="13" spans="1:12" ht="13.2">
      <c r="A13" s="3290"/>
      <c r="B13" s="3277"/>
      <c r="C13" s="3295"/>
      <c r="D13" s="3313"/>
      <c r="E13" s="123" t="s">
        <v>1280</v>
      </c>
      <c r="F13" s="1626"/>
      <c r="G13" s="1626"/>
      <c r="H13" s="1626"/>
      <c r="I13" s="1280"/>
    </row>
    <row r="14" spans="1:12" ht="13.2">
      <c r="A14" s="3290" t="s">
        <v>1281</v>
      </c>
      <c r="B14" s="3277">
        <v>30</v>
      </c>
      <c r="C14" s="3293">
        <v>5</v>
      </c>
      <c r="D14" s="3313">
        <v>5</v>
      </c>
      <c r="E14" s="123" t="s">
        <v>1282</v>
      </c>
      <c r="F14" s="1626"/>
      <c r="G14" s="1626"/>
      <c r="H14" s="1626"/>
      <c r="I14" s="1280"/>
    </row>
    <row r="15" spans="1:12" ht="13.2">
      <c r="A15" s="3290"/>
      <c r="B15" s="3277"/>
      <c r="C15" s="3294"/>
      <c r="D15" s="3313"/>
      <c r="E15" s="123" t="s">
        <v>1283</v>
      </c>
      <c r="F15" s="1626"/>
      <c r="G15" s="1626"/>
      <c r="H15" s="1626"/>
      <c r="I15" s="1280"/>
    </row>
    <row r="16" spans="1:12" ht="13.2">
      <c r="A16" s="3290"/>
      <c r="B16" s="3277"/>
      <c r="C16" s="3295"/>
      <c r="D16" s="3313"/>
      <c r="E16" s="123" t="s">
        <v>1284</v>
      </c>
      <c r="F16" s="1626"/>
      <c r="G16" s="1626"/>
      <c r="H16" s="1626"/>
      <c r="I16" s="1280"/>
    </row>
    <row r="17" spans="1:36" ht="14.4">
      <c r="A17" s="1627" t="s">
        <v>1285</v>
      </c>
      <c r="B17" s="54"/>
      <c r="C17" s="124">
        <f>SUM(C5:C16)</f>
        <v>5</v>
      </c>
      <c r="D17" s="124">
        <f>SUM(D5:D16)</f>
        <v>5</v>
      </c>
      <c r="E17" s="121"/>
      <c r="F17" s="121"/>
      <c r="G17" s="121"/>
      <c r="H17" s="121"/>
      <c r="I17" s="121"/>
      <c r="K17" s="294"/>
      <c r="L17" s="294" t="s">
        <v>1286</v>
      </c>
      <c r="M17" s="294" t="s">
        <v>1287</v>
      </c>
    </row>
    <row r="18" spans="1:36" ht="31.95" customHeight="1" thickBot="1">
      <c r="A18" s="1628" t="s">
        <v>1288</v>
      </c>
      <c r="B18" s="1541"/>
      <c r="C18" s="125">
        <f>ROUND(C17/SUM(C17:D17),2)</f>
        <v>0.5</v>
      </c>
      <c r="D18" s="125">
        <f>1-C18</f>
        <v>0.5</v>
      </c>
      <c r="E18" s="3300" t="s">
        <v>2131</v>
      </c>
      <c r="F18" s="3301"/>
      <c r="G18" s="3301"/>
      <c r="H18" s="3301"/>
      <c r="I18" s="3301"/>
      <c r="K18" s="294" t="s">
        <v>1289</v>
      </c>
      <c r="L18" s="294">
        <f>IF(C1="",'数据-汇总表'!E3,SUMIF(项目类型,C1,'数据-汇总表'!E17:E26)+SUMIF(项目类型,C1,'数据-汇总表'!I17:I26))</f>
        <v>40045.229999999996</v>
      </c>
      <c r="M18" s="294">
        <f>IF(C1="",'数据-汇总表'!E3,SUMIF(项目类型,C1,'数据-汇总表'!E17:E26))</f>
        <v>40045.229999999996</v>
      </c>
    </row>
    <row r="19" spans="1:36" ht="14.4">
      <c r="A19" s="1629" t="s">
        <v>1290</v>
      </c>
      <c r="B19" s="1630" t="s">
        <v>1291</v>
      </c>
      <c r="C19" s="126">
        <f ca="1">SUMIF(INDIRECT("'"&amp;C4&amp;"'"&amp;"!A:A"),结果表!B19,INDIRECT("'"&amp;C4&amp;"'"&amp;"!B:B"))</f>
        <v>115524</v>
      </c>
      <c r="D19" s="127">
        <f ca="1">SUMIF(INDIRECT("'"&amp;D4&amp;"'"&amp;"!A:A"),结果表!B19,INDIRECT("'"&amp;D4&amp;"'"&amp;"!B:B"))</f>
        <v>100036</v>
      </c>
      <c r="E19" s="1629" t="s">
        <v>1292</v>
      </c>
      <c r="F19" s="1630" t="s">
        <v>1291</v>
      </c>
      <c r="G19" s="128">
        <f ca="1">ROUND(C19*$C$18+D19*$D$18,0)</f>
        <v>107780</v>
      </c>
      <c r="H19" s="1631" t="s">
        <v>1293</v>
      </c>
      <c r="I19" s="121"/>
      <c r="K19" s="294" t="s">
        <v>1294</v>
      </c>
      <c r="L19" s="294">
        <f>IF(C1="",'数据-汇总表'!D3,SUMIF(项目类型,C1,'数据-汇总表'!D17:D26)+SUMIF(项目类型,C1,'数据-汇总表'!H17:H27))</f>
        <v>8274.56</v>
      </c>
      <c r="M19" s="294">
        <f>IF(C1="",'数据-汇总表'!D3,SUMIF(项目类型,C1,'数据-汇总表'!D17:D26))</f>
        <v>8274.56</v>
      </c>
    </row>
    <row r="20" spans="1:36" ht="14.4">
      <c r="A20" s="1632"/>
      <c r="B20" s="43" t="s">
        <v>1295</v>
      </c>
      <c r="C20" s="129">
        <f ca="1">SUMIF(INDIRECT("'"&amp;C4&amp;"'"&amp;"!A:A"),结果表!B20,INDIRECT("'"&amp;C4&amp;"'"&amp;"!B:B"))</f>
        <v>28848</v>
      </c>
      <c r="D20" s="130">
        <f ca="1">SUMIF(INDIRECT("'"&amp;D4&amp;"'"&amp;"!A:A"),结果表!B20,INDIRECT("'"&amp;D4&amp;"'"&amp;"!B:B"))</f>
        <v>24981</v>
      </c>
      <c r="E20" s="1632"/>
      <c r="F20" s="43" t="s">
        <v>1295</v>
      </c>
      <c r="G20" s="131">
        <f ca="1">ROUND(C20*$C$18+D20*$D$18,0)</f>
        <v>26915</v>
      </c>
      <c r="H20" s="760" t="s">
        <v>1296</v>
      </c>
      <c r="I20" s="121"/>
      <c r="K20" s="684">
        <f ca="1">D19/'数据-汇总表'!E3*10000</f>
        <v>24980.753013529957</v>
      </c>
    </row>
    <row r="21" spans="1:36" ht="15" customHeight="1" thickBot="1">
      <c r="A21" s="449"/>
      <c r="B21" s="93" t="s">
        <v>1297</v>
      </c>
      <c r="C21" s="678">
        <f ca="1">ROUND(C19*10000/L19,0)</f>
        <v>139613</v>
      </c>
      <c r="D21" s="679">
        <f ca="1">ROUND(D19*10000/L19,0)</f>
        <v>120896</v>
      </c>
      <c r="E21" s="449"/>
      <c r="F21" s="93" t="s">
        <v>1297</v>
      </c>
      <c r="G21" s="132">
        <f ca="1">ROUND(G19*10000/L19,0)</f>
        <v>130255</v>
      </c>
      <c r="H21" s="1633" t="s">
        <v>1296</v>
      </c>
      <c r="I21" s="121"/>
    </row>
    <row r="22" spans="1:36" ht="15" thickBot="1">
      <c r="A22" s="1563" t="s">
        <v>1298</v>
      </c>
      <c r="B22" s="1634"/>
      <c r="C22" s="1635"/>
      <c r="D22" s="680">
        <f ca="1">IF(C19&lt;D19,D19/C19-1,C19/D19-1)</f>
        <v>0.15482426326522458</v>
      </c>
      <c r="E22" s="121"/>
      <c r="F22" s="121"/>
      <c r="G22" s="121"/>
      <c r="H22" s="121"/>
      <c r="I22" s="121"/>
      <c r="J22" s="684">
        <f ca="1">G19/'数据-汇总表'!F31</f>
        <v>3.7315822802121237</v>
      </c>
    </row>
    <row r="23" spans="1:36" ht="13.8" thickBot="1">
      <c r="A23" s="646"/>
      <c r="B23" s="646"/>
      <c r="C23" s="646"/>
      <c r="D23" s="646"/>
      <c r="E23" s="121"/>
      <c r="F23" s="121"/>
      <c r="G23" s="121"/>
      <c r="H23" s="121"/>
      <c r="I23" s="121"/>
    </row>
    <row r="24" spans="1:36" ht="14.4">
      <c r="A24" s="3284" t="s">
        <v>1299</v>
      </c>
      <c r="B24" s="1630" t="s">
        <v>1291</v>
      </c>
      <c r="C24" s="128">
        <f>IF(B30=0,0,D30)</f>
        <v>0</v>
      </c>
      <c r="D24" s="1636"/>
      <c r="E24" s="121"/>
      <c r="F24" s="121"/>
      <c r="G24" s="121"/>
      <c r="H24" s="121"/>
      <c r="I24" s="121"/>
    </row>
    <row r="25" spans="1:36" ht="14.4">
      <c r="A25" s="3285"/>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f ca="1">G19/'数据-汇总表'!F31</f>
        <v>3.7315822802121237</v>
      </c>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107780</v>
      </c>
      <c r="D32" s="1640" t="s">
        <v>3431</v>
      </c>
      <c r="E32" s="121"/>
      <c r="F32" s="121"/>
      <c r="G32" s="121"/>
      <c r="H32" s="121"/>
      <c r="I32" s="121"/>
    </row>
    <row r="33" spans="1:15" ht="14.4">
      <c r="A33" s="740" t="s">
        <v>1306</v>
      </c>
      <c r="B33" s="123"/>
      <c r="C33" s="1641" t="s">
        <v>3432</v>
      </c>
      <c r="D33" s="1642" t="s">
        <v>3430</v>
      </c>
      <c r="E33" s="1643" t="s">
        <v>1307</v>
      </c>
      <c r="F33" s="1644" t="str">
        <f>IF(D32="楼面单价","取值（单价）","取值（总价）")</f>
        <v>取值（总价）</v>
      </c>
      <c r="G33" s="121"/>
      <c r="H33" s="121"/>
      <c r="I33" s="121"/>
    </row>
    <row r="34" spans="1:15" ht="14.4">
      <c r="A34" s="1645"/>
      <c r="B34" s="1646" t="s">
        <v>1308</v>
      </c>
      <c r="C34" s="140">
        <f ca="1">IF(C33="自定义",F34,C32-C35)</f>
        <v>84392</v>
      </c>
      <c r="D34" s="808">
        <f ca="1">IF(C33="自定义",ROUND(C34/C32,3),IF(C33="收益比率",SUMIF(INDIRECT("'"&amp;D33&amp;"'"&amp;"!b:b"),"土地收益比率",INDIRECT("'"&amp;D33&amp;"'"&amp;"!c:c")),SUMIF(INDIRECT("'"&amp;D33&amp;"'"&amp;"!b:b"),"土地成本比率",INDIRECT("'"&amp;D33&amp;"'"&amp;"!c:c"))))</f>
        <v>0.78300000000000003</v>
      </c>
      <c r="E34" s="1647" t="s">
        <v>1309</v>
      </c>
      <c r="F34" s="1242"/>
      <c r="G34" s="121"/>
      <c r="H34" s="121"/>
      <c r="I34" s="121"/>
    </row>
    <row r="35" spans="1:15" ht="15" thickBot="1">
      <c r="A35" s="1648"/>
      <c r="B35" s="1649" t="s">
        <v>1310</v>
      </c>
      <c r="C35" s="1090">
        <f ca="1">IF(C33="自定义",F35,ROUND(C32*D35,0))</f>
        <v>23388</v>
      </c>
      <c r="D35" s="1091">
        <f ca="1">IF(C33="自定义",ROUND(C35/C32,3),IF(C33="收益比率",SUMIF(INDIRECT("'"&amp;D33&amp;"'"&amp;"!b:b"),"建筑物收益比率",INDIRECT("'"&amp;D33&amp;"'"&amp;"!c:c")),SUMIF(INDIRECT("'"&amp;D33&amp;"'"&amp;"!b:b"),"建筑物成本比率",INDIRECT("'"&amp;D33&amp;"'"&amp;"!c:c"))))</f>
        <v>0.217</v>
      </c>
      <c r="E35" s="1650" t="s">
        <v>1311</v>
      </c>
      <c r="F35" s="146"/>
      <c r="G35" s="121"/>
      <c r="H35" s="121"/>
      <c r="I35" s="121"/>
    </row>
    <row r="36" spans="1:15" ht="15" thickBot="1">
      <c r="A36" s="3304" t="s">
        <v>1312</v>
      </c>
      <c r="B36" s="1651" t="s">
        <v>1313</v>
      </c>
      <c r="C36" s="137"/>
      <c r="D36" s="1652"/>
      <c r="E36" s="1566"/>
      <c r="F36" s="1653"/>
      <c r="G36" s="121"/>
      <c r="H36" s="121"/>
      <c r="I36" s="121"/>
    </row>
    <row r="37" spans="1:15" ht="15" thickBot="1">
      <c r="A37" s="3305"/>
      <c r="B37" s="1554" t="s">
        <v>1314</v>
      </c>
      <c r="C37" s="139"/>
      <c r="D37" s="1071"/>
      <c r="E37" s="1071"/>
      <c r="F37" s="1653"/>
      <c r="G37" s="121"/>
      <c r="H37" s="121"/>
      <c r="I37" s="121"/>
    </row>
    <row r="38" spans="1:15" ht="15" thickBot="1">
      <c r="A38" s="3306"/>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81" t="s">
        <v>1326</v>
      </c>
      <c r="B45" s="3282"/>
      <c r="C45" s="3283"/>
      <c r="D45" s="147">
        <f ca="1">ROUND(H101*F45,0)</f>
        <v>107780</v>
      </c>
      <c r="E45" s="148" t="s">
        <v>1327</v>
      </c>
      <c r="F45" s="149">
        <v>1</v>
      </c>
      <c r="G45" s="150" t="s">
        <v>1328</v>
      </c>
      <c r="H45" s="121"/>
      <c r="I45" s="121"/>
      <c r="J45" s="3359" t="s">
        <v>1329</v>
      </c>
      <c r="K45" s="3359"/>
      <c r="L45" s="3359"/>
      <c r="M45" s="3359"/>
      <c r="N45" s="3359"/>
      <c r="O45" s="3359"/>
    </row>
    <row r="46" spans="1:15" ht="14.25" customHeight="1">
      <c r="A46" s="3278" t="s">
        <v>1330</v>
      </c>
      <c r="B46" s="3279"/>
      <c r="C46" s="3279"/>
      <c r="D46" s="3279"/>
      <c r="E46" s="3279"/>
      <c r="F46" s="3279"/>
      <c r="G46" s="3280"/>
      <c r="H46" s="1667"/>
      <c r="I46" s="151"/>
      <c r="J46" s="2309">
        <v>1</v>
      </c>
      <c r="K46" s="3340" t="s">
        <v>1331</v>
      </c>
      <c r="L46" s="3340"/>
      <c r="M46" s="3360"/>
      <c r="N46" s="3360"/>
      <c r="O46" s="3360"/>
    </row>
    <row r="47" spans="1:15" ht="12" customHeight="1">
      <c r="A47" s="152" t="s">
        <v>1332</v>
      </c>
      <c r="B47" s="153"/>
      <c r="C47" s="154"/>
      <c r="D47" s="1024" t="s">
        <v>1333</v>
      </c>
      <c r="E47" s="294" t="s">
        <v>1334</v>
      </c>
      <c r="F47" s="155" t="s">
        <v>1335</v>
      </c>
      <c r="G47" s="2332" t="s">
        <v>1336</v>
      </c>
      <c r="H47" s="2333"/>
      <c r="I47" s="151"/>
      <c r="J47" s="2309">
        <v>2</v>
      </c>
      <c r="K47" s="3340" t="s">
        <v>1337</v>
      </c>
      <c r="L47" s="3340"/>
      <c r="M47" s="3361">
        <f>'数据-取费表'!B2</f>
        <v>45526</v>
      </c>
      <c r="N47" s="3361"/>
      <c r="O47" s="3361"/>
    </row>
    <row r="48" spans="1:15" ht="39.6">
      <c r="A48" s="3309" t="s">
        <v>1338</v>
      </c>
      <c r="B48" s="3292"/>
      <c r="C48" s="3292"/>
      <c r="D48" s="12">
        <f ca="1">IF(H48="情况1",0,IF(H48="情况2",D52,IF(H48="情况3",D53,IF(H48="情况4",D54))))</f>
        <v>5748</v>
      </c>
      <c r="E48" s="1255" t="str">
        <f>IF(H48="情况4","(销售额-原购置价)×税（费）率","销售额×税（费）率")</f>
        <v>(销售额-原购置价)×税（费）率</v>
      </c>
      <c r="F48" s="2334">
        <f>IF(H48="情况1","免征",'数据-取费表'!B41)</f>
        <v>5.6000000000000001E-2</v>
      </c>
      <c r="G48" s="2335" t="s">
        <v>1339</v>
      </c>
      <c r="H48" s="2336" t="s">
        <v>3586</v>
      </c>
      <c r="I48" s="1667"/>
      <c r="J48" s="2309">
        <v>3</v>
      </c>
      <c r="K48" s="3340" t="s">
        <v>1340</v>
      </c>
      <c r="L48" s="3340"/>
      <c r="M48" s="3362">
        <f ca="1">H101</f>
        <v>107780</v>
      </c>
      <c r="N48" s="3362"/>
      <c r="O48" s="3362"/>
    </row>
    <row r="49" spans="1:35" ht="25.5" customHeight="1">
      <c r="A49" s="2151" t="s">
        <v>1341</v>
      </c>
      <c r="B49" s="3276" t="s">
        <v>1342</v>
      </c>
      <c r="C49" s="3276"/>
      <c r="D49" s="1477">
        <v>0</v>
      </c>
      <c r="E49" s="316" t="s">
        <v>1343</v>
      </c>
      <c r="F49" s="2232" t="s">
        <v>28</v>
      </c>
      <c r="G49" s="3346"/>
      <c r="H49" s="2133" t="s">
        <v>2134</v>
      </c>
      <c r="I49" s="2134"/>
      <c r="J49" s="2309">
        <v>4</v>
      </c>
      <c r="K49" s="3340" t="str">
        <f>IF(项目基本情况!E8="房地产抵押价值","房地产抵押价值","抵押担保权已注销时的房地产抵押价值")</f>
        <v>房地产抵押价值</v>
      </c>
      <c r="L49" s="3340"/>
      <c r="M49" s="3362">
        <f ca="1">IF(项目基本情况!E8="房地产抵押价值",H107,H109)</f>
        <v>107780</v>
      </c>
      <c r="N49" s="3362"/>
      <c r="O49" s="3362"/>
    </row>
    <row r="50" spans="1:35" ht="25.5" customHeight="1">
      <c r="A50" s="2337"/>
      <c r="B50" s="3276" t="s">
        <v>1344</v>
      </c>
      <c r="C50" s="3276"/>
      <c r="D50" s="2188"/>
      <c r="E50" s="323"/>
      <c r="F50" s="2232"/>
      <c r="G50" s="3347"/>
      <c r="H50" s="2135" t="s">
        <v>2135</v>
      </c>
      <c r="I50" s="2134"/>
      <c r="J50" s="3359" t="s">
        <v>1345</v>
      </c>
      <c r="K50" s="3359"/>
      <c r="L50" s="3359"/>
      <c r="M50" s="3359"/>
      <c r="N50" s="3359"/>
      <c r="O50" s="3359"/>
    </row>
    <row r="51" spans="1:35" ht="20.399999999999999" customHeight="1">
      <c r="A51" s="2338"/>
      <c r="B51" s="3276" t="s">
        <v>1346</v>
      </c>
      <c r="C51" s="3276"/>
      <c r="D51" s="1024"/>
      <c r="E51" s="319"/>
      <c r="F51" s="2232"/>
      <c r="G51" s="3348"/>
      <c r="H51" s="2135" t="s">
        <v>2136</v>
      </c>
      <c r="I51" s="2134"/>
      <c r="J51" s="2310" t="s">
        <v>1347</v>
      </c>
      <c r="K51" s="3340" t="s">
        <v>1348</v>
      </c>
      <c r="L51" s="3340"/>
      <c r="M51" s="2310" t="s">
        <v>1349</v>
      </c>
      <c r="N51" s="2310" t="s">
        <v>1350</v>
      </c>
      <c r="O51" s="2310" t="s">
        <v>1351</v>
      </c>
    </row>
    <row r="52" spans="1:35" ht="24" customHeight="1">
      <c r="A52" s="2152" t="s">
        <v>1352</v>
      </c>
      <c r="B52" s="3276" t="s">
        <v>1353</v>
      </c>
      <c r="C52" s="3276"/>
      <c r="D52" s="1024">
        <f ca="1">ROUND(D45*'数据-取费表'!B41/(1+'数据-取费表'!C42),0)</f>
        <v>5748</v>
      </c>
      <c r="E52" s="1255" t="s">
        <v>1354</v>
      </c>
      <c r="F52" s="2339">
        <f>'数据-取费表'!B41</f>
        <v>5.6000000000000001E-2</v>
      </c>
      <c r="G52" s="2340"/>
      <c r="H52" s="2330"/>
      <c r="I52" s="1668"/>
      <c r="J52" s="2309">
        <v>1</v>
      </c>
      <c r="K52" s="3341" t="s">
        <v>1355</v>
      </c>
      <c r="L52" s="3341"/>
      <c r="M52" s="2311">
        <f ca="1">D48</f>
        <v>5748</v>
      </c>
      <c r="N52" s="2309" t="str">
        <f>E48</f>
        <v>(销售额-原购置价)×税（费）率</v>
      </c>
      <c r="O52" s="2312">
        <f>F48</f>
        <v>5.6000000000000001E-2</v>
      </c>
    </row>
    <row r="53" spans="1:35" ht="12" customHeight="1">
      <c r="A53" s="2152" t="s">
        <v>1356</v>
      </c>
      <c r="B53" s="3302" t="s">
        <v>2289</v>
      </c>
      <c r="C53" s="3303"/>
      <c r="D53" s="1024">
        <f ca="1">ROUND(D45*'数据-取费表'!B41/(1+'数据-取费表'!C42),0)</f>
        <v>5748</v>
      </c>
      <c r="E53" s="1255" t="s">
        <v>1354</v>
      </c>
      <c r="F53" s="2339">
        <f>'数据-取费表'!B41</f>
        <v>5.6000000000000001E-2</v>
      </c>
      <c r="G53" s="2340"/>
      <c r="H53" s="2330"/>
      <c r="I53" s="1668"/>
      <c r="J53" s="2309">
        <v>2</v>
      </c>
      <c r="K53" s="3341" t="s">
        <v>1357</v>
      </c>
      <c r="L53" s="3341"/>
      <c r="M53" s="2311">
        <f t="shared" ref="M53:O54" ca="1" si="0">D55</f>
        <v>54</v>
      </c>
      <c r="N53" s="2309" t="str">
        <f t="shared" si="0"/>
        <v>销售额×税（费）率</v>
      </c>
      <c r="O53" s="2312">
        <f t="shared" si="0"/>
        <v>5.0000000000000001E-4</v>
      </c>
    </row>
    <row r="54" spans="1:35" ht="12" customHeight="1">
      <c r="A54" s="2152" t="s">
        <v>1358</v>
      </c>
      <c r="B54" s="3302" t="s">
        <v>2290</v>
      </c>
      <c r="C54" s="3303"/>
      <c r="D54" s="1024">
        <f ca="1">C68</f>
        <v>5748</v>
      </c>
      <c r="E54" s="319" t="s">
        <v>1359</v>
      </c>
      <c r="F54" s="2339">
        <f>'数据-取费表'!B41</f>
        <v>5.6000000000000001E-2</v>
      </c>
      <c r="G54" s="2340"/>
      <c r="H54" s="2341"/>
      <c r="I54" s="1668"/>
      <c r="J54" s="2309">
        <v>3</v>
      </c>
      <c r="K54" s="3341" t="s">
        <v>1360</v>
      </c>
      <c r="L54" s="3341"/>
      <c r="M54" s="2311">
        <f t="shared" ca="1" si="0"/>
        <v>5132</v>
      </c>
      <c r="N54" s="2309" t="str">
        <f t="shared" si="0"/>
        <v>增值额×税（费）率</v>
      </c>
      <c r="O54" s="2313" t="str">
        <f t="shared" si="0"/>
        <v>——</v>
      </c>
    </row>
    <row r="55" spans="1:35" ht="24" customHeight="1">
      <c r="A55" s="3291" t="s">
        <v>1361</v>
      </c>
      <c r="B55" s="3292"/>
      <c r="C55" s="3292"/>
      <c r="D55" s="12">
        <f ca="1">IF(H55="个人住宅",0,ROUND(D45*I55,0))</f>
        <v>54</v>
      </c>
      <c r="E55" s="1255" t="s">
        <v>1362</v>
      </c>
      <c r="F55" s="2339">
        <f>IF(H55="正常",I55,"免征")</f>
        <v>5.0000000000000001E-4</v>
      </c>
      <c r="G55" s="2340"/>
      <c r="H55" s="2336" t="s">
        <v>3569</v>
      </c>
      <c r="I55" s="157">
        <f>'数据-取费表'!B49</f>
        <v>5.0000000000000001E-4</v>
      </c>
      <c r="J55" s="2309" t="str">
        <f>IF(H59="非个人房产","",4)</f>
        <v/>
      </c>
      <c r="K55" s="3341" t="str">
        <f>IF(H59="非个人房产","——","个人所得税")</f>
        <v>——</v>
      </c>
      <c r="L55" s="3341"/>
      <c r="M55" s="2314" t="str">
        <f>D59</f>
        <v>——</v>
      </c>
      <c r="N55" s="1882" t="str">
        <f>E59</f>
        <v>——</v>
      </c>
      <c r="O55" s="2315" t="str">
        <f>F59</f>
        <v>——</v>
      </c>
    </row>
    <row r="56" spans="1:35" ht="25.2">
      <c r="A56" s="3291" t="s">
        <v>1363</v>
      </c>
      <c r="B56" s="3292"/>
      <c r="C56" s="3292"/>
      <c r="D56" s="3172">
        <f ca="1">ROUND(D45/1.05*0.05,0)</f>
        <v>5132</v>
      </c>
      <c r="E56" s="1255" t="s">
        <v>1364</v>
      </c>
      <c r="F56" s="2339" t="str">
        <f>IF(H56="正常",F58,"免征")</f>
        <v>——</v>
      </c>
      <c r="G56" s="2342" t="s">
        <v>1365</v>
      </c>
      <c r="H56" s="2343" t="s">
        <v>3569</v>
      </c>
      <c r="I56" s="1669"/>
      <c r="J56" s="2309" t="str">
        <f>IF(项目基本情况!K6="上海银行",IF(J55="",4,J55+1),"")</f>
        <v/>
      </c>
      <c r="K56" s="3364" t="str">
        <f>IF(项目基本情况!K6="上海银行","其他处置费用","")</f>
        <v/>
      </c>
      <c r="L56" s="3365"/>
      <c r="M56" s="2311" t="str">
        <f>IF(项目基本情况!K6="上海银行",M69,"")</f>
        <v/>
      </c>
      <c r="N56" s="3364" t="str">
        <f>IF(项目基本情况!K6="上海银行","包含处置中涉及的律师、诉讼、拍卖、评估等费用","")</f>
        <v/>
      </c>
      <c r="O56" s="3367"/>
    </row>
    <row r="57" spans="1:35" ht="13.2">
      <c r="A57" s="2152" t="s">
        <v>1341</v>
      </c>
      <c r="B57" s="3302" t="s">
        <v>1366</v>
      </c>
      <c r="C57" s="3303"/>
      <c r="D57" s="1477">
        <v>0</v>
      </c>
      <c r="E57" s="316" t="s">
        <v>1343</v>
      </c>
      <c r="F57" s="294"/>
      <c r="G57" s="2340"/>
      <c r="H57" s="2344"/>
      <c r="I57" s="1669"/>
      <c r="J57" s="3341">
        <f>IF(AND(J55="",J56=""),4,IF(项目基本情况!K6="上海银行",结果表!J56+1,结果表!J55+1))</f>
        <v>4</v>
      </c>
      <c r="K57" s="3341" t="s">
        <v>1367</v>
      </c>
      <c r="L57" s="2316" t="s">
        <v>1368</v>
      </c>
      <c r="M57" s="2317"/>
      <c r="N57" s="2318">
        <f ca="1">SUMIF(M52:M56,"&lt;9e307")</f>
        <v>10934</v>
      </c>
      <c r="O57" s="2319"/>
      <c r="P57" s="2464">
        <f ca="1">N57/M49</f>
        <v>0.10144739283726109</v>
      </c>
    </row>
    <row r="58" spans="1:35" ht="25.2">
      <c r="A58" s="2152" t="s">
        <v>1352</v>
      </c>
      <c r="B58" s="3302" t="s">
        <v>1369</v>
      </c>
      <c r="C58" s="3276"/>
      <c r="D58" s="12">
        <f ca="1">IF(H58="转让取得",C81,C97)</f>
        <v>61004</v>
      </c>
      <c r="E58" s="1255" t="s">
        <v>1364</v>
      </c>
      <c r="F58" s="294" t="s">
        <v>28</v>
      </c>
      <c r="G58" s="2340"/>
      <c r="H58" s="2343" t="s">
        <v>3587</v>
      </c>
      <c r="I58" s="1669"/>
      <c r="J58" s="3341"/>
      <c r="K58" s="3341"/>
      <c r="L58" s="2316" t="s">
        <v>1370</v>
      </c>
      <c r="M58" s="2320"/>
      <c r="N58" s="2321" t="str">
        <f ca="1">NUMBERSTRING(INT(N57*10000),2)&amp;"元整"</f>
        <v>壹亿零玖佰叁拾肆万元整</v>
      </c>
      <c r="O58" s="2322"/>
    </row>
    <row r="59" spans="1:35" ht="24.6" thickBot="1">
      <c r="A59" s="3344" t="s">
        <v>1371</v>
      </c>
      <c r="B59" s="3345"/>
      <c r="C59" s="3345"/>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3588</v>
      </c>
      <c r="I59" s="2136" t="s">
        <v>2137</v>
      </c>
      <c r="J59" s="3342">
        <f>J57+1</f>
        <v>5</v>
      </c>
      <c r="K59" s="3341" t="s">
        <v>1372</v>
      </c>
      <c r="L59" s="2309" t="s">
        <v>1368</v>
      </c>
      <c r="M59" s="2323"/>
      <c r="N59" s="2324">
        <f ca="1">M49-N57</f>
        <v>96846</v>
      </c>
      <c r="O59" s="2325"/>
    </row>
    <row r="60" spans="1:35" ht="12" customHeight="1">
      <c r="A60" s="1670"/>
      <c r="B60" s="646"/>
      <c r="C60" s="646"/>
      <c r="D60" s="646"/>
      <c r="E60" s="1465"/>
      <c r="F60" s="1669"/>
      <c r="G60" s="1669"/>
      <c r="H60" s="151"/>
      <c r="I60" s="121"/>
      <c r="J60" s="3343"/>
      <c r="K60" s="3341"/>
      <c r="L60" s="2316" t="s">
        <v>1370</v>
      </c>
      <c r="M60" s="2320"/>
      <c r="N60" s="2321" t="str">
        <f ca="1">NUMBERSTRING(INT(N59*10000),2)&amp;"元整"</f>
        <v>玖亿陆仟捌佰肆拾陆万元整</v>
      </c>
      <c r="O60" s="2322"/>
    </row>
    <row r="61" spans="1:35" ht="13.8" thickBot="1">
      <c r="A61" s="3289" t="s">
        <v>1373</v>
      </c>
      <c r="B61" s="3289"/>
      <c r="C61" s="3289"/>
      <c r="D61" s="3289"/>
      <c r="E61" s="3289"/>
      <c r="F61" s="1669"/>
      <c r="G61" s="1669"/>
      <c r="H61" s="151"/>
      <c r="I61" s="121"/>
      <c r="J61" s="2309">
        <f>J59+1</f>
        <v>6</v>
      </c>
      <c r="K61" s="3341" t="s">
        <v>1374</v>
      </c>
      <c r="L61" s="3341"/>
      <c r="M61" s="2326"/>
      <c r="N61" s="2327">
        <f ca="1">ROUND(N59*10000/'数据-汇总表'!E3,0)</f>
        <v>24184</v>
      </c>
      <c r="O61" s="2328"/>
    </row>
    <row r="62" spans="1:35" ht="13.2">
      <c r="A62" s="3307" t="s">
        <v>1375</v>
      </c>
      <c r="B62" s="3308"/>
      <c r="C62" s="1864"/>
      <c r="D62" s="1864" t="s">
        <v>1376</v>
      </c>
      <c r="E62" s="158" t="s">
        <v>1377</v>
      </c>
      <c r="F62" s="1669"/>
      <c r="G62" s="1669"/>
      <c r="H62" s="151"/>
      <c r="I62" s="121"/>
    </row>
    <row r="63" spans="1:35" ht="13.2">
      <c r="A63" s="165" t="s">
        <v>330</v>
      </c>
      <c r="B63" s="159" t="s">
        <v>1378</v>
      </c>
      <c r="C63" s="2349">
        <f ca="1">ROUND((C64+C65)/(1+'数据-取费表'!C42),0)</f>
        <v>102648</v>
      </c>
      <c r="D63" s="159"/>
      <c r="E63" s="160"/>
      <c r="F63" s="1669"/>
      <c r="G63" s="1669"/>
      <c r="H63" s="151"/>
      <c r="I63" s="121"/>
      <c r="J63" s="3366" t="s">
        <v>1379</v>
      </c>
      <c r="K63" s="1244" t="s">
        <v>1380</v>
      </c>
      <c r="L63" s="1244">
        <f ca="1">IF(M49&gt;10000,M49*0.5%,IF(AND(M49&gt;1000,M49&lt;=10000),M49*1%,IF(AND(M49&gt;100,M49&lt;=1000),M49*3%,IF(AND(M49&gt;10,M49&lt;=100),M49*5%,M49*8%))))</f>
        <v>538.9</v>
      </c>
      <c r="M63" s="294">
        <f ca="1">ROUND(L63,1)</f>
        <v>538.9</v>
      </c>
      <c r="N63" s="2329"/>
      <c r="Z63" s="1622"/>
      <c r="AI63" s="1560"/>
    </row>
    <row r="64" spans="1:35" ht="14.25" customHeight="1">
      <c r="A64" s="161" t="s">
        <v>325</v>
      </c>
      <c r="B64" s="162" t="s">
        <v>1381</v>
      </c>
      <c r="C64" s="2350">
        <f ca="1">D45</f>
        <v>107780</v>
      </c>
      <c r="D64" s="162" t="s">
        <v>26</v>
      </c>
      <c r="E64" s="164"/>
      <c r="F64" s="1669"/>
      <c r="G64" s="1669"/>
      <c r="H64" s="151"/>
      <c r="I64" s="121"/>
      <c r="J64" s="3366"/>
      <c r="K64" s="1244" t="s">
        <v>1382</v>
      </c>
      <c r="L64" s="1244">
        <f ca="1">IF(M49&gt;2000,M49*0.5%,IF(AND(M49&gt;1000,M49&lt;=2000),M49*0.6%,IF(AND(M49&gt;500,M49&lt;=1000),M49*0.7%,IF(AND(M49&gt;200,M49&lt;=500),M49*0.8%,IF(AND(M49&gt;100,M49&lt;=200),M49*0.9%,IF(AND(M49&gt;50,M49&lt;=100),M49*1%,IF(AND(M49&gt;20,M49&lt;=50),M49*1.5%,IF(AND(M49&gt;10,M49&lt;=20),M49*2%,IF(AND(M49&gt;1,M49&lt;=10),M49*2.5%)))))))))</f>
        <v>538.9</v>
      </c>
      <c r="M64" s="294">
        <f t="shared" ref="M64:M65" ca="1" si="1">ROUND(L64,1)</f>
        <v>538.9</v>
      </c>
      <c r="N64" s="2330" t="s">
        <v>1383</v>
      </c>
      <c r="Z64" s="1622"/>
      <c r="AI64" s="1560"/>
    </row>
    <row r="65" spans="1:35" ht="14.25" customHeight="1">
      <c r="A65" s="161" t="s">
        <v>326</v>
      </c>
      <c r="B65" s="162" t="s">
        <v>1384</v>
      </c>
      <c r="C65" s="2351"/>
      <c r="D65" s="162"/>
      <c r="E65" s="164"/>
      <c r="F65" s="1669"/>
      <c r="G65" s="1669"/>
      <c r="H65" s="151"/>
      <c r="I65" s="121"/>
      <c r="J65" s="3366"/>
      <c r="K65" s="1244" t="s">
        <v>1385</v>
      </c>
      <c r="L65" s="1244">
        <f ca="1">IF(M49&gt;1000,M49*0.1%,IF(AND(M49&gt;500,M49&lt;=1000),M49*0.5%,IF(AND(M49&gt;50,M49&lt;=500),M49*1%,IF(AND(M49&gt;1,M49&lt;=50),M49*1.5%))))</f>
        <v>107.78</v>
      </c>
      <c r="M65" s="294">
        <f t="shared" ca="1" si="1"/>
        <v>107.8</v>
      </c>
      <c r="N65" s="2330" t="s">
        <v>1383</v>
      </c>
      <c r="Z65" s="1622"/>
      <c r="AI65" s="1560"/>
    </row>
    <row r="66" spans="1:35" ht="14.25" customHeight="1">
      <c r="A66" s="165" t="s">
        <v>327</v>
      </c>
      <c r="B66" s="166" t="s">
        <v>1386</v>
      </c>
      <c r="C66" s="2352"/>
      <c r="D66" s="166" t="s">
        <v>26</v>
      </c>
      <c r="E66" s="1250" t="s">
        <v>671</v>
      </c>
      <c r="F66" s="1669"/>
      <c r="G66" s="1669"/>
      <c r="H66" s="151"/>
      <c r="I66" s="121"/>
      <c r="J66" s="3366"/>
      <c r="K66" s="1244" t="s">
        <v>1387</v>
      </c>
      <c r="L66" s="1244">
        <f ca="1">M49*0.5%</f>
        <v>538.9</v>
      </c>
      <c r="M66" s="294">
        <f ca="1">IF(L66&gt;0.5,0.5,ROUND(L66,0))</f>
        <v>0.5</v>
      </c>
      <c r="N66" s="2330" t="s">
        <v>1388</v>
      </c>
      <c r="Z66" s="1622"/>
      <c r="AI66" s="1560"/>
    </row>
    <row r="67" spans="1:35" ht="14.25" customHeight="1">
      <c r="A67" s="165" t="s">
        <v>328</v>
      </c>
      <c r="B67" s="166" t="s">
        <v>1389</v>
      </c>
      <c r="C67" s="2353">
        <f ca="1">C63-C66</f>
        <v>102648</v>
      </c>
      <c r="D67" s="162" t="s">
        <v>26</v>
      </c>
      <c r="E67" s="164"/>
      <c r="F67" s="1669"/>
      <c r="G67" s="1669"/>
      <c r="H67" s="151"/>
      <c r="I67" s="121"/>
      <c r="J67" s="3366"/>
      <c r="K67" s="1244" t="s">
        <v>1390</v>
      </c>
      <c r="L67" s="1244">
        <f ca="1">IF(M49&gt;=10000,(8.25+(M49-10000)*0.01%),IF(AND(M49&gt;=8000,M49&lt;10000),(7.85+(M49-8000)*0.02%),IF(AND(M49&gt;=5000,M49&lt;8000),(6.65+(M49-5000)*0.04%),IF(AND(M49&gt;=2000,M49&lt;5000),(4.25+(PM49-2000)*0.08%),IF(AND(M49&gt;=1000,M49&lt;2000),(2.75+(M49-1000)*0.15%),IF(AND(M49&gt;=100,M49&lt;1000),(0.5+(M49-100)*0.25%),IF(AND(M49&gt;0,M49&lt;100),M49*0.5%)))))))</f>
        <v>18.027999999999999</v>
      </c>
      <c r="M67" s="294">
        <f ca="1">ROUND(L67*0.9,1)</f>
        <v>16.2</v>
      </c>
      <c r="N67" s="2329"/>
      <c r="Z67" s="1622"/>
      <c r="AI67" s="1560"/>
    </row>
    <row r="68" spans="1:35" ht="14.25" customHeight="1" thickBot="1">
      <c r="A68" s="168" t="s">
        <v>329</v>
      </c>
      <c r="B68" s="169" t="s">
        <v>1391</v>
      </c>
      <c r="C68" s="2354">
        <f ca="1">IF(C67&lt;=0,0,ROUND(C67*D68,0))</f>
        <v>5748</v>
      </c>
      <c r="D68" s="2355">
        <f>'数据-取费表'!B41</f>
        <v>5.6000000000000001E-2</v>
      </c>
      <c r="E68" s="170"/>
      <c r="F68" s="1669"/>
      <c r="G68" s="1669"/>
      <c r="H68" s="151"/>
      <c r="I68" s="121"/>
      <c r="J68" s="3366"/>
      <c r="K68" s="1244" t="s">
        <v>1392</v>
      </c>
      <c r="L68" s="1244">
        <f ca="1">IF(M49&gt;10000,M49*0.5%,IF(AND(M49&gt;5000,M49&lt;=10000),M49*1%,IF(AND(M49&gt;1000,M49&lt;=5000),M49*2%,IF(AND(M49&gt;200,M49&lt;=1000),M49*3%,M49*5%))))</f>
        <v>538.9</v>
      </c>
      <c r="M68" s="294">
        <f ca="1">ROUND(L68,1)</f>
        <v>538.9</v>
      </c>
      <c r="N68" s="2329"/>
      <c r="Z68" s="1622"/>
      <c r="AI68" s="1560"/>
    </row>
    <row r="69" spans="1:35" ht="16.5" customHeight="1">
      <c r="A69" s="1671"/>
      <c r="B69" s="1672"/>
      <c r="C69" s="1673"/>
      <c r="D69" s="1674"/>
      <c r="E69" s="1675"/>
      <c r="F69" s="1465"/>
      <c r="G69" s="1465"/>
      <c r="H69" s="1466"/>
      <c r="I69" s="646"/>
      <c r="J69" s="3366"/>
      <c r="K69" s="1244" t="s">
        <v>1393</v>
      </c>
      <c r="L69" s="1244"/>
      <c r="M69" s="294">
        <f ca="1">ROUND(SUM(M63:M68),0)</f>
        <v>1741</v>
      </c>
      <c r="N69" s="2331">
        <f ca="1">M69/M49</f>
        <v>1.6153275190202265E-2</v>
      </c>
      <c r="Z69" s="1622"/>
      <c r="AI69" s="1560"/>
    </row>
    <row r="70" spans="1:35" s="642" customFormat="1" ht="14.4" thickBot="1">
      <c r="A70" s="3328" t="s">
        <v>1394</v>
      </c>
      <c r="B70" s="3329"/>
      <c r="C70" s="3329"/>
      <c r="D70" s="3329"/>
      <c r="E70" s="3329"/>
      <c r="F70" s="3329"/>
      <c r="G70" s="3329"/>
      <c r="H70" s="3329"/>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07" t="s">
        <v>1375</v>
      </c>
      <c r="B71" s="3308"/>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3">
        <f ca="1">ROUND(D45/(1+'数据-取费表'!C42),0)</f>
        <v>102648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3">
        <f ca="1">C74+C78</f>
        <v>616</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02" t="s">
        <v>1402</v>
      </c>
      <c r="F76" s="3276"/>
      <c r="G76" s="3276"/>
      <c r="H76" s="3327"/>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616</v>
      </c>
      <c r="D78" s="2362">
        <f>'数据-取费表'!B43</f>
        <v>6.000000000000001E-3</v>
      </c>
      <c r="E78" s="3286" t="s">
        <v>1406</v>
      </c>
      <c r="F78" s="3287"/>
      <c r="G78" s="3287"/>
      <c r="H78" s="3296"/>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3">
        <f ca="1">C72-C73</f>
        <v>102032</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165.63636363636363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4">
        <f ca="1">ROUND(IF(C79&lt;=0,0,IF(C80&gt;=200%,C79*60%-C73*35%,IF(C80&gt;=100%,C79*50%-C73*15%,IF(C80&gt;=50%,C79*40%-C73*5%,IF(C80&lt;50%,C79*30%,0))))),0)</f>
        <v>61004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28" t="s">
        <v>1410</v>
      </c>
      <c r="B83" s="3329"/>
      <c r="C83" s="3329"/>
      <c r="D83" s="3329"/>
      <c r="E83" s="3329"/>
      <c r="F83" s="3329"/>
      <c r="G83" s="3329"/>
      <c r="H83" s="3329"/>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07" t="s">
        <v>1375</v>
      </c>
      <c r="B84" s="3308"/>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3">
        <f ca="1">ROUND(D45/(1+'数据-取费表'!C42),0)</f>
        <v>102648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3">
        <f ca="1">IF(H88="仅含出让金",C87+C90+C91+C92+C93+C94,C87+C91+C92+C93+C94)</f>
        <v>616</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7"/>
      <c r="D88" s="2362"/>
      <c r="E88" s="185" t="s">
        <v>1413</v>
      </c>
      <c r="F88" s="2147"/>
      <c r="G88" s="186" t="s">
        <v>1414</v>
      </c>
      <c r="H88" s="1683"/>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7"/>
      <c r="D90" s="2362"/>
      <c r="E90" s="185" t="str">
        <f>IF(H88="-","土地取得成本中已包含该笔费用"," ")</f>
        <v xml:space="preserve"> </v>
      </c>
      <c r="F90" s="2147"/>
      <c r="G90" s="3368" t="s">
        <v>2129</v>
      </c>
      <c r="H90" s="3369"/>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86" t="s">
        <v>1419</v>
      </c>
      <c r="F91" s="3287"/>
      <c r="G91" s="3287"/>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86" t="s">
        <v>1422</v>
      </c>
      <c r="F92" s="3287"/>
      <c r="G92" s="3287"/>
      <c r="H92" s="3296"/>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616</v>
      </c>
      <c r="D93" s="2362">
        <f>'数据-取费表'!B43</f>
        <v>6.000000000000001E-3</v>
      </c>
      <c r="E93" s="3286" t="s">
        <v>1406</v>
      </c>
      <c r="F93" s="3287"/>
      <c r="G93" s="3287"/>
      <c r="H93" s="3296"/>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97" t="s">
        <v>1426</v>
      </c>
      <c r="F94" s="3298"/>
      <c r="G94" s="3298"/>
      <c r="H94" s="329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3">
        <f ca="1">ROUND(C85-C86,0)</f>
        <v>102032</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165.63636363636363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4">
        <f ca="1">ROUND(IF(C95&lt;=0,0,IF(C96&gt;=200%,C95*60%-C86*35%,IF(C96&gt;=100%,C95*50%-C86*15%,IF(C96&gt;=50%,C95*40%-C86*5%,IF(C96&lt;50%,C95*30%,0))))),0)</f>
        <v>61004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70" t="s">
        <v>1428</v>
      </c>
      <c r="B100" s="3271"/>
      <c r="C100" s="3271"/>
      <c r="D100" s="3288"/>
      <c r="E100" s="3271" t="s">
        <v>1429</v>
      </c>
      <c r="F100" s="3271"/>
      <c r="G100" s="3271"/>
      <c r="H100" s="3288"/>
      <c r="I100" s="121"/>
    </row>
    <row r="101" spans="1:35" ht="18.75" customHeight="1">
      <c r="A101" s="3349" t="s">
        <v>1430</v>
      </c>
      <c r="B101" s="3350"/>
      <c r="C101" s="2370" t="str">
        <f>C4</f>
        <v>成本法</v>
      </c>
      <c r="D101" s="2371" t="str">
        <f>D4</f>
        <v>收益法（汇总）</v>
      </c>
      <c r="E101" s="3363" t="s">
        <v>1431</v>
      </c>
      <c r="F101" s="3320"/>
      <c r="G101" s="1686" t="s">
        <v>1432</v>
      </c>
      <c r="H101" s="2380">
        <f ca="1">H118</f>
        <v>107780</v>
      </c>
      <c r="I101" s="121"/>
    </row>
    <row r="102" spans="1:35" ht="18.75" customHeight="1">
      <c r="A102" s="3322" t="s">
        <v>1433</v>
      </c>
      <c r="B102" s="2369" t="s">
        <v>1432</v>
      </c>
      <c r="C102" s="2370">
        <f ca="1">IF(D32="楼面单价",ROUND(C19,0),C19)</f>
        <v>115524</v>
      </c>
      <c r="D102" s="2371">
        <f ca="1">IF(D32="楼面单价",ROUND(D19,0),D19)</f>
        <v>100036</v>
      </c>
      <c r="E102" s="3363"/>
      <c r="F102" s="3320"/>
      <c r="G102" s="1686" t="s">
        <v>1434</v>
      </c>
      <c r="H102" s="2340">
        <f ca="1">I118</f>
        <v>26915</v>
      </c>
      <c r="I102" s="121"/>
    </row>
    <row r="103" spans="1:35" ht="42.75" customHeight="1">
      <c r="A103" s="3322"/>
      <c r="B103" s="2369" t="s">
        <v>1434</v>
      </c>
      <c r="C103" s="2372">
        <f ca="1">C20</f>
        <v>28848</v>
      </c>
      <c r="D103" s="2373">
        <f ca="1">D20</f>
        <v>24981</v>
      </c>
      <c r="E103" s="3357" t="s">
        <v>1435</v>
      </c>
      <c r="F103" s="3358"/>
      <c r="G103" s="1687" t="s">
        <v>1436</v>
      </c>
      <c r="H103" s="2380">
        <f>IF(D36="正常操作",H104+H105+H106,H105+H106)</f>
        <v>0</v>
      </c>
      <c r="I103" s="121"/>
    </row>
    <row r="104" spans="1:35" ht="18.75" customHeight="1">
      <c r="A104" s="3322" t="s">
        <v>1437</v>
      </c>
      <c r="B104" s="2374" t="s">
        <v>1432</v>
      </c>
      <c r="C104" s="2375">
        <f ca="1">H118</f>
        <v>107780</v>
      </c>
      <c r="D104" s="2376"/>
      <c r="E104" s="1554" t="s">
        <v>1438</v>
      </c>
      <c r="F104" s="1547"/>
      <c r="G104" s="1687" t="s">
        <v>1436</v>
      </c>
      <c r="H104" s="2381">
        <f>IF(D36="同一抵押权人同一抵押物续贷",C36&amp;"（续贷，未扣减，详见特别提示）",C36)</f>
        <v>0</v>
      </c>
      <c r="I104" s="121"/>
    </row>
    <row r="105" spans="1:35" ht="18.75" customHeight="1" thickBot="1">
      <c r="A105" s="3323"/>
      <c r="B105" s="2377" t="s">
        <v>1434</v>
      </c>
      <c r="C105" s="2378">
        <f ca="1">I118</f>
        <v>26915</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19" t="str">
        <f>IF(项目基本情况!E8="已注销","——","3.房地产抵押价值")</f>
        <v>3.房地产抵押价值</v>
      </c>
      <c r="F107" s="3320"/>
      <c r="G107" s="1686" t="s">
        <v>1432</v>
      </c>
      <c r="H107" s="2380">
        <f ca="1">IF(E107="——","——",H101-H103)</f>
        <v>107780</v>
      </c>
      <c r="I107" s="121"/>
    </row>
    <row r="108" spans="1:35" ht="18.75" customHeight="1">
      <c r="A108" s="121"/>
      <c r="B108" s="121"/>
      <c r="C108" s="121"/>
      <c r="D108" s="121"/>
      <c r="E108" s="3319"/>
      <c r="F108" s="3320"/>
      <c r="G108" s="1686" t="s">
        <v>1434</v>
      </c>
      <c r="H108" s="2340">
        <f ca="1">IF(H107=H101,H102,ROUND(H107*10000/'数据-汇总表'!E3,0))</f>
        <v>26915</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320"/>
      <c r="G109" s="1686" t="s">
        <v>1432</v>
      </c>
      <c r="H109" s="2383" t="str">
        <f>IF(E109="——","——",H101-H105-H106)</f>
        <v>——</v>
      </c>
      <c r="I109" s="121"/>
    </row>
    <row r="110" spans="1:35" ht="18.75" customHeight="1">
      <c r="A110" s="121"/>
      <c r="B110" s="121"/>
      <c r="C110" s="121"/>
      <c r="D110" s="121"/>
      <c r="E110" s="3319"/>
      <c r="F110" s="3320"/>
      <c r="G110" s="1686" t="s">
        <v>1434</v>
      </c>
      <c r="H110" s="2340" t="str">
        <f>IF(H109="——","——",ROUND(H109*10000/'数据-汇总表'!E3,0))</f>
        <v>——</v>
      </c>
      <c r="I110" s="121"/>
    </row>
    <row r="111" spans="1:35" ht="18.75" customHeight="1">
      <c r="A111" s="121"/>
      <c r="B111" s="121"/>
      <c r="C111" s="121"/>
      <c r="D111" s="121"/>
      <c r="E111" s="3351" t="str">
        <f>IF(项目基本情况!E9="抵押净值",IF(OR(项目基本情况!E8="已注销",项目基本情况!E8="房地产抵押价值"),"4.抵押净值","5.抵押净值"),"——")</f>
        <v>4.抵押净值</v>
      </c>
      <c r="F111" s="3321"/>
      <c r="G111" s="1686" t="s">
        <v>1432</v>
      </c>
      <c r="H111" s="2380">
        <f ca="1">IF(E111="——","——",N59)</f>
        <v>96846</v>
      </c>
      <c r="I111" s="121"/>
    </row>
    <row r="112" spans="1:35" ht="18.75" customHeight="1" thickBot="1">
      <c r="A112" s="121"/>
      <c r="B112" s="121"/>
      <c r="C112" s="121"/>
      <c r="D112" s="121"/>
      <c r="E112" s="3352"/>
      <c r="F112" s="3353"/>
      <c r="G112" s="1689" t="s">
        <v>1434</v>
      </c>
      <c r="H112" s="2384">
        <f ca="1">IF(E111="——","——",N61)</f>
        <v>24184</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0"/>
      <c r="F114" s="1670"/>
      <c r="G114" s="1670"/>
      <c r="H114" s="1670"/>
      <c r="I114" s="646"/>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40045.229999999996</v>
      </c>
      <c r="C118" s="2149">
        <f>M19</f>
        <v>8274.56</v>
      </c>
      <c r="D118" s="2149">
        <f ca="1">ROUND(IF(D32="总价",C34,E118*B118/10000),0)</f>
        <v>84392</v>
      </c>
      <c r="E118" s="2149">
        <f ca="1">ROUND(IF(C33="自定义",IF(D32="楼面单价",C34,D118*10000/B118),I118-G118),0)</f>
        <v>21075</v>
      </c>
      <c r="F118" s="2149">
        <f ca="1">ROUND(IF(D32="总价",C35,G118*B118/10000),0)</f>
        <v>23388</v>
      </c>
      <c r="G118" s="2149">
        <f ca="1">ROUND(IF(D32="楼面单价",C35,F118*10000/B118),0)</f>
        <v>5840</v>
      </c>
      <c r="H118" s="2149">
        <f ca="1">ROUND(IF(D32="总价",C32,I118*B118/10000),0)</f>
        <v>107780</v>
      </c>
      <c r="I118" s="2149">
        <f ca="1">ROUND(IF(D32="楼面单价",C32,H118*10000/B118),0)</f>
        <v>26915</v>
      </c>
    </row>
    <row r="119" spans="1:27" ht="18.75" customHeight="1">
      <c r="A119" s="3290" t="s">
        <v>1452</v>
      </c>
      <c r="B119" s="3290"/>
      <c r="C119" s="3290"/>
      <c r="D119" s="3330" t="str">
        <f ca="1">NUMBERSTRING(INT(D118*10000),2)&amp;"元整"</f>
        <v>捌亿肆仟叁佰玖拾贰万元整</v>
      </c>
      <c r="E119" s="3332"/>
      <c r="F119" s="3330" t="str">
        <f ca="1">NUMBERSTRING(INT(F118*10000),2)&amp;"元整"</f>
        <v>贰亿叁仟叁佰捌拾捌万元整</v>
      </c>
      <c r="G119" s="3332"/>
      <c r="H119" s="3330" t="str">
        <f ca="1">NUMBERSTRING(INT(H118*10000),2)&amp;"元整"</f>
        <v>壹拾亿柒仟柒佰捌拾万元整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30" t="s">
        <v>1452</v>
      </c>
      <c r="B121" s="3331"/>
      <c r="C121" s="3332"/>
      <c r="D121" s="3330" t="str">
        <f>IF(D120=0,"零元整",NUMBERSTRING(INT(D120*10000),2)&amp;"元整")</f>
        <v>零元整</v>
      </c>
      <c r="E121" s="3331"/>
      <c r="F121" s="3331"/>
      <c r="G121" s="3331"/>
      <c r="H121" s="3331"/>
      <c r="I121" s="3332"/>
      <c r="AA121" s="684"/>
    </row>
    <row r="122" spans="1:27" ht="18.75" customHeight="1">
      <c r="A122" s="3321" t="str">
        <f>IF(项目基本情况!B9="房地产市场价值","",MID(E107,3,LEN(E107)-2))</f>
        <v>房地产抵押价值</v>
      </c>
      <c r="B122" s="3321"/>
      <c r="C122" s="3321"/>
      <c r="D122" s="3354">
        <f ca="1">H107</f>
        <v>107780</v>
      </c>
      <c r="E122" s="3355"/>
      <c r="F122" s="3355"/>
      <c r="G122" s="3355"/>
      <c r="H122" s="3355"/>
      <c r="I122" s="3356"/>
      <c r="AA122" s="684"/>
    </row>
    <row r="123" spans="1:27" ht="18.75" customHeight="1">
      <c r="A123" s="3290" t="s">
        <v>1452</v>
      </c>
      <c r="B123" s="3290"/>
      <c r="C123" s="3290"/>
      <c r="D123" s="3330" t="str">
        <f ca="1">NUMBERSTRING(INT(D122*10000),2)&amp;"元整"</f>
        <v>壹拾亿柒仟柒佰捌拾万元整</v>
      </c>
      <c r="E123" s="3331"/>
      <c r="F123" s="3331"/>
      <c r="G123" s="3331"/>
      <c r="H123" s="3331"/>
      <c r="I123" s="3332"/>
      <c r="AA123" s="684"/>
    </row>
    <row r="124" spans="1:27" ht="18.75" customHeight="1">
      <c r="A124" s="3321" t="str">
        <f>IF(项目基本情况!B9="房地产市场价值","",MID(E109,3,LEN(E109)-2))</f>
        <v/>
      </c>
      <c r="B124" s="3321"/>
      <c r="C124" s="3321"/>
      <c r="D124" s="3354" t="str">
        <f>H109</f>
        <v>——</v>
      </c>
      <c r="E124" s="3355"/>
      <c r="F124" s="3355"/>
      <c r="G124" s="3355"/>
      <c r="H124" s="3355"/>
      <c r="I124" s="3356"/>
      <c r="AA124" s="684"/>
    </row>
    <row r="125" spans="1:27" ht="18.75" customHeight="1">
      <c r="A125" s="3290" t="s">
        <v>1452</v>
      </c>
      <c r="B125" s="3290"/>
      <c r="C125" s="3290"/>
      <c r="D125" s="3330" t="e">
        <f>NUMBERSTRING(INT(D124*10000),2)&amp;"元整"</f>
        <v>#VALUE!</v>
      </c>
      <c r="E125" s="3331"/>
      <c r="F125" s="3331"/>
      <c r="G125" s="3331"/>
      <c r="H125" s="3331"/>
      <c r="I125" s="3332"/>
      <c r="AA125" s="684"/>
    </row>
    <row r="126" spans="1:27" ht="18.75" customHeight="1">
      <c r="A126" s="3321" t="str">
        <f>IF(项目基本情况!B9="房地产市场价值","",MID(E111,3,LEN(E111)-2))</f>
        <v>抵押净值</v>
      </c>
      <c r="B126" s="3321"/>
      <c r="C126" s="3321"/>
      <c r="D126" s="3354">
        <f ca="1">H111</f>
        <v>96846</v>
      </c>
      <c r="E126" s="3355"/>
      <c r="F126" s="3355"/>
      <c r="G126" s="3355"/>
      <c r="H126" s="3355"/>
      <c r="I126" s="3356"/>
      <c r="AA126" s="684"/>
    </row>
    <row r="127" spans="1:27" ht="18.75" customHeight="1">
      <c r="A127" s="3290" t="s">
        <v>1452</v>
      </c>
      <c r="B127" s="3290"/>
      <c r="C127" s="3290"/>
      <c r="D127" s="3330" t="str">
        <f ca="1">NUMBERSTRING(INT(D126*10000),2)&amp;"元整"</f>
        <v>玖亿陆仟捌佰肆拾陆万元整</v>
      </c>
      <c r="E127" s="3331"/>
      <c r="F127" s="3331"/>
      <c r="G127" s="3331"/>
      <c r="H127" s="3331"/>
      <c r="I127" s="3332"/>
      <c r="AA127" s="684"/>
    </row>
    <row r="128" spans="1:27" ht="21.75" customHeight="1">
      <c r="A128" s="3337" t="s">
        <v>1453</v>
      </c>
      <c r="B128" s="3337"/>
      <c r="C128" s="3337"/>
      <c r="D128" s="3337"/>
      <c r="E128" s="3337"/>
      <c r="F128" s="3337"/>
      <c r="G128" s="3337"/>
      <c r="H128" s="3337"/>
      <c r="I128" s="3337"/>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北京市房地产抵押价值预评估</v>
      </c>
      <c r="C37" s="3181"/>
      <c r="D37" s="3181"/>
      <c r="E37" s="3181"/>
      <c r="F37" s="3181"/>
      <c r="G37" s="3181"/>
      <c r="H37" s="3181"/>
      <c r="I37" s="3181"/>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 ca="1">项目基本情况!K4</f>
        <v>郑燚（注册号：1120070131)、崔锴（注册号：1120100036)</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19" zoomScale="60" zoomScaleNormal="60" workbookViewId="0">
      <selection activeCell="I47" sqref="I47"/>
    </sheetView>
  </sheetViews>
  <sheetFormatPr defaultColWidth="9" defaultRowHeight="13.8"/>
  <cols>
    <col min="1" max="1" width="14.33203125" style="347" customWidth="1"/>
    <col min="2" max="3" width="15.77734375" style="347" customWidth="1"/>
    <col min="4" max="4" width="14.109375" style="347" customWidth="1"/>
    <col min="5" max="5" width="18.44140625" style="347" customWidth="1"/>
    <col min="6" max="6" width="12.21875" style="347" customWidth="1"/>
    <col min="7" max="7" width="15.88671875" style="347" customWidth="1"/>
    <col min="8" max="8" width="12.21875" style="347" customWidth="1"/>
    <col min="9" max="9" width="15.8867187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63969</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15974</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74" t="s">
        <v>1770</v>
      </c>
      <c r="D4" s="3386"/>
      <c r="E4" s="3387" t="s">
        <v>1771</v>
      </c>
      <c r="F4" s="3388"/>
      <c r="G4" s="3374" t="s">
        <v>1772</v>
      </c>
      <c r="H4" s="3386"/>
      <c r="I4" s="3374" t="s">
        <v>1773</v>
      </c>
      <c r="J4" s="3386"/>
      <c r="K4" s="537" t="s">
        <v>1774</v>
      </c>
      <c r="L4" s="2486"/>
      <c r="M4" s="2487"/>
      <c r="N4" s="2487"/>
      <c r="O4" s="2487"/>
      <c r="P4" s="3389" t="s">
        <v>1775</v>
      </c>
      <c r="Q4" s="3390"/>
      <c r="R4" s="3395" t="s">
        <v>1771</v>
      </c>
      <c r="S4" s="3396"/>
      <c r="T4" s="3395" t="s">
        <v>1772</v>
      </c>
      <c r="U4" s="3396"/>
      <c r="V4" s="3382" t="s">
        <v>1773</v>
      </c>
      <c r="W4" s="3382"/>
      <c r="X4" s="1264"/>
      <c r="Y4" s="3395" t="s">
        <v>1775</v>
      </c>
      <c r="Z4" s="3396"/>
      <c r="AA4" s="3383" t="s">
        <v>1771</v>
      </c>
      <c r="AB4" s="3384" t="s">
        <v>1772</v>
      </c>
      <c r="AC4" s="3383" t="s">
        <v>1773</v>
      </c>
    </row>
    <row r="5" spans="1:29" ht="63" customHeight="1">
      <c r="A5" s="348"/>
      <c r="B5" s="349"/>
      <c r="C5" s="3403" t="s">
        <v>1673</v>
      </c>
      <c r="D5" s="3404"/>
      <c r="E5" s="3410" t="str">
        <f>土地案例!A2</f>
        <v>北京丽泽金融商务区北区A地块建设及综合治理项目FT00-0609-0037(2)地块B4综合性商业金融服务业用地</v>
      </c>
      <c r="F5" s="3411"/>
      <c r="G5" s="3403" t="str">
        <f>土地案例!A3</f>
        <v>北京市丰台区丽泽金融商务区FT00-0612-0016等地块F3其他类多功能用地、S32公交场站设施用地</v>
      </c>
      <c r="H5" s="3404"/>
      <c r="I5" s="3403" t="str">
        <f>土地案例!A4</f>
        <v>北京市丰台区丽泽金融商务区D-01地块B4综合性商业金融服务业用地</v>
      </c>
      <c r="J5" s="3404"/>
      <c r="K5" s="537"/>
      <c r="L5" s="2486"/>
      <c r="M5" s="2487"/>
      <c r="N5" s="2487"/>
      <c r="O5" s="2487"/>
      <c r="P5" s="3391"/>
      <c r="Q5" s="3392"/>
      <c r="R5" s="3397"/>
      <c r="S5" s="3398"/>
      <c r="T5" s="3397"/>
      <c r="U5" s="3398"/>
      <c r="V5" s="3382"/>
      <c r="W5" s="3382"/>
      <c r="X5" s="1264"/>
      <c r="Y5" s="3397"/>
      <c r="Z5" s="3398"/>
      <c r="AA5" s="3384"/>
      <c r="AB5" s="3384"/>
      <c r="AC5" s="3384"/>
    </row>
    <row r="6" spans="1:29" ht="15" thickBot="1">
      <c r="A6" s="350"/>
      <c r="B6" s="351"/>
      <c r="C6" s="3401" t="s">
        <v>1677</v>
      </c>
      <c r="D6" s="3402"/>
      <c r="E6" s="3408" t="s">
        <v>1677</v>
      </c>
      <c r="F6" s="3409"/>
      <c r="G6" s="3401" t="s">
        <v>1677</v>
      </c>
      <c r="H6" s="3402"/>
      <c r="I6" s="3401" t="s">
        <v>1677</v>
      </c>
      <c r="J6" s="3402"/>
      <c r="K6" s="537" t="s">
        <v>1678</v>
      </c>
      <c r="L6" s="2486"/>
      <c r="M6" s="2487"/>
      <c r="N6" s="2487"/>
      <c r="O6" s="2487"/>
      <c r="P6" s="3393"/>
      <c r="Q6" s="3394"/>
      <c r="R6" s="3397"/>
      <c r="S6" s="3398"/>
      <c r="T6" s="3399"/>
      <c r="U6" s="3400"/>
      <c r="V6" s="3382"/>
      <c r="W6" s="3382"/>
      <c r="X6" s="1264"/>
      <c r="Y6" s="3399"/>
      <c r="Z6" s="3400"/>
      <c r="AA6" s="3385"/>
      <c r="AB6" s="3385"/>
      <c r="AC6" s="3385"/>
    </row>
    <row r="7" spans="1:29" s="102" customFormat="1" ht="15" thickBot="1">
      <c r="A7" s="352" t="s">
        <v>1679</v>
      </c>
      <c r="B7" s="353"/>
      <c r="C7" s="354">
        <f>'数据-取费表'!B2</f>
        <v>45526</v>
      </c>
      <c r="D7" s="355">
        <v>100</v>
      </c>
      <c r="E7" s="356">
        <f>土地案例!AG2</f>
        <v>45288.000497685185</v>
      </c>
      <c r="F7" s="357">
        <f>SUMIF(69:69,YEAR(E7)&amp;"-"&amp;INT((MONTH(E7)+2)/3),70:70)</f>
        <v>99.399999999999991</v>
      </c>
      <c r="G7" s="1821">
        <f>土地案例!AG3</f>
        <v>45090.000497685185</v>
      </c>
      <c r="H7" s="355">
        <f>SUMIF(69:69,YEAR(G7)&amp;"-"&amp;INT((MONTH(G7)+2)/3),70:70)</f>
        <v>98.999999999999986</v>
      </c>
      <c r="I7" s="1821">
        <f>土地案例!AG4</f>
        <v>44798.000497685185</v>
      </c>
      <c r="J7" s="355">
        <f>SUMIF(69:69,YEAR(I7)&amp;"-"&amp;INT((MONTH(I7)+2)/3),70:70)</f>
        <v>98.399999999999977</v>
      </c>
      <c r="K7" s="38"/>
      <c r="L7" s="2488"/>
      <c r="M7" s="2439"/>
      <c r="N7" s="2439"/>
      <c r="O7" s="2439"/>
      <c r="P7" s="3405" t="s">
        <v>1680</v>
      </c>
      <c r="Q7" s="3407"/>
      <c r="R7" s="664" t="s">
        <v>14</v>
      </c>
      <c r="S7" s="665">
        <f t="shared" ref="S7:S15" si="0">F7</f>
        <v>99.399999999999991</v>
      </c>
      <c r="T7" s="664" t="s">
        <v>14</v>
      </c>
      <c r="U7" s="665">
        <f t="shared" ref="U7:U15" si="1">H7</f>
        <v>98.999999999999986</v>
      </c>
      <c r="V7" s="664" t="s">
        <v>14</v>
      </c>
      <c r="W7" s="665">
        <f t="shared" ref="W7:W15" si="2">J7</f>
        <v>98.399999999999977</v>
      </c>
      <c r="X7" s="666"/>
      <c r="Y7" s="3405" t="s">
        <v>1680</v>
      </c>
      <c r="Z7" s="3406"/>
      <c r="AA7" s="50">
        <f>D7/F7</f>
        <v>1.0060362173038231</v>
      </c>
      <c r="AB7" s="50">
        <f>D7/H7</f>
        <v>1.0101010101010102</v>
      </c>
      <c r="AC7" s="50">
        <f>D7/J7</f>
        <v>1.0162601626016263</v>
      </c>
    </row>
    <row r="8" spans="1:29" s="102" customFormat="1" ht="15" thickBot="1">
      <c r="A8" s="352" t="s">
        <v>1681</v>
      </c>
      <c r="B8" s="353"/>
      <c r="C8" s="358" t="s">
        <v>1682</v>
      </c>
      <c r="D8" s="355">
        <v>100</v>
      </c>
      <c r="E8" s="358" t="s">
        <v>3569</v>
      </c>
      <c r="F8" s="357">
        <f>SUMIF(72:72,E8,73:73)-SUMIF(72:72,C8,73:73)+100</f>
        <v>100</v>
      </c>
      <c r="G8" s="358" t="s">
        <v>3569</v>
      </c>
      <c r="H8" s="355">
        <f>SUMIF(72:72,G8,73:73)-SUMIF(72:72,C8,73:73)+100</f>
        <v>100</v>
      </c>
      <c r="I8" s="358" t="s">
        <v>3569</v>
      </c>
      <c r="J8" s="355">
        <f>SUMIF(72:72,I8,73:73)-SUMIF(72:72,C8,73:73)+100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45" si="3">D8/F8</f>
        <v>1</v>
      </c>
      <c r="AB8" s="50">
        <f t="shared" ref="AB8:AB45" si="4">D8/H8</f>
        <v>1</v>
      </c>
      <c r="AC8" s="50">
        <f t="shared" ref="AC8:AC45" si="5">D8/J8</f>
        <v>1</v>
      </c>
    </row>
    <row r="9" spans="1:29" s="102" customFormat="1" ht="14.4">
      <c r="A9" s="359" t="s">
        <v>1684</v>
      </c>
      <c r="B9" s="60" t="s">
        <v>1685</v>
      </c>
      <c r="C9" s="1824" t="s">
        <v>3589</v>
      </c>
      <c r="D9" s="59">
        <v>100</v>
      </c>
      <c r="E9" s="1824" t="s">
        <v>3589</v>
      </c>
      <c r="F9" s="59">
        <f>SUMIF(74:74,E9,75:75)-SUMIF(74:74,C9,75:75)+100</f>
        <v>100</v>
      </c>
      <c r="G9" s="1824" t="s">
        <v>3590</v>
      </c>
      <c r="H9" s="59">
        <f>SUMIF(74:74,G9,75:75)-SUMIF(74:74,C9,75:75)+100</f>
        <v>95</v>
      </c>
      <c r="I9" s="1824" t="s">
        <v>3589</v>
      </c>
      <c r="J9" s="59">
        <f>SUMIF(74:74,I9,75:75)-SUMIF(74:74,C9,75:75)+100</f>
        <v>100</v>
      </c>
      <c r="K9" s="38"/>
      <c r="L9" s="2488"/>
      <c r="M9" s="2439"/>
      <c r="N9" s="2439"/>
      <c r="O9" s="2540"/>
      <c r="P9" s="3377" t="s">
        <v>1686</v>
      </c>
      <c r="Q9" s="530" t="str">
        <f t="shared" ref="Q9:Q15" si="6">B9</f>
        <v>用途</v>
      </c>
      <c r="R9" s="664" t="s">
        <v>14</v>
      </c>
      <c r="S9" s="665">
        <f t="shared" si="0"/>
        <v>100</v>
      </c>
      <c r="T9" s="664" t="s">
        <v>14</v>
      </c>
      <c r="U9" s="665">
        <f t="shared" si="1"/>
        <v>95</v>
      </c>
      <c r="V9" s="664" t="s">
        <v>14</v>
      </c>
      <c r="W9" s="665">
        <f t="shared" si="2"/>
        <v>100</v>
      </c>
      <c r="X9" s="666"/>
      <c r="Y9" s="3277" t="s">
        <v>1687</v>
      </c>
      <c r="Z9" s="50" t="str">
        <f t="shared" ref="Z9:Z15" si="7">Q9</f>
        <v>用途</v>
      </c>
      <c r="AA9" s="50">
        <f t="shared" si="3"/>
        <v>1</v>
      </c>
      <c r="AB9" s="50">
        <f t="shared" si="4"/>
        <v>1.0526315789473684</v>
      </c>
      <c r="AC9" s="50">
        <f t="shared" si="5"/>
        <v>1</v>
      </c>
    </row>
    <row r="10" spans="1:29" s="366" customFormat="1" ht="28.8">
      <c r="A10" s="363"/>
      <c r="B10" s="364" t="s">
        <v>1688</v>
      </c>
      <c r="C10" s="371"/>
      <c r="D10" s="119">
        <v>100</v>
      </c>
      <c r="E10" s="403"/>
      <c r="F10" s="119">
        <f>ROUND(100/'数据-取费表'!G16,0)</f>
        <v>134</v>
      </c>
      <c r="G10" s="402"/>
      <c r="H10" s="119">
        <f>ROUND(100/'数据-取费表'!G16,0)</f>
        <v>134</v>
      </c>
      <c r="I10" s="402"/>
      <c r="J10" s="119">
        <f>ROUND(100/'数据-取费表'!G16,0)</f>
        <v>134</v>
      </c>
      <c r="K10" s="592"/>
      <c r="L10" s="2489"/>
      <c r="M10" s="2490"/>
      <c r="N10" s="2490"/>
      <c r="O10" s="2541"/>
      <c r="P10" s="3377"/>
      <c r="Q10" s="530" t="str">
        <f t="shared" si="6"/>
        <v>土地使用年限（年）</v>
      </c>
      <c r="R10" s="664" t="s">
        <v>14</v>
      </c>
      <c r="S10" s="665">
        <f t="shared" si="0"/>
        <v>134</v>
      </c>
      <c r="T10" s="664" t="s">
        <v>14</v>
      </c>
      <c r="U10" s="665">
        <f t="shared" si="1"/>
        <v>134</v>
      </c>
      <c r="V10" s="664" t="s">
        <v>14</v>
      </c>
      <c r="W10" s="665">
        <f t="shared" si="2"/>
        <v>134</v>
      </c>
      <c r="X10" s="666"/>
      <c r="Y10" s="3277"/>
      <c r="Z10" s="50" t="str">
        <f t="shared" si="7"/>
        <v>土地使用年限（年）</v>
      </c>
      <c r="AA10" s="50">
        <f t="shared" si="3"/>
        <v>0.74626865671641796</v>
      </c>
      <c r="AB10" s="50">
        <f t="shared" si="4"/>
        <v>0.74626865671641796</v>
      </c>
      <c r="AC10" s="50">
        <f t="shared" si="5"/>
        <v>0.74626865671641796</v>
      </c>
    </row>
    <row r="11" spans="1:29" ht="15">
      <c r="A11" s="367"/>
      <c r="B11" s="364" t="s">
        <v>1689</v>
      </c>
      <c r="C11" s="368">
        <f>'数据-汇总表'!I7</f>
        <v>3.49</v>
      </c>
      <c r="D11" s="119">
        <v>100</v>
      </c>
      <c r="E11" s="368">
        <v>7</v>
      </c>
      <c r="F11" s="119">
        <f>LOOKUP(E11,79:79,80:80)-LOOKUP(C11,79:79,80:80)+100</f>
        <v>88</v>
      </c>
      <c r="G11" s="369">
        <f>土地案例!S3</f>
        <v>4.4000000000000004</v>
      </c>
      <c r="H11" s="119">
        <f>LOOKUP(G11,79:79,80:80)-LOOKUP(C11,79:79,80:80)+100</f>
        <v>97</v>
      </c>
      <c r="I11" s="368">
        <v>6.33</v>
      </c>
      <c r="J11" s="119">
        <f>LOOKUP(I11,79:79,80:80)-LOOKUP(C11,79:79,80:80)+100</f>
        <v>91</v>
      </c>
      <c r="K11" s="593">
        <v>3</v>
      </c>
      <c r="L11" s="2491"/>
      <c r="M11" s="2487"/>
      <c r="N11" s="2487"/>
      <c r="O11" s="2542"/>
      <c r="P11" s="3377"/>
      <c r="Q11" s="530" t="str">
        <f t="shared" si="6"/>
        <v>容积率</v>
      </c>
      <c r="R11" s="664" t="s">
        <v>14</v>
      </c>
      <c r="S11" s="665">
        <f t="shared" si="0"/>
        <v>88</v>
      </c>
      <c r="T11" s="664" t="s">
        <v>14</v>
      </c>
      <c r="U11" s="665">
        <f t="shared" si="1"/>
        <v>97</v>
      </c>
      <c r="V11" s="664" t="s">
        <v>14</v>
      </c>
      <c r="W11" s="665">
        <f t="shared" si="2"/>
        <v>91</v>
      </c>
      <c r="X11" s="666"/>
      <c r="Y11" s="3277"/>
      <c r="Z11" s="50" t="str">
        <f t="shared" si="7"/>
        <v>容积率</v>
      </c>
      <c r="AA11" s="50">
        <f t="shared" si="3"/>
        <v>1.1363636363636365</v>
      </c>
      <c r="AB11" s="50">
        <f t="shared" si="4"/>
        <v>1.0309278350515463</v>
      </c>
      <c r="AC11" s="50">
        <f t="shared" si="5"/>
        <v>1.098901098901099</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77"/>
      <c r="Q12" s="530" t="str">
        <f t="shared" si="6"/>
        <v>配建</v>
      </c>
      <c r="R12" s="664" t="s">
        <v>14</v>
      </c>
      <c r="S12" s="665">
        <f t="shared" si="0"/>
        <v>100</v>
      </c>
      <c r="T12" s="664" t="s">
        <v>14</v>
      </c>
      <c r="U12" s="665">
        <f t="shared" si="1"/>
        <v>100</v>
      </c>
      <c r="V12" s="664" t="s">
        <v>14</v>
      </c>
      <c r="W12" s="665">
        <f t="shared" si="2"/>
        <v>100</v>
      </c>
      <c r="X12" s="666"/>
      <c r="Y12" s="327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77"/>
      <c r="Q13" s="530">
        <f t="shared" si="6"/>
        <v>111</v>
      </c>
      <c r="R13" s="664" t="s">
        <v>14</v>
      </c>
      <c r="S13" s="665">
        <f t="shared" si="0"/>
        <v>100</v>
      </c>
      <c r="T13" s="664" t="s">
        <v>14</v>
      </c>
      <c r="U13" s="665">
        <f t="shared" si="1"/>
        <v>100</v>
      </c>
      <c r="V13" s="664" t="s">
        <v>14</v>
      </c>
      <c r="W13" s="665">
        <f t="shared" si="2"/>
        <v>100</v>
      </c>
      <c r="X13" s="666"/>
      <c r="Y13" s="3277"/>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77"/>
      <c r="Q14" s="530">
        <f t="shared" si="6"/>
        <v>111</v>
      </c>
      <c r="R14" s="664" t="s">
        <v>14</v>
      </c>
      <c r="S14" s="665">
        <f t="shared" si="0"/>
        <v>100</v>
      </c>
      <c r="T14" s="664" t="s">
        <v>14</v>
      </c>
      <c r="U14" s="665">
        <f t="shared" si="1"/>
        <v>100</v>
      </c>
      <c r="V14" s="664" t="s">
        <v>14</v>
      </c>
      <c r="W14" s="665">
        <f t="shared" si="2"/>
        <v>100</v>
      </c>
      <c r="X14" s="666"/>
      <c r="Y14" s="3277"/>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8" t="s">
        <v>1691</v>
      </c>
      <c r="Q15" s="1262" t="str">
        <f t="shared" si="6"/>
        <v>居住社区成熟度</v>
      </c>
      <c r="R15" s="667" t="s">
        <v>14</v>
      </c>
      <c r="S15" s="668">
        <f t="shared" si="0"/>
        <v>100</v>
      </c>
      <c r="T15" s="667" t="s">
        <v>14</v>
      </c>
      <c r="U15" s="668">
        <f t="shared" si="1"/>
        <v>100</v>
      </c>
      <c r="V15" s="667" t="s">
        <v>14</v>
      </c>
      <c r="W15" s="668">
        <f t="shared" si="2"/>
        <v>100</v>
      </c>
      <c r="X15" s="1264"/>
      <c r="Y15" s="3378"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79"/>
      <c r="Q16" s="1262"/>
      <c r="R16" s="667"/>
      <c r="S16" s="668"/>
      <c r="T16" s="667"/>
      <c r="U16" s="668"/>
      <c r="V16" s="667"/>
      <c r="W16" s="668"/>
      <c r="X16" s="1264"/>
      <c r="Y16" s="3379"/>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9"/>
      <c r="Q17" s="1262" t="str">
        <f>B17</f>
        <v>商业繁华度</v>
      </c>
      <c r="R17" s="667" t="s">
        <v>14</v>
      </c>
      <c r="S17" s="668">
        <f>F17</f>
        <v>100</v>
      </c>
      <c r="T17" s="667" t="s">
        <v>14</v>
      </c>
      <c r="U17" s="668">
        <f>H17</f>
        <v>100</v>
      </c>
      <c r="V17" s="667" t="s">
        <v>14</v>
      </c>
      <c r="W17" s="668">
        <f>J17</f>
        <v>100</v>
      </c>
      <c r="X17" s="1264"/>
      <c r="Y17" s="3379"/>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79"/>
      <c r="Q18" s="1262"/>
      <c r="R18" s="667"/>
      <c r="S18" s="668"/>
      <c r="T18" s="667"/>
      <c r="U18" s="668"/>
      <c r="V18" s="667"/>
      <c r="W18" s="668"/>
      <c r="X18" s="1264"/>
      <c r="Y18" s="3379"/>
      <c r="Z18" s="1263"/>
      <c r="AA18" s="1263">
        <v>1</v>
      </c>
      <c r="AB18" s="1263">
        <v>1</v>
      </c>
      <c r="AC18" s="1263">
        <v>1</v>
      </c>
    </row>
    <row r="19" spans="1:29" ht="69">
      <c r="A19" s="367"/>
      <c r="B19" s="390" t="s">
        <v>1811</v>
      </c>
      <c r="C19" s="1805" t="str">
        <f>估价对象房地状况!C17</f>
        <v>估价对象位于XX商圈，周边办公楼项目较多，入驻率高，办公集聚程度较好</v>
      </c>
      <c r="D19" s="394">
        <v>100</v>
      </c>
      <c r="E19" s="396"/>
      <c r="F19" s="394">
        <f>SUMIF(91:91,E20,92:92)-SUMIF(91:91,C20,92:92)+100</f>
        <v>97</v>
      </c>
      <c r="G19" s="396"/>
      <c r="H19" s="389">
        <f>SUMIF(91:91,G20,92:92)-SUMIF(91:91,C20,92:92)+100</f>
        <v>97</v>
      </c>
      <c r="I19" s="398"/>
      <c r="J19" s="389">
        <f>SUMIF(91:91,I20,92:92)-SUMIF(91:91,C20,92:92)+100</f>
        <v>97</v>
      </c>
      <c r="K19" s="593">
        <v>3</v>
      </c>
      <c r="L19" s="2492"/>
      <c r="M19" s="2487"/>
      <c r="N19" s="2487"/>
      <c r="O19" s="2542"/>
      <c r="P19" s="3379"/>
      <c r="Q19" s="1262" t="str">
        <f>B19</f>
        <v>办公集聚程度</v>
      </c>
      <c r="R19" s="667" t="s">
        <v>14</v>
      </c>
      <c r="S19" s="668">
        <f>F19</f>
        <v>97</v>
      </c>
      <c r="T19" s="667" t="s">
        <v>14</v>
      </c>
      <c r="U19" s="668">
        <f>H19</f>
        <v>97</v>
      </c>
      <c r="V19" s="667" t="s">
        <v>14</v>
      </c>
      <c r="W19" s="668">
        <f>J19</f>
        <v>97</v>
      </c>
      <c r="X19" s="1264"/>
      <c r="Y19" s="3379"/>
      <c r="Z19" s="1263" t="str">
        <f>Q19</f>
        <v>办公集聚程度</v>
      </c>
      <c r="AA19" s="1263">
        <f t="shared" si="3"/>
        <v>1.0309278350515463</v>
      </c>
      <c r="AB19" s="1263">
        <f t="shared" si="4"/>
        <v>1.0309278350515463</v>
      </c>
      <c r="AC19" s="1263">
        <f t="shared" si="5"/>
        <v>1.0309278350515463</v>
      </c>
    </row>
    <row r="20" spans="1:29" ht="15">
      <c r="A20" s="367"/>
      <c r="B20" s="395"/>
      <c r="C20" s="386" t="s">
        <v>3455</v>
      </c>
      <c r="D20" s="387"/>
      <c r="E20" s="386" t="s">
        <v>3456</v>
      </c>
      <c r="F20" s="387"/>
      <c r="G20" s="386" t="s">
        <v>3456</v>
      </c>
      <c r="H20" s="387"/>
      <c r="I20" s="386" t="s">
        <v>3456</v>
      </c>
      <c r="J20" s="387"/>
      <c r="K20" s="592"/>
      <c r="L20" s="2492"/>
      <c r="M20" s="2487"/>
      <c r="N20" s="2487"/>
      <c r="O20" s="2542"/>
      <c r="P20" s="3379"/>
      <c r="Q20" s="1262"/>
      <c r="R20" s="667"/>
      <c r="S20" s="668"/>
      <c r="T20" s="667"/>
      <c r="U20" s="668"/>
      <c r="V20" s="667"/>
      <c r="W20" s="668"/>
      <c r="X20" s="1264"/>
      <c r="Y20" s="3379"/>
      <c r="Z20" s="1263"/>
      <c r="AA20" s="1263">
        <v>1</v>
      </c>
      <c r="AB20" s="1263">
        <v>1</v>
      </c>
      <c r="AC20" s="1263">
        <v>1</v>
      </c>
    </row>
    <row r="21" spans="1:29" ht="82.8">
      <c r="A21" s="367"/>
      <c r="B21" s="390" t="s">
        <v>1833</v>
      </c>
      <c r="C21" s="1753" t="str">
        <f>估价对象房地状况!C18</f>
        <v>估价对象周边道路状况、公共交通通达情况、停车便捷程度，综合评价交通便捷度较好</v>
      </c>
      <c r="D21" s="389">
        <v>100</v>
      </c>
      <c r="E21" s="391"/>
      <c r="F21" s="394">
        <f>SUMIF(93:93,E22,94:94)-SUMIF(93:93,C22,94:94)+100</f>
        <v>97</v>
      </c>
      <c r="G21" s="391"/>
      <c r="H21" s="389">
        <f>SUMIF(93:93,G22,94:94)-SUMIF(93:93,C22,94:94)+100</f>
        <v>97</v>
      </c>
      <c r="I21" s="393"/>
      <c r="J21" s="389">
        <f>SUMIF(93:93,I22,94:94)-SUMIF(93:93,C22,94:94)+100</f>
        <v>97</v>
      </c>
      <c r="K21" s="593">
        <v>3</v>
      </c>
      <c r="L21" s="2492"/>
      <c r="M21" s="2487"/>
      <c r="N21" s="2487"/>
      <c r="O21" s="2542"/>
      <c r="P21" s="3379"/>
      <c r="Q21" s="1262" t="str">
        <f>B21</f>
        <v>交通便捷度</v>
      </c>
      <c r="R21" s="667" t="s">
        <v>14</v>
      </c>
      <c r="S21" s="668">
        <f>F21</f>
        <v>97</v>
      </c>
      <c r="T21" s="667" t="s">
        <v>14</v>
      </c>
      <c r="U21" s="668">
        <f>H21</f>
        <v>97</v>
      </c>
      <c r="V21" s="667" t="s">
        <v>14</v>
      </c>
      <c r="W21" s="668">
        <f>J21</f>
        <v>97</v>
      </c>
      <c r="X21" s="1264"/>
      <c r="Y21" s="3379"/>
      <c r="Z21" s="1263" t="str">
        <f>Q21</f>
        <v>交通便捷度</v>
      </c>
      <c r="AA21" s="1263">
        <f t="shared" si="3"/>
        <v>1.0309278350515463</v>
      </c>
      <c r="AB21" s="1263">
        <f t="shared" si="4"/>
        <v>1.0309278350515463</v>
      </c>
      <c r="AC21" s="1263">
        <f t="shared" si="5"/>
        <v>1.0309278350515463</v>
      </c>
    </row>
    <row r="22" spans="1:29" ht="15">
      <c r="A22" s="367"/>
      <c r="B22" s="586"/>
      <c r="C22" s="386" t="s">
        <v>3455</v>
      </c>
      <c r="D22" s="389"/>
      <c r="E22" s="1751" t="s">
        <v>3456</v>
      </c>
      <c r="F22" s="387"/>
      <c r="G22" s="1751" t="s">
        <v>3456</v>
      </c>
      <c r="H22" s="387"/>
      <c r="I22" s="1751" t="s">
        <v>3456</v>
      </c>
      <c r="J22" s="387"/>
      <c r="K22" s="592"/>
      <c r="L22" s="2492"/>
      <c r="M22" s="2487"/>
      <c r="N22" s="2487"/>
      <c r="O22" s="2542"/>
      <c r="P22" s="3379"/>
      <c r="Q22" s="1262"/>
      <c r="R22" s="667"/>
      <c r="S22" s="668"/>
      <c r="T22" s="667"/>
      <c r="U22" s="668"/>
      <c r="V22" s="667"/>
      <c r="W22" s="668"/>
      <c r="X22" s="1264"/>
      <c r="Y22" s="3379"/>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9"/>
      <c r="Q23" s="1262" t="str">
        <f t="shared" ref="Q23:Q37" si="8">B23</f>
        <v>区域土地利用方向</v>
      </c>
      <c r="R23" s="667" t="s">
        <v>14</v>
      </c>
      <c r="S23" s="668">
        <f>F23</f>
        <v>100</v>
      </c>
      <c r="T23" s="667" t="s">
        <v>14</v>
      </c>
      <c r="U23" s="668">
        <f>H23</f>
        <v>100</v>
      </c>
      <c r="V23" s="667" t="s">
        <v>14</v>
      </c>
      <c r="W23" s="668">
        <f>J23</f>
        <v>100</v>
      </c>
      <c r="X23" s="1264"/>
      <c r="Y23" s="3379"/>
      <c r="Z23" s="1263" t="str">
        <f>Q23</f>
        <v>区域土地利用方向</v>
      </c>
      <c r="AA23" s="1263">
        <f t="shared" si="3"/>
        <v>1</v>
      </c>
      <c r="AB23" s="1263">
        <f t="shared" si="4"/>
        <v>1</v>
      </c>
      <c r="AC23" s="1263">
        <f t="shared" si="5"/>
        <v>1</v>
      </c>
    </row>
    <row r="24" spans="1:29" ht="15">
      <c r="A24" s="348"/>
      <c r="B24" s="395"/>
      <c r="C24" s="542" t="s">
        <v>3455</v>
      </c>
      <c r="D24" s="387"/>
      <c r="E24" s="542" t="s">
        <v>3455</v>
      </c>
      <c r="F24" s="387"/>
      <c r="G24" s="542" t="s">
        <v>3455</v>
      </c>
      <c r="H24" s="387"/>
      <c r="I24" s="542" t="s">
        <v>3455</v>
      </c>
      <c r="J24" s="387"/>
      <c r="K24" s="698"/>
      <c r="L24" s="2492"/>
      <c r="M24" s="2487"/>
      <c r="N24" s="2487"/>
      <c r="O24" s="2542"/>
      <c r="P24" s="3379"/>
      <c r="Q24" s="1262"/>
      <c r="R24" s="667"/>
      <c r="S24" s="668"/>
      <c r="T24" s="667"/>
      <c r="U24" s="668"/>
      <c r="V24" s="667"/>
      <c r="W24" s="668"/>
      <c r="X24" s="1264"/>
      <c r="Y24" s="3379"/>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97</v>
      </c>
      <c r="G25" s="391"/>
      <c r="H25" s="389">
        <f>SUMIF(97:97,G26,98:98)-SUMIF(97:97,C26,98:98)+100</f>
        <v>97</v>
      </c>
      <c r="I25" s="393"/>
      <c r="J25" s="389">
        <f>SUMIF(97:97,I26,98:98)-SUMIF(97:97,C26,98:98)+100</f>
        <v>97</v>
      </c>
      <c r="K25" s="593">
        <v>3</v>
      </c>
      <c r="L25" s="2492"/>
      <c r="M25" s="2487"/>
      <c r="N25" s="2487"/>
      <c r="O25" s="2542"/>
      <c r="P25" s="3379"/>
      <c r="Q25" s="1262" t="str">
        <f t="shared" si="8"/>
        <v>自然及人文环境状况</v>
      </c>
      <c r="R25" s="667" t="s">
        <v>14</v>
      </c>
      <c r="S25" s="668">
        <f>F25</f>
        <v>97</v>
      </c>
      <c r="T25" s="667" t="s">
        <v>14</v>
      </c>
      <c r="U25" s="668">
        <f>H25</f>
        <v>97</v>
      </c>
      <c r="V25" s="667" t="s">
        <v>14</v>
      </c>
      <c r="W25" s="668">
        <f>J25</f>
        <v>97</v>
      </c>
      <c r="X25" s="1264"/>
      <c r="Y25" s="3379"/>
      <c r="Z25" s="1263" t="str">
        <f>Q25</f>
        <v>自然及人文环境状况</v>
      </c>
      <c r="AA25" s="1263">
        <f t="shared" si="3"/>
        <v>1.0309278350515463</v>
      </c>
      <c r="AB25" s="1263">
        <f t="shared" si="4"/>
        <v>1.0309278350515463</v>
      </c>
      <c r="AC25" s="1263">
        <f t="shared" si="5"/>
        <v>1.0309278350515463</v>
      </c>
    </row>
    <row r="26" spans="1:29" ht="15">
      <c r="A26" s="348"/>
      <c r="B26" s="395"/>
      <c r="C26" s="386" t="s">
        <v>3455</v>
      </c>
      <c r="D26" s="387"/>
      <c r="E26" s="386" t="s">
        <v>3456</v>
      </c>
      <c r="F26" s="387"/>
      <c r="G26" s="386" t="s">
        <v>3456</v>
      </c>
      <c r="H26" s="387"/>
      <c r="I26" s="386" t="s">
        <v>3456</v>
      </c>
      <c r="J26" s="387"/>
      <c r="K26" s="592"/>
      <c r="L26" s="2492"/>
      <c r="M26" s="2487"/>
      <c r="N26" s="2487"/>
      <c r="O26" s="2542"/>
      <c r="P26" s="3379"/>
      <c r="Q26" s="1262"/>
      <c r="R26" s="667"/>
      <c r="S26" s="668"/>
      <c r="T26" s="667"/>
      <c r="U26" s="668"/>
      <c r="V26" s="667"/>
      <c r="W26" s="668"/>
      <c r="X26" s="1264"/>
      <c r="Y26" s="3379"/>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97</v>
      </c>
      <c r="G27" s="391"/>
      <c r="H27" s="389">
        <f>SUMIF(99:99,G28,100:100)-SUMIF(99:99,C28,100:100)+100</f>
        <v>97</v>
      </c>
      <c r="I27" s="393"/>
      <c r="J27" s="389">
        <f>SUMIF(99:99,I28,100:100)-SUMIF(99:99,C28,100:100)+100</f>
        <v>97</v>
      </c>
      <c r="K27" s="593">
        <v>3</v>
      </c>
      <c r="L27" s="2488"/>
      <c r="M27" s="2439"/>
      <c r="N27" s="2439"/>
      <c r="O27" s="2540"/>
      <c r="P27" s="3379"/>
      <c r="Q27" s="530" t="str">
        <f t="shared" si="8"/>
        <v>公共配套设施</v>
      </c>
      <c r="R27" s="664" t="s">
        <v>14</v>
      </c>
      <c r="S27" s="665">
        <f>F27</f>
        <v>97</v>
      </c>
      <c r="T27" s="664" t="s">
        <v>14</v>
      </c>
      <c r="U27" s="665">
        <f>H27</f>
        <v>97</v>
      </c>
      <c r="V27" s="664" t="s">
        <v>14</v>
      </c>
      <c r="W27" s="665">
        <f>J27</f>
        <v>97</v>
      </c>
      <c r="X27" s="666"/>
      <c r="Y27" s="3379"/>
      <c r="Z27" s="50" t="str">
        <f>Q27</f>
        <v>公共配套设施</v>
      </c>
      <c r="AA27" s="1263">
        <f>D27/F27</f>
        <v>1.0309278350515463</v>
      </c>
      <c r="AB27" s="1263">
        <f>D27/H27</f>
        <v>1.0309278350515463</v>
      </c>
      <c r="AC27" s="1263">
        <f>D27/J27</f>
        <v>1.0309278350515463</v>
      </c>
    </row>
    <row r="28" spans="1:29" s="102" customFormat="1" ht="15">
      <c r="A28" s="443"/>
      <c r="B28" s="395"/>
      <c r="C28" s="1825" t="s">
        <v>3455</v>
      </c>
      <c r="D28" s="387"/>
      <c r="E28" s="386" t="s">
        <v>3456</v>
      </c>
      <c r="F28" s="387"/>
      <c r="G28" s="386" t="s">
        <v>3456</v>
      </c>
      <c r="H28" s="387"/>
      <c r="I28" s="386" t="s">
        <v>3456</v>
      </c>
      <c r="J28" s="387"/>
      <c r="K28" s="592"/>
      <c r="L28" s="2488"/>
      <c r="M28" s="2439"/>
      <c r="N28" s="2439"/>
      <c r="O28" s="2540"/>
      <c r="P28" s="3379"/>
      <c r="Q28" s="530"/>
      <c r="R28" s="664"/>
      <c r="S28" s="665"/>
      <c r="T28" s="664"/>
      <c r="U28" s="665"/>
      <c r="V28" s="664"/>
      <c r="W28" s="665"/>
      <c r="X28" s="666"/>
      <c r="Y28" s="3379"/>
      <c r="Z28" s="50"/>
      <c r="AA28" s="1263">
        <v>1</v>
      </c>
      <c r="AB28" s="1263">
        <v>1</v>
      </c>
      <c r="AC28" s="1263">
        <v>1</v>
      </c>
    </row>
    <row r="29" spans="1:29" s="102" customFormat="1" ht="27.6">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8"/>
      <c r="M29" s="2439"/>
      <c r="N29" s="2439"/>
      <c r="O29" s="2540"/>
      <c r="P29" s="3379"/>
      <c r="Q29" s="530" t="str">
        <f t="shared" ref="Q29" si="9">B29</f>
        <v>基础设施水平</v>
      </c>
      <c r="R29" s="664" t="s">
        <v>14</v>
      </c>
      <c r="S29" s="665">
        <f>F29</f>
        <v>100</v>
      </c>
      <c r="T29" s="664" t="s">
        <v>14</v>
      </c>
      <c r="U29" s="665">
        <f>H29</f>
        <v>100</v>
      </c>
      <c r="V29" s="664" t="s">
        <v>14</v>
      </c>
      <c r="W29" s="665">
        <f>J29</f>
        <v>100</v>
      </c>
      <c r="X29" s="666"/>
      <c r="Y29" s="3379"/>
      <c r="Z29" s="50" t="str">
        <f>Q29</f>
        <v>基础设施水平</v>
      </c>
      <c r="AA29" s="1263">
        <f>D29/F29</f>
        <v>1</v>
      </c>
      <c r="AB29" s="1263">
        <f>D29/H29</f>
        <v>1</v>
      </c>
      <c r="AC29" s="1263">
        <f>D29/J29</f>
        <v>1</v>
      </c>
    </row>
    <row r="30" spans="1:29" s="102" customFormat="1" ht="15">
      <c r="A30" s="443"/>
      <c r="B30" s="395"/>
      <c r="C30" s="1825" t="s">
        <v>3570</v>
      </c>
      <c r="D30" s="387"/>
      <c r="E30" s="1825" t="s">
        <v>3570</v>
      </c>
      <c r="F30" s="387"/>
      <c r="G30" s="1825" t="s">
        <v>3570</v>
      </c>
      <c r="H30" s="387"/>
      <c r="I30" s="1825" t="s">
        <v>3570</v>
      </c>
      <c r="J30" s="387"/>
      <c r="K30" s="592"/>
      <c r="L30" s="2488"/>
      <c r="M30" s="2439"/>
      <c r="N30" s="2439"/>
      <c r="O30" s="2540"/>
      <c r="P30" s="3379"/>
      <c r="Q30" s="530"/>
      <c r="R30" s="664"/>
      <c r="S30" s="665"/>
      <c r="T30" s="664"/>
      <c r="U30" s="665"/>
      <c r="V30" s="664"/>
      <c r="W30" s="665"/>
      <c r="X30" s="666"/>
      <c r="Y30" s="3379"/>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9"/>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79"/>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96</v>
      </c>
      <c r="I32" s="393"/>
      <c r="J32" s="389">
        <f>SUMIF(105:105,I33,106:106)-SUMIF(105:105,C33,106:106)+100</f>
        <v>100</v>
      </c>
      <c r="K32" s="593">
        <v>2</v>
      </c>
      <c r="L32" s="2492"/>
      <c r="M32" s="2487"/>
      <c r="N32" s="2487"/>
      <c r="O32" s="2542"/>
      <c r="P32" s="3379"/>
      <c r="Q32" s="1262" t="str">
        <f t="shared" si="8"/>
        <v>毗邻道路的类型与等级</v>
      </c>
      <c r="R32" s="667" t="s">
        <v>14</v>
      </c>
      <c r="S32" s="668">
        <f t="shared" si="10"/>
        <v>100</v>
      </c>
      <c r="T32" s="667" t="s">
        <v>14</v>
      </c>
      <c r="U32" s="668">
        <f t="shared" si="11"/>
        <v>96</v>
      </c>
      <c r="V32" s="667" t="s">
        <v>14</v>
      </c>
      <c r="W32" s="668">
        <f t="shared" si="12"/>
        <v>100</v>
      </c>
      <c r="X32" s="1264"/>
      <c r="Y32" s="3379"/>
      <c r="Z32" s="1263" t="str">
        <f t="shared" si="13"/>
        <v>毗邻道路的类型与等级</v>
      </c>
      <c r="AA32" s="1263">
        <f t="shared" si="3"/>
        <v>1</v>
      </c>
      <c r="AB32" s="1263">
        <f t="shared" si="4"/>
        <v>1.0416666666666667</v>
      </c>
      <c r="AC32" s="1263">
        <f t="shared" si="5"/>
        <v>1</v>
      </c>
    </row>
    <row r="33" spans="1:29" ht="15">
      <c r="A33" s="367"/>
      <c r="B33" s="395"/>
      <c r="C33" s="386" t="s">
        <v>3572</v>
      </c>
      <c r="D33" s="387"/>
      <c r="E33" s="1757" t="s">
        <v>3572</v>
      </c>
      <c r="F33" s="387"/>
      <c r="G33" s="1757" t="s">
        <v>3575</v>
      </c>
      <c r="H33" s="387"/>
      <c r="I33" s="1757" t="s">
        <v>3572</v>
      </c>
      <c r="J33" s="387"/>
      <c r="K33" s="539"/>
      <c r="L33" s="2492"/>
      <c r="M33" s="2487"/>
      <c r="N33" s="2487"/>
      <c r="O33" s="2542"/>
      <c r="P33" s="3379"/>
      <c r="Q33" s="1262"/>
      <c r="R33" s="667"/>
      <c r="S33" s="668"/>
      <c r="T33" s="667"/>
      <c r="U33" s="668"/>
      <c r="V33" s="667"/>
      <c r="W33" s="668"/>
      <c r="X33" s="1264"/>
      <c r="Y33" s="3379"/>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9"/>
      <c r="Q34" s="1262" t="str">
        <f t="shared" si="8"/>
        <v>土地级别</v>
      </c>
      <c r="R34" s="667" t="s">
        <v>14</v>
      </c>
      <c r="S34" s="668">
        <f t="shared" si="10"/>
        <v>100</v>
      </c>
      <c r="T34" s="667" t="s">
        <v>14</v>
      </c>
      <c r="U34" s="668">
        <f t="shared" si="11"/>
        <v>100</v>
      </c>
      <c r="V34" s="667" t="s">
        <v>14</v>
      </c>
      <c r="W34" s="668">
        <f t="shared" si="12"/>
        <v>100</v>
      </c>
      <c r="X34" s="1264"/>
      <c r="Y34" s="3379"/>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9"/>
      <c r="Q35" s="1262">
        <f t="shared" si="8"/>
        <v>111</v>
      </c>
      <c r="R35" s="667" t="s">
        <v>14</v>
      </c>
      <c r="S35" s="668">
        <f t="shared" si="10"/>
        <v>100</v>
      </c>
      <c r="T35" s="667" t="s">
        <v>14</v>
      </c>
      <c r="U35" s="668">
        <f t="shared" si="11"/>
        <v>100</v>
      </c>
      <c r="V35" s="667" t="s">
        <v>14</v>
      </c>
      <c r="W35" s="668">
        <f t="shared" si="12"/>
        <v>100</v>
      </c>
      <c r="X35" s="1264"/>
      <c r="Y35" s="3379"/>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380" t="s">
        <v>1696</v>
      </c>
      <c r="Q36" s="1262">
        <f t="shared" si="8"/>
        <v>111</v>
      </c>
      <c r="R36" s="667" t="s">
        <v>14</v>
      </c>
      <c r="S36" s="668">
        <f t="shared" si="10"/>
        <v>100</v>
      </c>
      <c r="T36" s="667" t="s">
        <v>14</v>
      </c>
      <c r="U36" s="668">
        <f t="shared" si="11"/>
        <v>100</v>
      </c>
      <c r="V36" s="667" t="s">
        <v>14</v>
      </c>
      <c r="W36" s="668">
        <f t="shared" si="12"/>
        <v>100</v>
      </c>
      <c r="X36" s="1264"/>
      <c r="Y36" s="3381"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1"/>
      <c r="Q37" s="1262">
        <f t="shared" si="8"/>
        <v>111</v>
      </c>
      <c r="R37" s="669" t="s">
        <v>14</v>
      </c>
      <c r="S37" s="670">
        <f t="shared" si="10"/>
        <v>100</v>
      </c>
      <c r="T37" s="669" t="s">
        <v>14</v>
      </c>
      <c r="U37" s="670">
        <f t="shared" si="11"/>
        <v>100</v>
      </c>
      <c r="V37" s="669" t="s">
        <v>14</v>
      </c>
      <c r="W37" s="670">
        <f t="shared" si="12"/>
        <v>100</v>
      </c>
      <c r="X37" s="671"/>
      <c r="Y37" s="3381"/>
      <c r="Z37" s="672">
        <f t="shared" si="13"/>
        <v>111</v>
      </c>
      <c r="AA37" s="1263">
        <f t="shared" si="3"/>
        <v>1</v>
      </c>
      <c r="AB37" s="1263">
        <f t="shared" si="4"/>
        <v>1</v>
      </c>
      <c r="AC37" s="1263">
        <f t="shared" si="5"/>
        <v>1</v>
      </c>
    </row>
    <row r="38" spans="1:29" ht="15.6">
      <c r="A38" s="409" t="s">
        <v>1694</v>
      </c>
      <c r="B38" s="395" t="s">
        <v>1874</v>
      </c>
      <c r="C38" s="599">
        <f>'数据-汇总表'!D3</f>
        <v>8274.56</v>
      </c>
      <c r="D38" s="405">
        <v>100</v>
      </c>
      <c r="E38" s="599">
        <f>土地案例!I2</f>
        <v>7467</v>
      </c>
      <c r="F38" s="405">
        <f>LOOKUP(E38,116:116,117:117)-LOOKUP(C38,116:116,117:117)+100</f>
        <v>100</v>
      </c>
      <c r="G38" s="599">
        <f>土地案例!I3</f>
        <v>67829.210000000006</v>
      </c>
      <c r="H38" s="405">
        <f>LOOKUP(G38,116:116,117:117)-LOOKUP(C38,116:116,117:117)+100</f>
        <v>101</v>
      </c>
      <c r="I38" s="462">
        <f>土地案例!I4</f>
        <v>12629.88</v>
      </c>
      <c r="J38" s="405">
        <f>LOOKUP(I38,116:116,117:117)-LOOKUP(C38,116:116,117:117)+100</f>
        <v>101</v>
      </c>
      <c r="K38" s="539"/>
      <c r="L38" s="2492"/>
      <c r="M38" s="2487"/>
      <c r="N38" s="2487"/>
      <c r="O38" s="2542"/>
      <c r="P38" s="3381"/>
      <c r="Q38" s="1262" t="str">
        <f>B38</f>
        <v>宗地面积</v>
      </c>
      <c r="R38" s="667" t="s">
        <v>14</v>
      </c>
      <c r="S38" s="668">
        <f t="shared" si="10"/>
        <v>100</v>
      </c>
      <c r="T38" s="667" t="s">
        <v>14</v>
      </c>
      <c r="U38" s="668">
        <f t="shared" si="11"/>
        <v>101</v>
      </c>
      <c r="V38" s="667" t="s">
        <v>14</v>
      </c>
      <c r="W38" s="668">
        <f t="shared" si="12"/>
        <v>101</v>
      </c>
      <c r="X38" s="1264"/>
      <c r="Y38" s="3381"/>
      <c r="Z38" s="1263" t="str">
        <f t="shared" si="13"/>
        <v>宗地面积</v>
      </c>
      <c r="AA38" s="1263">
        <f t="shared" si="3"/>
        <v>1</v>
      </c>
      <c r="AB38" s="1263">
        <f t="shared" si="4"/>
        <v>0.99009900990099009</v>
      </c>
      <c r="AC38" s="1263">
        <f t="shared" si="5"/>
        <v>0.99009900990099009</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1"/>
      <c r="Q39" s="1262" t="str">
        <f t="shared" ref="Q39:Q45" si="14">B39</f>
        <v>宗地形状</v>
      </c>
      <c r="R39" s="667" t="s">
        <v>14</v>
      </c>
      <c r="S39" s="668">
        <f t="shared" si="10"/>
        <v>100</v>
      </c>
      <c r="T39" s="667" t="s">
        <v>14</v>
      </c>
      <c r="U39" s="668">
        <f t="shared" si="11"/>
        <v>100</v>
      </c>
      <c r="V39" s="667" t="s">
        <v>14</v>
      </c>
      <c r="W39" s="668">
        <f t="shared" si="12"/>
        <v>100</v>
      </c>
      <c r="X39" s="1264"/>
      <c r="Y39" s="3381"/>
      <c r="Z39" s="1263" t="str">
        <f t="shared" si="13"/>
        <v>宗地形状</v>
      </c>
      <c r="AA39" s="1263">
        <f t="shared" si="3"/>
        <v>1</v>
      </c>
      <c r="AB39" s="1263">
        <f t="shared" si="4"/>
        <v>1</v>
      </c>
      <c r="AC39" s="1263">
        <f t="shared" si="5"/>
        <v>1</v>
      </c>
    </row>
    <row r="40" spans="1:29" ht="15">
      <c r="A40" s="409"/>
      <c r="B40" s="364" t="s">
        <v>1876</v>
      </c>
      <c r="C40" s="1759" t="s">
        <v>3455</v>
      </c>
      <c r="D40" s="374">
        <v>100</v>
      </c>
      <c r="E40" s="1759" t="s">
        <v>3455</v>
      </c>
      <c r="F40" s="374">
        <f>SUMIF(120:120,E40,121:121)-SUMIF(120:120,C40,121:121)+100</f>
        <v>100</v>
      </c>
      <c r="G40" s="1759" t="s">
        <v>3455</v>
      </c>
      <c r="H40" s="374">
        <f>SUMIF(120:120,G40,121:121)-SUMIF(120:120,C40,121:121)+100</f>
        <v>100</v>
      </c>
      <c r="I40" s="1759" t="s">
        <v>3455</v>
      </c>
      <c r="J40" s="374">
        <f>SUMIF(120:120,I40,121:121)-SUMIF(120:120,C40,121:121)+100</f>
        <v>100</v>
      </c>
      <c r="K40" s="538">
        <v>2</v>
      </c>
      <c r="L40" s="2492"/>
      <c r="M40" s="2487"/>
      <c r="N40" s="2487"/>
      <c r="O40" s="2542"/>
      <c r="P40" s="3381"/>
      <c r="Q40" s="1262" t="str">
        <f t="shared" si="14"/>
        <v>临街宽度及深度</v>
      </c>
      <c r="R40" s="667" t="s">
        <v>14</v>
      </c>
      <c r="S40" s="668">
        <f t="shared" si="10"/>
        <v>100</v>
      </c>
      <c r="T40" s="667" t="s">
        <v>14</v>
      </c>
      <c r="U40" s="668">
        <f t="shared" si="11"/>
        <v>100</v>
      </c>
      <c r="V40" s="667" t="s">
        <v>14</v>
      </c>
      <c r="W40" s="668">
        <f t="shared" si="12"/>
        <v>100</v>
      </c>
      <c r="X40" s="1264"/>
      <c r="Y40" s="3381"/>
      <c r="Z40" s="1263" t="str">
        <f t="shared" si="13"/>
        <v>临街宽度及深度</v>
      </c>
      <c r="AA40" s="1263">
        <f t="shared" si="3"/>
        <v>1</v>
      </c>
      <c r="AB40" s="1263">
        <f t="shared" si="4"/>
        <v>1</v>
      </c>
      <c r="AC40" s="1263">
        <f t="shared" si="5"/>
        <v>1</v>
      </c>
    </row>
    <row r="41" spans="1:29" s="102" customFormat="1" ht="15">
      <c r="A41" s="410"/>
      <c r="B41" s="364" t="s">
        <v>1877</v>
      </c>
      <c r="C41" s="1827" t="s">
        <v>3577</v>
      </c>
      <c r="D41" s="119">
        <v>100</v>
      </c>
      <c r="E41" s="1827" t="s">
        <v>3580</v>
      </c>
      <c r="F41" s="374">
        <f>SUMIF(122:122,E41,123:123)-SUMIF(122:122,C41,123:123)+100</f>
        <v>97</v>
      </c>
      <c r="G41" s="1827" t="s">
        <v>3580</v>
      </c>
      <c r="H41" s="374">
        <f>SUMIF(122:122,G41,123:123)-SUMIF(122:122,C41,123:123)+100</f>
        <v>97</v>
      </c>
      <c r="I41" s="1827" t="s">
        <v>3580</v>
      </c>
      <c r="J41" s="374">
        <f>SUMIF(122:122,I41,123:123)-SUMIF(122:122,C41,123:123)+100</f>
        <v>97</v>
      </c>
      <c r="K41" s="538">
        <v>1</v>
      </c>
      <c r="L41" s="2488"/>
      <c r="M41" s="2439"/>
      <c r="N41" s="2439"/>
      <c r="O41" s="2540"/>
      <c r="P41" s="3381"/>
      <c r="Q41" s="1262" t="str">
        <f t="shared" si="14"/>
        <v>宗地开发程度</v>
      </c>
      <c r="R41" s="664" t="s">
        <v>14</v>
      </c>
      <c r="S41" s="665">
        <f t="shared" si="10"/>
        <v>97</v>
      </c>
      <c r="T41" s="664" t="s">
        <v>14</v>
      </c>
      <c r="U41" s="665">
        <f t="shared" si="11"/>
        <v>97</v>
      </c>
      <c r="V41" s="664" t="s">
        <v>14</v>
      </c>
      <c r="W41" s="665">
        <f t="shared" si="12"/>
        <v>97</v>
      </c>
      <c r="X41" s="666"/>
      <c r="Y41" s="3381"/>
      <c r="Z41" s="50" t="str">
        <f t="shared" si="13"/>
        <v>宗地开发程度</v>
      </c>
      <c r="AA41" s="50">
        <f t="shared" si="3"/>
        <v>1.0309278350515463</v>
      </c>
      <c r="AB41" s="50">
        <f t="shared" si="4"/>
        <v>1.0309278350515463</v>
      </c>
      <c r="AC41" s="50">
        <f t="shared" si="5"/>
        <v>1.0309278350515463</v>
      </c>
    </row>
    <row r="42" spans="1:29" ht="15">
      <c r="A42" s="409"/>
      <c r="B42" s="364" t="s">
        <v>1878</v>
      </c>
      <c r="C42" s="1759" t="s">
        <v>3455</v>
      </c>
      <c r="D42" s="374">
        <v>100</v>
      </c>
      <c r="E42" s="1759" t="s">
        <v>3455</v>
      </c>
      <c r="F42" s="374">
        <f>SUMIF(124:124,E42,125:125)-SUMIF(124:124,C42,125:125)+100</f>
        <v>100</v>
      </c>
      <c r="G42" s="1759" t="s">
        <v>3455</v>
      </c>
      <c r="H42" s="374">
        <f>SUMIF(124:124,G42,125:125)-SUMIF(124:124,C42,125:125)+100</f>
        <v>100</v>
      </c>
      <c r="I42" s="1759" t="s">
        <v>3455</v>
      </c>
      <c r="J42" s="374">
        <f>SUMIF(124:124,I42,125:125)-SUMIF(124:124,C42,125:125)+100</f>
        <v>100</v>
      </c>
      <c r="K42" s="538">
        <v>2</v>
      </c>
      <c r="L42" s="2492"/>
      <c r="M42" s="2487"/>
      <c r="N42" s="2487"/>
      <c r="O42" s="2542"/>
      <c r="P42" s="3381" t="s">
        <v>1696</v>
      </c>
      <c r="Q42" s="1262" t="str">
        <f t="shared" si="14"/>
        <v>工程地质条件</v>
      </c>
      <c r="R42" s="667" t="s">
        <v>14</v>
      </c>
      <c r="S42" s="668">
        <f t="shared" si="10"/>
        <v>100</v>
      </c>
      <c r="T42" s="667" t="s">
        <v>14</v>
      </c>
      <c r="U42" s="668">
        <f t="shared" si="11"/>
        <v>100</v>
      </c>
      <c r="V42" s="667" t="s">
        <v>14</v>
      </c>
      <c r="W42" s="668">
        <f t="shared" si="12"/>
        <v>100</v>
      </c>
      <c r="X42" s="1264"/>
      <c r="Y42" s="3381"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1"/>
      <c r="Q43" s="1262">
        <f t="shared" si="14"/>
        <v>111</v>
      </c>
      <c r="R43" s="667" t="s">
        <v>14</v>
      </c>
      <c r="S43" s="668">
        <f t="shared" si="10"/>
        <v>100</v>
      </c>
      <c r="T43" s="667" t="s">
        <v>14</v>
      </c>
      <c r="U43" s="668">
        <f t="shared" si="11"/>
        <v>100</v>
      </c>
      <c r="V43" s="667" t="s">
        <v>14</v>
      </c>
      <c r="W43" s="668">
        <f t="shared" si="12"/>
        <v>100</v>
      </c>
      <c r="X43" s="1264"/>
      <c r="Y43" s="3381"/>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1"/>
      <c r="Q44" s="1262">
        <f t="shared" si="14"/>
        <v>111</v>
      </c>
      <c r="R44" s="667" t="s">
        <v>14</v>
      </c>
      <c r="S44" s="668">
        <f t="shared" si="10"/>
        <v>100</v>
      </c>
      <c r="T44" s="667" t="s">
        <v>14</v>
      </c>
      <c r="U44" s="668">
        <f t="shared" si="11"/>
        <v>100</v>
      </c>
      <c r="V44" s="667" t="s">
        <v>14</v>
      </c>
      <c r="W44" s="668">
        <f t="shared" si="12"/>
        <v>100</v>
      </c>
      <c r="X44" s="1264"/>
      <c r="Y44" s="3381"/>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1"/>
      <c r="Q45" s="1262">
        <f t="shared" si="14"/>
        <v>111</v>
      </c>
      <c r="R45" s="669" t="s">
        <v>14</v>
      </c>
      <c r="S45" s="670">
        <f t="shared" si="10"/>
        <v>100</v>
      </c>
      <c r="T45" s="669" t="s">
        <v>14</v>
      </c>
      <c r="U45" s="670">
        <f t="shared" si="11"/>
        <v>100</v>
      </c>
      <c r="V45" s="669" t="s">
        <v>14</v>
      </c>
      <c r="W45" s="670">
        <f t="shared" si="12"/>
        <v>100</v>
      </c>
      <c r="X45" s="671"/>
      <c r="Y45" s="3381"/>
      <c r="Z45" s="672">
        <f t="shared" si="13"/>
        <v>111</v>
      </c>
      <c r="AA45" s="1263">
        <f t="shared" si="3"/>
        <v>1</v>
      </c>
      <c r="AB45" s="1263">
        <f t="shared" si="4"/>
        <v>1</v>
      </c>
      <c r="AC45" s="1263">
        <f t="shared" si="5"/>
        <v>1</v>
      </c>
    </row>
    <row r="46" spans="1:29" ht="14.4">
      <c r="A46" s="416" t="s">
        <v>1844</v>
      </c>
      <c r="B46" s="1829" t="s">
        <v>1879</v>
      </c>
      <c r="C46" s="602" t="s">
        <v>0</v>
      </c>
      <c r="D46" s="418"/>
      <c r="E46" s="419">
        <f>土地案例!AW2</f>
        <v>22692</v>
      </c>
      <c r="F46" s="420"/>
      <c r="G46" s="421">
        <f>土地案例!AW3</f>
        <v>22811</v>
      </c>
      <c r="H46" s="422"/>
      <c r="I46" s="419">
        <f>土地案例!AW4</f>
        <v>20750</v>
      </c>
      <c r="J46" s="422"/>
      <c r="K46" s="674"/>
      <c r="L46" s="2494"/>
      <c r="M46" s="2487"/>
      <c r="N46" s="2487"/>
      <c r="O46" s="2487"/>
      <c r="P46" s="3377" t="str">
        <f>A46</f>
        <v>成交单价</v>
      </c>
      <c r="Q46" s="3377"/>
      <c r="R46" s="3382">
        <f>E46</f>
        <v>22692</v>
      </c>
      <c r="S46" s="3382"/>
      <c r="T46" s="3382">
        <f>G46</f>
        <v>22811</v>
      </c>
      <c r="U46" s="3382"/>
      <c r="V46" s="3382">
        <f>I46</f>
        <v>20750</v>
      </c>
      <c r="W46" s="3382"/>
      <c r="X46" s="385"/>
      <c r="Y46" s="673"/>
      <c r="Z46" s="385"/>
      <c r="AA46" s="385"/>
      <c r="AB46" s="385"/>
      <c r="AC46" s="385"/>
    </row>
    <row r="47" spans="1:29" ht="15" thickBot="1">
      <c r="A47" s="423" t="s">
        <v>1793</v>
      </c>
      <c r="B47" s="603"/>
      <c r="C47" s="426">
        <f>R48</f>
        <v>21631</v>
      </c>
      <c r="D47" s="2140" t="s">
        <v>2138</v>
      </c>
      <c r="E47" s="426">
        <f>R47</f>
        <v>22544</v>
      </c>
      <c r="F47" s="2141"/>
      <c r="G47" s="425">
        <f>T47</f>
        <v>22411</v>
      </c>
      <c r="H47" s="2141"/>
      <c r="I47" s="426">
        <f>V47</f>
        <v>19939</v>
      </c>
      <c r="J47" s="2141"/>
      <c r="K47" s="2143">
        <f>F47+H47+J47</f>
        <v>0</v>
      </c>
      <c r="L47" s="2494"/>
      <c r="M47" s="2487"/>
      <c r="N47" s="2487"/>
      <c r="O47" s="2487"/>
      <c r="P47" s="3377" t="str">
        <f>A47</f>
        <v>比较价值（元/平方米）</v>
      </c>
      <c r="Q47" s="3377"/>
      <c r="R47" s="3370">
        <f>ROUND(PRODUCT(R46,AA7:AA45),0)</f>
        <v>22544</v>
      </c>
      <c r="S47" s="3370"/>
      <c r="T47" s="3370">
        <f>ROUND(PRODUCT(T46,AB7:AB45),0)</f>
        <v>22411</v>
      </c>
      <c r="U47" s="3370"/>
      <c r="V47" s="3370">
        <f>ROUND(PRODUCT(V46,AC7:AC45),0)</f>
        <v>19939</v>
      </c>
      <c r="W47" s="3370"/>
      <c r="X47" s="385"/>
      <c r="Y47" s="385"/>
      <c r="Z47" s="385"/>
      <c r="AA47" s="385"/>
      <c r="AB47" s="385"/>
      <c r="AC47" s="385"/>
    </row>
    <row r="48" spans="1:29" ht="15" thickBot="1">
      <c r="A48" s="427" t="s">
        <v>1880</v>
      </c>
      <c r="B48" s="428"/>
      <c r="C48" s="429">
        <f>R48</f>
        <v>21631</v>
      </c>
      <c r="D48" s="429"/>
      <c r="E48" s="429"/>
      <c r="F48" s="429"/>
      <c r="G48" s="429"/>
      <c r="H48" s="429"/>
      <c r="I48" s="429"/>
      <c r="J48" s="429"/>
      <c r="K48" s="675"/>
      <c r="L48" s="2494"/>
      <c r="M48" s="2487"/>
      <c r="N48" s="2487"/>
      <c r="O48" s="2487"/>
      <c r="P48" s="3371" t="str">
        <f>A48</f>
        <v>估价对象XX用房的比较价值（楼面单价，元/平方米）</v>
      </c>
      <c r="Q48" s="3372"/>
      <c r="R48" s="3373">
        <f>ROUND(IF(D47="简单平均",AVERAGE(R47:W47),R47*F47+T47*H47+V47*J47),0)</f>
        <v>21631</v>
      </c>
      <c r="S48" s="3373"/>
      <c r="T48" s="3373"/>
      <c r="U48" s="3373"/>
      <c r="V48" s="3373"/>
      <c r="W48" s="337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f>IF(E46&lt;E47,E47/E46-1,E46/E47-1)</f>
        <v>6.5649396735272258E-3</v>
      </c>
      <c r="F51" s="435" t="str">
        <f>IF(OR(E51&gt;=0.3,E51&lt;=-0.3),"超过30%","")</f>
        <v/>
      </c>
      <c r="G51" s="434">
        <f>IF(G46&lt;G47,G47/G46-1,G46/G47-1)</f>
        <v>1.7848378028646694E-2</v>
      </c>
      <c r="H51" s="435" t="str">
        <f>IF(OR(G51&gt;=0.3,G51&lt;=-0.3),"超过30%","")</f>
        <v/>
      </c>
      <c r="I51" s="434">
        <f>IF(I46&lt;I47,I47/I46-1,I46/I47-1)</f>
        <v>4.0674055870404624E-2</v>
      </c>
      <c r="J51" s="435" t="str">
        <f>IF(OR(I51&gt;=0.3,I51&lt;=-0.3),"超过30%","")</f>
        <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f>IF(E47&lt;G47,G47/E47-1,E47/G47-1)</f>
        <v>5.9345856945249853E-3</v>
      </c>
      <c r="F52" s="435" t="str">
        <f>IF(OR(E52&gt;=0.2,E52&lt;=-0.2),"超过20%","")</f>
        <v/>
      </c>
      <c r="G52" s="434">
        <f>IF(G47&lt;I47,I47/G47-1,G47/I47-1)</f>
        <v>0.12397813330658503</v>
      </c>
      <c r="H52" s="435" t="str">
        <f>IF(OR(G52&gt;=0.2,G52&lt;=-0.2),"超过20%","")</f>
        <v/>
      </c>
      <c r="I52" s="434">
        <f>IF(I47&lt;E47,E47/I47-1,I47/E47-1)</f>
        <v>0.13064847785746525</v>
      </c>
      <c r="J52" s="435" t="str">
        <f>IF(OR(I52&gt;=0.2,I52&lt;=-0.2),"超过20%","")</f>
        <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f>IF(E46&lt;G46,G46/E46-1,E46/G46-1)</f>
        <v>5.2441389035784436E-3</v>
      </c>
      <c r="F53" s="435" t="str">
        <f>IF(OR(E53&gt;=0.3,E53&lt;=-0.3),"超过30%","")</f>
        <v/>
      </c>
      <c r="G53" s="434">
        <f>IF(G46&lt;I46,I46/G46-1,G46/I46-1)</f>
        <v>9.9325301204819194E-2</v>
      </c>
      <c r="H53" s="435" t="str">
        <f>IF(OR(G53&gt;=0.3,G53&lt;=-0.3),"超过30%","")</f>
        <v/>
      </c>
      <c r="I53" s="434">
        <f>IF(I46&lt;E46,E46/I46-1,I46/E46-1)</f>
        <v>9.3590361445783143E-2</v>
      </c>
      <c r="J53" s="435" t="str">
        <f>IF(OR(I53&gt;=0.3,I53&lt;=-0.3),"超过30%","")</f>
        <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74" t="s">
        <v>1887</v>
      </c>
      <c r="H55" s="3375"/>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f>C48</f>
        <v>21631</v>
      </c>
      <c r="C56" s="610">
        <v>1</v>
      </c>
      <c r="D56" s="890">
        <v>1</v>
      </c>
      <c r="E56" s="610">
        <f>'数据-汇总表'!E8+'数据-汇总表'!E9</f>
        <v>28883.19</v>
      </c>
      <c r="F56" s="833">
        <f t="shared" ref="F56:F64" si="15">ROUND(B56*E56/10000,0)</f>
        <v>62477</v>
      </c>
      <c r="G56" s="3376"/>
      <c r="H56" s="337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f>ROUND($C$48*C57*D57,0)</f>
        <v>3245</v>
      </c>
      <c r="C57" s="163">
        <f t="shared" ref="C57:C64" si="16">IF($C$55="北京市系数",I57,J57)</f>
        <v>0.6</v>
      </c>
      <c r="D57" s="891">
        <v>0.25</v>
      </c>
      <c r="E57" s="614">
        <f>'数据-基础表'!M13</f>
        <v>4597.07</v>
      </c>
      <c r="F57" s="833">
        <f t="shared" si="15"/>
        <v>1492</v>
      </c>
      <c r="G57" s="2750" t="s">
        <v>1892</v>
      </c>
      <c r="H57" s="834" t="str">
        <f>项目基本情况!B37</f>
        <v>三级</v>
      </c>
      <c r="I57" s="838">
        <f>SUMIF(修正!A57:A68,H57,修正!B57:B68)</f>
        <v>0.6</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f t="shared" ref="B58:B64" si="17">ROUND($C$48*C58*D58,0)</f>
        <v>1622</v>
      </c>
      <c r="C58" s="163">
        <f t="shared" si="16"/>
        <v>0.3</v>
      </c>
      <c r="D58" s="891">
        <v>0.25</v>
      </c>
      <c r="E58" s="614"/>
      <c r="F58" s="833">
        <f t="shared" si="15"/>
        <v>0</v>
      </c>
      <c r="G58" s="2751"/>
      <c r="H58" s="834" t="str">
        <f>项目基本情况!B37</f>
        <v>三级</v>
      </c>
      <c r="I58" s="838">
        <f>SUMIF(修正!A57:A68,H58,修正!C57:C68)</f>
        <v>0.3</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f t="shared" si="17"/>
        <v>1352</v>
      </c>
      <c r="C59" s="163">
        <f t="shared" si="16"/>
        <v>0.25</v>
      </c>
      <c r="D59" s="891">
        <v>0.25</v>
      </c>
      <c r="E59" s="614"/>
      <c r="F59" s="833">
        <f t="shared" si="15"/>
        <v>0</v>
      </c>
      <c r="G59" s="2751"/>
      <c r="H59" s="834" t="str">
        <f>项目基本情况!B37</f>
        <v>三级</v>
      </c>
      <c r="I59" s="838">
        <f>SUMIF(修正!A57:A68,H59,修正!D57:D68)</f>
        <v>0.25</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f t="shared" si="17"/>
        <v>1352</v>
      </c>
      <c r="C60" s="163">
        <f t="shared" si="16"/>
        <v>0.25</v>
      </c>
      <c r="D60" s="891">
        <v>0.25</v>
      </c>
      <c r="E60" s="209">
        <f>'数据-汇总表'!E11</f>
        <v>0</v>
      </c>
      <c r="F60" s="833">
        <f t="shared" si="15"/>
        <v>0</v>
      </c>
      <c r="G60" s="1834" t="s">
        <v>1896</v>
      </c>
      <c r="H60" s="834" t="str">
        <f>项目基本情况!C37</f>
        <v>三级</v>
      </c>
      <c r="I60" s="838">
        <f>SUMIF(修正!A57:A68,H60,修正!E57:E68)</f>
        <v>0.25</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f t="shared" si="17"/>
        <v>1352</v>
      </c>
      <c r="C61" s="163">
        <f t="shared" si="16"/>
        <v>0.25</v>
      </c>
      <c r="D61" s="891">
        <v>0.25</v>
      </c>
      <c r="E61" s="209">
        <f>'数据-汇总表'!E12</f>
        <v>0</v>
      </c>
      <c r="F61" s="833">
        <f t="shared" si="15"/>
        <v>0</v>
      </c>
      <c r="G61" s="839" t="s">
        <v>1898</v>
      </c>
      <c r="H61" s="834" t="str">
        <f>IF(G61="商业",项目基本情况!B37,IF(G61="办公",项目基本情况!C37,IF(G61="住宅",项目基本情况!D37,项目基本情况!E37)))</f>
        <v>三级</v>
      </c>
      <c r="I61" s="838">
        <f>SUMIF(修正!A57:A68,H61,修正!F57:F68)</f>
        <v>0.25</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f t="shared" si="17"/>
        <v>0</v>
      </c>
      <c r="C62" s="163">
        <f t="shared" si="16"/>
        <v>0</v>
      </c>
      <c r="D62" s="891">
        <v>0.25</v>
      </c>
      <c r="E62" s="209">
        <f>'数据-汇总表'!E13</f>
        <v>6564.97</v>
      </c>
      <c r="F62" s="833">
        <f t="shared" si="15"/>
        <v>0</v>
      </c>
      <c r="G62" s="839" t="s">
        <v>3585</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f t="shared" si="17"/>
        <v>811</v>
      </c>
      <c r="C63" s="163">
        <f t="shared" si="16"/>
        <v>0.15</v>
      </c>
      <c r="D63" s="891">
        <v>0.25</v>
      </c>
      <c r="E63" s="209">
        <f>'数据-汇总表'!E14</f>
        <v>0</v>
      </c>
      <c r="F63" s="833">
        <f t="shared" si="15"/>
        <v>0</v>
      </c>
      <c r="G63" s="1834" t="s">
        <v>1892</v>
      </c>
      <c r="H63" s="834" t="str">
        <f>项目基本情况!B37</f>
        <v>三级</v>
      </c>
      <c r="I63" s="838">
        <f>SUMIF(修正!A57:A68,H63,修正!G57:G68)</f>
        <v>0.15</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f t="shared" si="17"/>
        <v>811</v>
      </c>
      <c r="C64" s="163">
        <f t="shared" si="16"/>
        <v>0.15</v>
      </c>
      <c r="D64" s="891">
        <v>0.25</v>
      </c>
      <c r="E64" s="209">
        <f>'数据-汇总表'!E15</f>
        <v>0</v>
      </c>
      <c r="F64" s="833">
        <f t="shared" si="15"/>
        <v>0</v>
      </c>
      <c r="G64" s="1835" t="s">
        <v>1896</v>
      </c>
      <c r="H64" s="844" t="str">
        <f>项目基本情况!C37</f>
        <v>三级</v>
      </c>
      <c r="I64" s="840">
        <f>SUMIF(修正!A57:A68,H64,修正!G57:G68)</f>
        <v>0.15</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40045.229999999996</v>
      </c>
      <c r="F65" s="617">
        <f>IF(B46="楼面地价",SUM(F56:F64),ROUND(C48*E65/10000,0))</f>
        <v>63969</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2024-8-1</v>
      </c>
      <c r="D67" s="656">
        <f>EDATE(C67,-3)</f>
        <v>45413</v>
      </c>
      <c r="E67" s="656">
        <f>EDATE(D67,-3)</f>
        <v>45323</v>
      </c>
      <c r="F67" s="656">
        <f t="shared" ref="F67:O67" si="18">EDATE(E67,-3)</f>
        <v>45231</v>
      </c>
      <c r="G67" s="656">
        <f t="shared" si="18"/>
        <v>45139</v>
      </c>
      <c r="H67" s="656">
        <f t="shared" si="18"/>
        <v>45047</v>
      </c>
      <c r="I67" s="656">
        <f t="shared" si="18"/>
        <v>44958</v>
      </c>
      <c r="J67" s="656">
        <f t="shared" si="18"/>
        <v>44866</v>
      </c>
      <c r="K67" s="656">
        <f t="shared" si="18"/>
        <v>44774</v>
      </c>
      <c r="L67" s="656">
        <f t="shared" si="18"/>
        <v>44682</v>
      </c>
      <c r="M67" s="656">
        <f t="shared" si="18"/>
        <v>44593</v>
      </c>
      <c r="N67" s="656">
        <f t="shared" si="18"/>
        <v>44501</v>
      </c>
      <c r="O67" s="656">
        <f t="shared" si="18"/>
        <v>44409</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29" t="s">
        <v>1904</v>
      </c>
      <c r="B69" s="1046"/>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f>C70-0.2</f>
        <v>99.8</v>
      </c>
      <c r="E70" s="6">
        <f t="shared" ref="E70:O70" si="20">D70-0.2</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2508"/>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ht="14.4">
      <c r="A74" s="379" t="s">
        <v>1719</v>
      </c>
      <c r="B74" s="460" t="s">
        <v>1685</v>
      </c>
      <c r="C74" s="462" t="s">
        <v>3583</v>
      </c>
      <c r="D74" s="462" t="s">
        <v>3584</v>
      </c>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v>100</v>
      </c>
      <c r="D75" s="467">
        <v>95</v>
      </c>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v>0</v>
      </c>
      <c r="D79" s="480">
        <v>1</v>
      </c>
      <c r="E79" s="480">
        <v>2</v>
      </c>
      <c r="F79" s="480">
        <v>3</v>
      </c>
      <c r="G79" s="480">
        <v>4</v>
      </c>
      <c r="H79" s="480">
        <v>5</v>
      </c>
      <c r="I79" s="480">
        <v>6</v>
      </c>
      <c r="J79" s="480">
        <v>7</v>
      </c>
      <c r="K79" s="481">
        <v>8</v>
      </c>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2">IF($B$46="单位面积地价",C80+$K11,C80-$K11)</f>
        <v>97</v>
      </c>
      <c r="E80" s="475">
        <f t="shared" si="22"/>
        <v>94</v>
      </c>
      <c r="F80" s="475">
        <f t="shared" si="22"/>
        <v>91</v>
      </c>
      <c r="G80" s="475">
        <f t="shared" si="22"/>
        <v>88</v>
      </c>
      <c r="H80" s="475">
        <f t="shared" si="22"/>
        <v>85</v>
      </c>
      <c r="I80" s="475">
        <f t="shared" si="22"/>
        <v>82</v>
      </c>
      <c r="J80" s="475">
        <f t="shared" si="22"/>
        <v>79</v>
      </c>
      <c r="K80" s="475">
        <f t="shared" si="22"/>
        <v>76</v>
      </c>
      <c r="L80" s="475">
        <f t="shared" si="22"/>
        <v>73</v>
      </c>
      <c r="M80" s="475">
        <f t="shared" si="22"/>
        <v>70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97</v>
      </c>
      <c r="E92" s="475">
        <f>D92-$K19</f>
        <v>94</v>
      </c>
      <c r="F92" s="475">
        <f>E92-$K19</f>
        <v>91</v>
      </c>
      <c r="G92" s="475">
        <f>F92-$K19</f>
        <v>88</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97</v>
      </c>
      <c r="E94" s="475">
        <f>D94-$K21</f>
        <v>94</v>
      </c>
      <c r="F94" s="475">
        <f>E94-$K21</f>
        <v>91</v>
      </c>
      <c r="G94" s="475">
        <f>F94-$K21</f>
        <v>88</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97</v>
      </c>
      <c r="E98" s="475">
        <f>D98-$K25</f>
        <v>94</v>
      </c>
      <c r="F98" s="475">
        <f>E98-$K25</f>
        <v>91</v>
      </c>
      <c r="G98" s="475">
        <f>F98-$K25</f>
        <v>88</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97</v>
      </c>
      <c r="E100" s="475">
        <f>D100-$K27</f>
        <v>94</v>
      </c>
      <c r="F100" s="475">
        <f>E100-$K27</f>
        <v>91</v>
      </c>
      <c r="G100" s="475">
        <f>F100-$K27</f>
        <v>88</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99</v>
      </c>
      <c r="E102" s="475">
        <f>D102-$K29</f>
        <v>98</v>
      </c>
      <c r="F102" s="475">
        <f>E102-$K29</f>
        <v>97</v>
      </c>
      <c r="G102" s="475">
        <f>F102-$K29</f>
        <v>96</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3171" t="s">
        <v>3571</v>
      </c>
      <c r="D105" s="3171" t="s">
        <v>3573</v>
      </c>
      <c r="E105" s="3171" t="s">
        <v>3574</v>
      </c>
      <c r="F105" s="3171" t="s">
        <v>3576</v>
      </c>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C106-$K32</f>
        <v>98</v>
      </c>
      <c r="E106" s="475">
        <f t="shared" si="24"/>
        <v>96</v>
      </c>
      <c r="F106" s="475">
        <f t="shared" si="24"/>
        <v>94</v>
      </c>
      <c r="G106" s="475">
        <f t="shared" si="24"/>
        <v>92</v>
      </c>
      <c r="H106" s="475">
        <f t="shared" si="24"/>
        <v>90</v>
      </c>
      <c r="I106" s="475">
        <f t="shared" si="24"/>
        <v>88</v>
      </c>
      <c r="J106" s="475">
        <f t="shared" si="24"/>
        <v>86</v>
      </c>
      <c r="K106" s="475">
        <f t="shared" si="24"/>
        <v>84</v>
      </c>
      <c r="L106" s="475">
        <f t="shared" si="24"/>
        <v>82</v>
      </c>
      <c r="M106" s="475">
        <f t="shared" si="24"/>
        <v>80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27.6">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v>0</v>
      </c>
      <c r="D116" s="6">
        <v>10000</v>
      </c>
      <c r="E116" s="6">
        <v>30000</v>
      </c>
      <c r="F116" s="6">
        <v>50000</v>
      </c>
      <c r="G116" s="6">
        <v>70000</v>
      </c>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v>98</v>
      </c>
      <c r="D117" s="521">
        <v>99</v>
      </c>
      <c r="E117" s="521">
        <v>100</v>
      </c>
      <c r="F117" s="521">
        <v>99</v>
      </c>
      <c r="G117" s="521">
        <v>98</v>
      </c>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t="s">
        <v>3461</v>
      </c>
      <c r="D120" s="485" t="s">
        <v>3455</v>
      </c>
      <c r="E120" s="485" t="s">
        <v>3456</v>
      </c>
      <c r="F120" s="513" t="s">
        <v>3581</v>
      </c>
      <c r="G120" s="513" t="s">
        <v>3582</v>
      </c>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t="s">
        <v>3570</v>
      </c>
      <c r="D122" s="485" t="s">
        <v>3577</v>
      </c>
      <c r="E122" s="485" t="s">
        <v>3578</v>
      </c>
      <c r="F122" s="485" t="s">
        <v>3579</v>
      </c>
      <c r="G122" s="485" t="s">
        <v>3580</v>
      </c>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t="s">
        <v>3461</v>
      </c>
      <c r="D124" s="485" t="s">
        <v>3455</v>
      </c>
      <c r="E124" s="513" t="s">
        <v>3456</v>
      </c>
      <c r="F124" s="513" t="s">
        <v>3581</v>
      </c>
      <c r="G124" s="513" t="s">
        <v>3582</v>
      </c>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1" priority="13" stopIfTrue="1">
      <formula>$F$51="超过30%"</formula>
    </cfRule>
  </conditionalFormatting>
  <conditionalFormatting sqref="E52">
    <cfRule type="expression" dxfId="140" priority="11" stopIfTrue="1">
      <formula>$F$52="超过20%"</formula>
    </cfRule>
  </conditionalFormatting>
  <conditionalFormatting sqref="E53">
    <cfRule type="expression" dxfId="139" priority="10" stopIfTrue="1">
      <formula>$F$53="超过30%"</formula>
    </cfRule>
  </conditionalFormatting>
  <conditionalFormatting sqref="F7:F45 H7:H45 J7:J45">
    <cfRule type="cellIs" dxfId="138" priority="1" operator="notEqual">
      <formula>100</formula>
    </cfRule>
  </conditionalFormatting>
  <conditionalFormatting sqref="F47">
    <cfRule type="expression" dxfId="137" priority="4">
      <formula>$D$47="简单平均"</formula>
    </cfRule>
  </conditionalFormatting>
  <conditionalFormatting sqref="F51:F53 H51:H53 J51:J53">
    <cfRule type="containsText" dxfId="136" priority="14" stopIfTrue="1" operator="containsText" text="超过">
      <formula>NOT(ISERROR(SEARCH("超过",F51)))</formula>
    </cfRule>
  </conditionalFormatting>
  <conditionalFormatting sqref="G51">
    <cfRule type="expression" dxfId="135" priority="9" stopIfTrue="1">
      <formula>$H$53+$H$51="超过30%"</formula>
    </cfRule>
  </conditionalFormatting>
  <conditionalFormatting sqref="G52">
    <cfRule type="expression" dxfId="134" priority="8" stopIfTrue="1">
      <formula>$H$52="超过20%"</formula>
    </cfRule>
  </conditionalFormatting>
  <conditionalFormatting sqref="G53">
    <cfRule type="expression" dxfId="133" priority="12" stopIfTrue="1">
      <formula>$H$53="超过30%"</formula>
    </cfRule>
  </conditionalFormatting>
  <conditionalFormatting sqref="H47">
    <cfRule type="expression" dxfId="132" priority="3">
      <formula>$D$47="简单平均"</formula>
    </cfRule>
  </conditionalFormatting>
  <conditionalFormatting sqref="I51">
    <cfRule type="expression" dxfId="131" priority="7" stopIfTrue="1">
      <formula>$J$51="超过30%"</formula>
    </cfRule>
  </conditionalFormatting>
  <conditionalFormatting sqref="I52">
    <cfRule type="expression" dxfId="130" priority="6" stopIfTrue="1">
      <formula>$J$52="超过20%"</formula>
    </cfRule>
  </conditionalFormatting>
  <conditionalFormatting sqref="I53">
    <cfRule type="expression" dxfId="129" priority="5" stopIfTrue="1">
      <formula>$J$53="超过30%"</formula>
    </cfRule>
  </conditionalFormatting>
  <conditionalFormatting sqref="J47">
    <cfRule type="expression" dxfId="128"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4"/>
  <sheetViews>
    <sheetView workbookViewId="0">
      <selection activeCell="R3" sqref="R3"/>
    </sheetView>
  </sheetViews>
  <sheetFormatPr defaultColWidth="9" defaultRowHeight="13.2"/>
  <cols>
    <col min="1" max="1" width="9" style="3170"/>
    <col min="2" max="8" width="0" style="3170" hidden="1" customWidth="1"/>
    <col min="9" max="10" width="9.109375" style="3170" bestFit="1" customWidth="1"/>
    <col min="11" max="14" width="0" style="3170" hidden="1" customWidth="1"/>
    <col min="15" max="18" width="9" style="3170"/>
    <col min="19" max="19" width="9.109375" style="3170" bestFit="1" customWidth="1"/>
    <col min="20" max="20" width="9.109375" style="3170" hidden="1" customWidth="1"/>
    <col min="21" max="29" width="0" style="3170" hidden="1" customWidth="1"/>
    <col min="30" max="32" width="11.6640625" style="3170" hidden="1" customWidth="1"/>
    <col min="33" max="33" width="11.6640625" style="3170" bestFit="1" customWidth="1"/>
    <col min="34" max="36" width="9" style="3170"/>
    <col min="37" max="39" width="0" style="3170" hidden="1" customWidth="1"/>
    <col min="40" max="41" width="9.109375" style="3170" hidden="1" customWidth="1"/>
    <col min="42" max="42" width="0" style="3170" hidden="1" customWidth="1"/>
    <col min="43" max="43" width="9.109375" style="3170" bestFit="1" customWidth="1"/>
    <col min="44" max="48" width="9.109375" style="3170" hidden="1" customWidth="1"/>
    <col min="49" max="49" width="9.109375" style="3170" bestFit="1" customWidth="1"/>
    <col min="50" max="51" width="0" style="3170" hidden="1" customWidth="1"/>
    <col min="52" max="52" width="9.109375" style="3170" bestFit="1" customWidth="1"/>
    <col min="53" max="54" width="9" style="3170"/>
    <col min="55" max="55" width="9.109375" style="3170" bestFit="1" customWidth="1"/>
    <col min="56" max="16384" width="9" style="3170"/>
  </cols>
  <sheetData>
    <row r="1" spans="1:61" s="3168" customFormat="1" ht="15">
      <c r="A1" s="3168" t="s">
        <v>3469</v>
      </c>
      <c r="B1" s="3168" t="s">
        <v>3470</v>
      </c>
      <c r="C1" s="3168" t="s">
        <v>3471</v>
      </c>
      <c r="D1" s="3168" t="s">
        <v>3472</v>
      </c>
      <c r="E1" s="3168" t="s">
        <v>3473</v>
      </c>
      <c r="F1" s="3168" t="s">
        <v>3474</v>
      </c>
      <c r="G1" s="3168" t="s">
        <v>3475</v>
      </c>
      <c r="H1" s="3168" t="s">
        <v>3476</v>
      </c>
      <c r="I1" s="3168" t="s">
        <v>3477</v>
      </c>
      <c r="J1" s="3168" t="s">
        <v>3478</v>
      </c>
      <c r="K1" s="3168" t="s">
        <v>3479</v>
      </c>
      <c r="L1" s="3168" t="s">
        <v>3480</v>
      </c>
      <c r="M1" s="3168" t="s">
        <v>3481</v>
      </c>
      <c r="N1" s="3168" t="s">
        <v>3482</v>
      </c>
      <c r="O1" s="3168" t="s">
        <v>3483</v>
      </c>
      <c r="P1" s="3168" t="s">
        <v>3484</v>
      </c>
      <c r="Q1" s="3168" t="s">
        <v>3485</v>
      </c>
      <c r="R1" s="3168" t="s">
        <v>3486</v>
      </c>
      <c r="S1" s="3168" t="s">
        <v>3487</v>
      </c>
      <c r="T1" s="3168" t="s">
        <v>3488</v>
      </c>
      <c r="U1" s="3168" t="s">
        <v>3489</v>
      </c>
      <c r="V1" s="3168" t="s">
        <v>3490</v>
      </c>
      <c r="W1" s="3168" t="s">
        <v>3491</v>
      </c>
      <c r="X1" s="3168" t="s">
        <v>3492</v>
      </c>
      <c r="Y1" s="3168" t="s">
        <v>3493</v>
      </c>
      <c r="Z1" s="3168" t="s">
        <v>3494</v>
      </c>
      <c r="AA1" s="3168" t="s">
        <v>3495</v>
      </c>
      <c r="AB1" s="3168" t="s">
        <v>3496</v>
      </c>
      <c r="AC1" s="3168" t="s">
        <v>3497</v>
      </c>
      <c r="AD1" s="3168" t="s">
        <v>3498</v>
      </c>
      <c r="AE1" s="3168" t="s">
        <v>3499</v>
      </c>
      <c r="AF1" s="3168" t="s">
        <v>3500</v>
      </c>
      <c r="AG1" s="3168" t="s">
        <v>3501</v>
      </c>
      <c r="AH1" s="3168" t="s">
        <v>3502</v>
      </c>
      <c r="AI1" s="3168" t="s">
        <v>3503</v>
      </c>
      <c r="AJ1" s="3168" t="s">
        <v>3504</v>
      </c>
      <c r="AK1" s="3168" t="s">
        <v>3505</v>
      </c>
      <c r="AL1" s="3168" t="s">
        <v>3506</v>
      </c>
      <c r="AM1" s="3168" t="s">
        <v>3507</v>
      </c>
      <c r="AN1" s="3168" t="s">
        <v>3508</v>
      </c>
      <c r="AO1" s="3168" t="s">
        <v>3509</v>
      </c>
      <c r="AP1" s="3168" t="s">
        <v>3510</v>
      </c>
      <c r="AQ1" s="3168" t="s">
        <v>3511</v>
      </c>
      <c r="AR1" s="3168" t="s">
        <v>3512</v>
      </c>
      <c r="AS1" s="3168" t="s">
        <v>3513</v>
      </c>
      <c r="AT1" s="3168" t="s">
        <v>3514</v>
      </c>
      <c r="AU1" s="3168" t="s">
        <v>3515</v>
      </c>
      <c r="AV1" s="3168" t="s">
        <v>3516</v>
      </c>
      <c r="AW1" s="3168" t="s">
        <v>3517</v>
      </c>
      <c r="AX1" s="3168" t="s">
        <v>3518</v>
      </c>
      <c r="AY1" s="3168" t="s">
        <v>3519</v>
      </c>
      <c r="AZ1" s="3168" t="s">
        <v>3520</v>
      </c>
      <c r="BA1" s="3168" t="s">
        <v>3521</v>
      </c>
      <c r="BB1" s="3168" t="s">
        <v>3522</v>
      </c>
      <c r="BC1" s="3168" t="s">
        <v>3523</v>
      </c>
      <c r="BD1" s="3168" t="s">
        <v>3524</v>
      </c>
      <c r="BE1" s="3168" t="s">
        <v>3525</v>
      </c>
      <c r="BF1" s="3168" t="s">
        <v>3526</v>
      </c>
      <c r="BG1" s="3168" t="s">
        <v>3527</v>
      </c>
      <c r="BH1" s="3168" t="s">
        <v>3528</v>
      </c>
      <c r="BI1" s="3168" t="s">
        <v>3529</v>
      </c>
    </row>
    <row r="2" spans="1:61" s="3168" customFormat="1" ht="15">
      <c r="A2" s="3168" t="s">
        <v>3530</v>
      </c>
      <c r="B2" s="3168" t="s">
        <v>3531</v>
      </c>
      <c r="C2" s="3168" t="s">
        <v>3532</v>
      </c>
      <c r="D2" s="3168" t="s">
        <v>3533</v>
      </c>
      <c r="E2" s="3168" t="s">
        <v>3534</v>
      </c>
      <c r="F2" s="3168" t="s">
        <v>3535</v>
      </c>
      <c r="G2" s="3168" t="s">
        <v>3536</v>
      </c>
      <c r="H2" s="3168" t="s">
        <v>3537</v>
      </c>
      <c r="I2" s="3168">
        <v>7467</v>
      </c>
      <c r="J2" s="3168">
        <v>52000</v>
      </c>
      <c r="K2" s="3168" t="s">
        <v>3463</v>
      </c>
      <c r="L2" s="3168" t="s">
        <v>3463</v>
      </c>
      <c r="M2" s="3168">
        <v>0</v>
      </c>
      <c r="N2" s="3168">
        <v>0</v>
      </c>
      <c r="O2" s="3168" t="s">
        <v>3538</v>
      </c>
      <c r="P2" s="3168" t="s">
        <v>3539</v>
      </c>
      <c r="Q2" s="3168" t="s">
        <v>3540</v>
      </c>
      <c r="R2" s="3168" t="s">
        <v>3541</v>
      </c>
      <c r="S2" s="3168" t="s">
        <v>3542</v>
      </c>
      <c r="T2" s="3168">
        <v>7</v>
      </c>
      <c r="U2" s="3168" t="s">
        <v>3463</v>
      </c>
      <c r="V2" s="3168" t="s">
        <v>3463</v>
      </c>
      <c r="W2" s="3168">
        <v>90</v>
      </c>
      <c r="X2" s="3168" t="s">
        <v>3543</v>
      </c>
      <c r="Y2" s="3168" t="s">
        <v>3464</v>
      </c>
      <c r="Z2" s="3168" t="s">
        <v>3463</v>
      </c>
      <c r="AA2" s="3168" t="s">
        <v>3463</v>
      </c>
      <c r="AB2" s="3168" t="s">
        <v>3463</v>
      </c>
      <c r="AC2" s="3168" t="s">
        <v>3463</v>
      </c>
      <c r="AD2" s="3169">
        <v>45254.000497685185</v>
      </c>
      <c r="AE2" s="3169">
        <v>45274.000497685185</v>
      </c>
      <c r="AF2" s="3169">
        <v>45288.000497685185</v>
      </c>
      <c r="AG2" s="3169">
        <v>45288.000497685185</v>
      </c>
      <c r="AH2" s="3168" t="s">
        <v>3544</v>
      </c>
      <c r="AI2" s="3168" t="s">
        <v>3545</v>
      </c>
      <c r="AJ2" s="3168" t="s">
        <v>3546</v>
      </c>
      <c r="AK2" s="3168" t="s">
        <v>3547</v>
      </c>
      <c r="AL2" s="3168" t="s">
        <v>3548</v>
      </c>
      <c r="AM2" s="3168" t="s">
        <v>3463</v>
      </c>
      <c r="AN2" s="3168">
        <v>118000</v>
      </c>
      <c r="AO2" s="3168">
        <v>24000</v>
      </c>
      <c r="AP2" s="3168" t="s">
        <v>3465</v>
      </c>
      <c r="AQ2" s="3168">
        <v>118000</v>
      </c>
      <c r="AR2" s="3168">
        <v>158028.66</v>
      </c>
      <c r="AS2" s="3168">
        <v>158028.66</v>
      </c>
      <c r="AT2" s="3168">
        <v>10535.24</v>
      </c>
      <c r="AU2" s="3168">
        <v>10535.24</v>
      </c>
      <c r="AV2" s="3168">
        <v>22692</v>
      </c>
      <c r="AW2" s="3168">
        <v>22692</v>
      </c>
      <c r="AX2" s="3168" t="s">
        <v>3463</v>
      </c>
      <c r="AY2" s="3168" t="s">
        <v>3463</v>
      </c>
      <c r="AZ2" s="3168">
        <v>0</v>
      </c>
      <c r="BA2" s="3168" t="s">
        <v>3463</v>
      </c>
      <c r="BB2" s="3168" t="s">
        <v>3463</v>
      </c>
      <c r="BC2" s="3168" t="s">
        <v>3463</v>
      </c>
      <c r="BD2" s="3168" t="s">
        <v>3463</v>
      </c>
      <c r="BE2" s="3168" t="s">
        <v>3463</v>
      </c>
      <c r="BF2" s="3168" t="s">
        <v>3463</v>
      </c>
      <c r="BG2" s="3168" t="s">
        <v>3463</v>
      </c>
      <c r="BH2" s="3168" t="s">
        <v>3549</v>
      </c>
      <c r="BI2" s="3168" t="s">
        <v>3466</v>
      </c>
    </row>
    <row r="3" spans="1:61" s="3168" customFormat="1" ht="15">
      <c r="A3" s="3168" t="s">
        <v>3550</v>
      </c>
      <c r="B3" s="3168" t="s">
        <v>3531</v>
      </c>
      <c r="C3" s="3168" t="s">
        <v>3532</v>
      </c>
      <c r="D3" s="3168" t="s">
        <v>3533</v>
      </c>
      <c r="E3" s="3168" t="s">
        <v>3534</v>
      </c>
      <c r="F3" s="3168" t="s">
        <v>3551</v>
      </c>
      <c r="G3" s="3168" t="s">
        <v>3552</v>
      </c>
      <c r="H3" s="3168" t="s">
        <v>3537</v>
      </c>
      <c r="I3" s="3168">
        <v>67829.210000000006</v>
      </c>
      <c r="J3" s="3168">
        <v>298100</v>
      </c>
      <c r="K3" s="3168" t="s">
        <v>3463</v>
      </c>
      <c r="L3" s="3168" t="s">
        <v>3463</v>
      </c>
      <c r="M3" s="3168">
        <v>0</v>
      </c>
      <c r="N3" s="3168">
        <v>0</v>
      </c>
      <c r="O3" s="3168" t="s">
        <v>3538</v>
      </c>
      <c r="P3" s="3168" t="s">
        <v>3553</v>
      </c>
      <c r="Q3" s="3168" t="s">
        <v>3554</v>
      </c>
      <c r="R3" s="3168" t="s">
        <v>3555</v>
      </c>
      <c r="S3" s="3168">
        <v>4.4000000000000004</v>
      </c>
      <c r="T3" s="3168">
        <v>4.4000000000000004</v>
      </c>
      <c r="U3" s="3168" t="s">
        <v>3463</v>
      </c>
      <c r="V3" s="3168" t="s">
        <v>3463</v>
      </c>
      <c r="W3" s="3168" t="s">
        <v>3463</v>
      </c>
      <c r="X3" s="3168" t="s">
        <v>3543</v>
      </c>
      <c r="Y3" s="3168" t="s">
        <v>3464</v>
      </c>
      <c r="Z3" s="3168" t="s">
        <v>3463</v>
      </c>
      <c r="AA3" s="3168" t="s">
        <v>3463</v>
      </c>
      <c r="AB3" s="3168" t="s">
        <v>3463</v>
      </c>
      <c r="AC3" s="3168" t="s">
        <v>3463</v>
      </c>
      <c r="AD3" s="3169">
        <v>45056.000497685185</v>
      </c>
      <c r="AE3" s="3169">
        <v>45076.000497685185</v>
      </c>
      <c r="AF3" s="3169">
        <v>45090.000497685185</v>
      </c>
      <c r="AG3" s="3169">
        <v>45090.000497685185</v>
      </c>
      <c r="AH3" s="3168" t="s">
        <v>3544</v>
      </c>
      <c r="AI3" s="3168" t="s">
        <v>3545</v>
      </c>
      <c r="AJ3" s="3168" t="s">
        <v>3556</v>
      </c>
      <c r="AK3" s="3168" t="s">
        <v>3557</v>
      </c>
      <c r="AL3" s="3168" t="s">
        <v>3558</v>
      </c>
      <c r="AM3" s="3168" t="s">
        <v>3559</v>
      </c>
      <c r="AN3" s="3168">
        <v>680000</v>
      </c>
      <c r="AO3" s="3168">
        <v>136000</v>
      </c>
      <c r="AP3" s="3168" t="s">
        <v>3467</v>
      </c>
      <c r="AQ3" s="3168">
        <v>680000</v>
      </c>
      <c r="AR3" s="3168">
        <v>100251.8</v>
      </c>
      <c r="AS3" s="3168">
        <v>100251.8</v>
      </c>
      <c r="AT3" s="3168">
        <v>6683.45</v>
      </c>
      <c r="AU3" s="3168">
        <v>6683.45</v>
      </c>
      <c r="AV3" s="3168">
        <v>22811</v>
      </c>
      <c r="AW3" s="3168">
        <v>22811</v>
      </c>
      <c r="AX3" s="3168" t="s">
        <v>3463</v>
      </c>
      <c r="AY3" s="3168" t="s">
        <v>3463</v>
      </c>
      <c r="AZ3" s="3168">
        <v>0</v>
      </c>
      <c r="BA3" s="3168" t="s">
        <v>3463</v>
      </c>
      <c r="BB3" s="3168" t="s">
        <v>3463</v>
      </c>
      <c r="BC3" s="3168" t="s">
        <v>3463</v>
      </c>
      <c r="BD3" s="3168" t="s">
        <v>3463</v>
      </c>
      <c r="BE3" s="3168" t="s">
        <v>3463</v>
      </c>
      <c r="BF3" s="3168" t="s">
        <v>3463</v>
      </c>
      <c r="BG3" s="3168" t="s">
        <v>3463</v>
      </c>
      <c r="BH3" s="3168" t="s">
        <v>3549</v>
      </c>
      <c r="BI3" s="3168" t="s">
        <v>3466</v>
      </c>
    </row>
    <row r="4" spans="1:61" s="3168" customFormat="1" ht="15">
      <c r="A4" s="3168" t="s">
        <v>3560</v>
      </c>
      <c r="B4" s="3168" t="s">
        <v>3531</v>
      </c>
      <c r="C4" s="3168" t="s">
        <v>3532</v>
      </c>
      <c r="D4" s="3168" t="s">
        <v>3533</v>
      </c>
      <c r="E4" s="3168" t="s">
        <v>3534</v>
      </c>
      <c r="F4" s="3168" t="s">
        <v>3561</v>
      </c>
      <c r="G4" s="3168" t="s">
        <v>3562</v>
      </c>
      <c r="H4" s="3168" t="s">
        <v>3537</v>
      </c>
      <c r="I4" s="3168">
        <v>12629.88</v>
      </c>
      <c r="J4" s="3168">
        <v>80000</v>
      </c>
      <c r="K4" s="3168" t="s">
        <v>3463</v>
      </c>
      <c r="L4" s="3168" t="s">
        <v>3463</v>
      </c>
      <c r="M4" s="3168">
        <v>0</v>
      </c>
      <c r="N4" s="3168">
        <v>0</v>
      </c>
      <c r="O4" s="3168" t="s">
        <v>3538</v>
      </c>
      <c r="P4" s="3168" t="s">
        <v>3539</v>
      </c>
      <c r="Q4" s="3168" t="s">
        <v>3563</v>
      </c>
      <c r="R4" s="3168" t="s">
        <v>3555</v>
      </c>
      <c r="S4" s="3168" t="s">
        <v>3564</v>
      </c>
      <c r="T4" s="3168">
        <v>6.33</v>
      </c>
      <c r="U4" s="3168" t="s">
        <v>3463</v>
      </c>
      <c r="V4" s="3168">
        <v>0.4</v>
      </c>
      <c r="W4" s="3168" t="s">
        <v>3463</v>
      </c>
      <c r="X4" s="3168" t="s">
        <v>3543</v>
      </c>
      <c r="Y4" s="3168" t="s">
        <v>3464</v>
      </c>
      <c r="Z4" s="3168" t="s">
        <v>3463</v>
      </c>
      <c r="AA4" s="3168" t="s">
        <v>3463</v>
      </c>
      <c r="AB4" s="3168" t="s">
        <v>3463</v>
      </c>
      <c r="AC4" s="3168" t="s">
        <v>3463</v>
      </c>
      <c r="AD4" s="3169">
        <v>44764.000497685185</v>
      </c>
      <c r="AE4" s="3169">
        <v>44784.000497685185</v>
      </c>
      <c r="AF4" s="3169">
        <v>44798.000497685185</v>
      </c>
      <c r="AG4" s="3169">
        <v>44798.000497685185</v>
      </c>
      <c r="AH4" s="3168" t="s">
        <v>3544</v>
      </c>
      <c r="AI4" s="3168" t="s">
        <v>3545</v>
      </c>
      <c r="AJ4" s="3168" t="s">
        <v>3565</v>
      </c>
      <c r="AK4" s="3168" t="s">
        <v>3566</v>
      </c>
      <c r="AL4" s="3168" t="s">
        <v>3567</v>
      </c>
      <c r="AM4" s="3168" t="s">
        <v>3568</v>
      </c>
      <c r="AN4" s="3168">
        <v>166000</v>
      </c>
      <c r="AO4" s="3168">
        <v>34000</v>
      </c>
      <c r="AP4" s="3168" t="s">
        <v>3468</v>
      </c>
      <c r="AQ4" s="3168">
        <v>166000</v>
      </c>
      <c r="AR4" s="3168">
        <v>131434.34</v>
      </c>
      <c r="AS4" s="3168">
        <v>131434.34</v>
      </c>
      <c r="AT4" s="3168">
        <v>8762.2900000000009</v>
      </c>
      <c r="AU4" s="3168">
        <v>8762.2900000000009</v>
      </c>
      <c r="AV4" s="3168">
        <v>20750</v>
      </c>
      <c r="AW4" s="3168">
        <v>20750</v>
      </c>
      <c r="AX4" s="3168" t="s">
        <v>3463</v>
      </c>
      <c r="AY4" s="3168" t="s">
        <v>3463</v>
      </c>
      <c r="AZ4" s="3168">
        <v>0</v>
      </c>
      <c r="BA4" s="3168" t="s">
        <v>3463</v>
      </c>
      <c r="BB4" s="3168" t="s">
        <v>3463</v>
      </c>
      <c r="BC4" s="3168">
        <v>0</v>
      </c>
      <c r="BD4" s="3168" t="s">
        <v>3463</v>
      </c>
      <c r="BE4" s="3168" t="s">
        <v>3463</v>
      </c>
      <c r="BF4" s="3168" t="s">
        <v>3463</v>
      </c>
      <c r="BG4" s="3168" t="s">
        <v>3463</v>
      </c>
      <c r="BH4" s="3168" t="s">
        <v>3549</v>
      </c>
      <c r="BI4" s="3168" t="s">
        <v>3466</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I16" sqref="I16"/>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9"/>
      <c r="G1" s="459"/>
      <c r="H1" s="459"/>
      <c r="I1" s="459"/>
      <c r="J1" s="459"/>
      <c r="K1" s="459"/>
      <c r="L1" s="459"/>
      <c r="M1" s="459"/>
      <c r="N1" s="459"/>
      <c r="O1" s="459"/>
      <c r="P1" s="459"/>
      <c r="Q1" s="459"/>
      <c r="R1" s="459"/>
      <c r="S1" s="459"/>
    </row>
    <row r="2" spans="1:22" ht="15.6">
      <c r="A2" s="1727" t="s">
        <v>1462</v>
      </c>
      <c r="B2" s="811">
        <f ca="1">SUMIF(B6:B13,"&lt;&gt;#ref!",B6:B13)</f>
        <v>100036</v>
      </c>
      <c r="C2" s="1728" t="s">
        <v>1651</v>
      </c>
      <c r="D2" s="1729" t="s">
        <v>1652</v>
      </c>
      <c r="E2" s="2392">
        <f>SUM(E6:E13)</f>
        <v>40045.229999999996</v>
      </c>
      <c r="F2" s="2479"/>
      <c r="G2" s="459"/>
      <c r="H2" s="459"/>
      <c r="I2" s="459"/>
      <c r="J2" s="459"/>
      <c r="K2" s="459"/>
      <c r="L2" s="459"/>
      <c r="M2" s="459"/>
      <c r="N2" s="459"/>
      <c r="O2" s="459"/>
      <c r="P2" s="459"/>
      <c r="Q2" s="459"/>
      <c r="R2" s="459"/>
      <c r="S2" s="459"/>
    </row>
    <row r="3" spans="1:22" ht="15.6">
      <c r="A3" s="1727" t="s">
        <v>686</v>
      </c>
      <c r="B3" s="2386">
        <f ca="1">ROUND(B2*10000/E2,0)</f>
        <v>24981</v>
      </c>
      <c r="C3" s="1728"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8" t="s">
        <v>1653</v>
      </c>
      <c r="B5" s="3412" t="s">
        <v>1654</v>
      </c>
      <c r="C5" s="3413"/>
      <c r="D5" s="2480"/>
      <c r="E5" s="1730" t="s">
        <v>1655</v>
      </c>
      <c r="F5" s="129" t="s">
        <v>1656</v>
      </c>
      <c r="G5" s="459"/>
      <c r="H5" s="459"/>
      <c r="I5" s="459"/>
      <c r="J5" s="459"/>
      <c r="K5" s="459"/>
      <c r="L5" s="459"/>
      <c r="M5" s="459"/>
      <c r="N5" s="459"/>
      <c r="O5" s="459"/>
      <c r="P5" s="459"/>
      <c r="Q5" s="459"/>
      <c r="R5" s="459"/>
      <c r="S5" s="459"/>
    </row>
    <row r="6" spans="1:22" ht="14.4">
      <c r="A6" s="2389" t="str">
        <f>'数据-取费表'!AN6</f>
        <v>收益法</v>
      </c>
      <c r="B6" s="2387">
        <f ca="1">IF(F6="是",'数据-取费表'!AO6,0)</f>
        <v>13392</v>
      </c>
      <c r="C6" s="1728" t="s">
        <v>1651</v>
      </c>
      <c r="D6" s="2479"/>
      <c r="E6" s="2391">
        <f>IF(OR(A6=0,F6="否"),0,'数据-取费表'!K6+'数据-取费表'!S6)</f>
        <v>6927.16</v>
      </c>
      <c r="F6" s="1731" t="s">
        <v>1657</v>
      </c>
      <c r="G6" s="459"/>
      <c r="H6" s="459"/>
      <c r="I6" s="459"/>
      <c r="J6" s="459"/>
      <c r="K6" s="459"/>
      <c r="L6" s="459"/>
      <c r="M6" s="459"/>
      <c r="N6" s="459"/>
      <c r="O6" s="459"/>
      <c r="P6" s="459"/>
      <c r="Q6" s="459"/>
      <c r="R6" s="459"/>
      <c r="S6" s="459"/>
    </row>
    <row r="7" spans="1:22" ht="14.4">
      <c r="A7" s="2389" t="str">
        <f>'数据-取费表'!AN7</f>
        <v>收益法办</v>
      </c>
      <c r="B7" s="2387">
        <f ca="1">IF(F7="是",'数据-取费表'!AO7,0)</f>
        <v>82231</v>
      </c>
      <c r="C7" s="1728" t="s">
        <v>1651</v>
      </c>
      <c r="D7" s="2479"/>
      <c r="E7" s="2391">
        <f>IF(OR(A7=0,F7="否"),0,'数据-取费表'!K7+'数据-取费表'!S7)</f>
        <v>26553.1</v>
      </c>
      <c r="F7" s="1731" t="s">
        <v>1657</v>
      </c>
      <c r="G7" s="459"/>
      <c r="H7" s="459"/>
      <c r="I7" s="459"/>
      <c r="J7" s="459"/>
      <c r="K7" s="459"/>
      <c r="L7" s="459"/>
      <c r="M7" s="459"/>
      <c r="N7" s="459"/>
      <c r="O7" s="459"/>
      <c r="P7" s="459"/>
      <c r="Q7" s="459"/>
      <c r="R7" s="459"/>
      <c r="S7" s="459"/>
    </row>
    <row r="8" spans="1:22" ht="14.4">
      <c r="A8" s="2389" t="str">
        <f>'数据-取费表'!AN8</f>
        <v>收益法车</v>
      </c>
      <c r="B8" s="2387">
        <f ca="1">IF(F8="是",'数据-取费表'!AO8,0)</f>
        <v>4413</v>
      </c>
      <c r="C8" s="1728" t="s">
        <v>1651</v>
      </c>
      <c r="D8" s="2479"/>
      <c r="E8" s="2391">
        <f>IF(OR(A8=0,F8="否"),0,'数据-取费表'!K8+'数据-取费表'!S8)</f>
        <v>6564.97</v>
      </c>
      <c r="F8" s="1731"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85" zoomScaleNormal="70" zoomScaleSheetLayoutView="85" workbookViewId="0">
      <selection activeCell="C6" sqref="C6"/>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2">
        <f>MATCH(B1,'数据-取费表'!A6:A16,0)+5</f>
        <v>9</v>
      </c>
    </row>
    <row r="2" spans="1:9" s="192" customFormat="1" ht="18" customHeight="1">
      <c r="A2" s="193" t="s">
        <v>1462</v>
      </c>
      <c r="B2" s="194">
        <f ca="1">IF(D2="——",C52,C52-E2)</f>
        <v>115524</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28848</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66721</v>
      </c>
      <c r="D5" s="203" t="s">
        <v>1469</v>
      </c>
      <c r="E5" s="204" t="s">
        <v>1470</v>
      </c>
      <c r="F5" s="204" t="s">
        <v>1471</v>
      </c>
      <c r="G5" s="205"/>
    </row>
    <row r="6" spans="1:9" s="206" customFormat="1" ht="13.5" customHeight="1">
      <c r="A6" s="732" t="s">
        <v>1472</v>
      </c>
      <c r="B6" s="207" t="s">
        <v>1473</v>
      </c>
      <c r="C6" s="208">
        <f>'土地比较法-住宅、综合'!F65</f>
        <v>63969</v>
      </c>
      <c r="D6" s="209"/>
      <c r="E6" s="210"/>
      <c r="F6" s="210"/>
      <c r="G6" s="211"/>
    </row>
    <row r="7" spans="1:9" s="206" customFormat="1" ht="13.5" customHeight="1">
      <c r="A7" s="732" t="s">
        <v>1474</v>
      </c>
      <c r="B7" s="207" t="s">
        <v>1475</v>
      </c>
      <c r="C7" s="212">
        <f>ROUND(C6*F7,0)</f>
        <v>1951</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801</v>
      </c>
      <c r="D8" s="214"/>
      <c r="E8" s="212"/>
      <c r="F8" s="213"/>
      <c r="G8" s="1713" t="s">
        <v>3457</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t="s">
        <v>3458</v>
      </c>
      <c r="H9" s="1070"/>
      <c r="I9" s="1715" t="s">
        <v>1479</v>
      </c>
    </row>
    <row r="10" spans="1:9" s="206" customFormat="1" ht="13.5" customHeight="1">
      <c r="A10" s="733" t="s">
        <v>356</v>
      </c>
      <c r="B10" s="216" t="s">
        <v>1480</v>
      </c>
      <c r="C10" s="217">
        <f ca="1">ROUND(D10*E10/10000,0)</f>
        <v>801</v>
      </c>
      <c r="D10" s="795">
        <f ca="1">IF(B1="",'数据-汇总表'!E6,IF(INDIRECT("'数据-取费表'!c"&amp;$G$1)="住宅",INDIRECT("'数据-取费表'!s"&amp;$G$1),INDIRECT("'数据-取费表'!k"&amp;$G$1)+INDIRECT("'数据-取费表'!s"&amp;$G$1)))</f>
        <v>40045.229999999996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40045.229999999996</v>
      </c>
      <c r="E19" s="203">
        <f>'数据-取费表'!B31</f>
        <v>200</v>
      </c>
      <c r="F19" s="223"/>
      <c r="G19" s="1713" t="s">
        <v>3459</v>
      </c>
    </row>
    <row r="20" spans="1:7" s="206" customFormat="1" ht="13.5" customHeight="1">
      <c r="A20" s="247" t="s">
        <v>1493</v>
      </c>
      <c r="B20" s="202" t="s">
        <v>1494</v>
      </c>
      <c r="C20" s="224">
        <f>ROUND((C5+C19)*F20,0)</f>
        <v>2002</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5813</v>
      </c>
      <c r="D22" s="227">
        <f ca="1">C26</f>
        <v>8.0000000000000004E-4</v>
      </c>
      <c r="E22" s="228" t="s">
        <v>1498</v>
      </c>
      <c r="F22" s="229">
        <f ca="1">'数据-取费表'!B40</f>
        <v>3.3500000000000002E-2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5729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84</v>
      </c>
      <c r="D25" s="230"/>
      <c r="E25" s="233"/>
      <c r="F25" s="231"/>
      <c r="G25" s="234" t="s">
        <v>1510</v>
      </c>
    </row>
    <row r="26" spans="1:7" s="206" customFormat="1">
      <c r="A26" s="734" t="s">
        <v>350</v>
      </c>
      <c r="B26" s="207" t="s">
        <v>1511</v>
      </c>
      <c r="C26" s="230">
        <f ca="1">ROUND(IF('数据-取费表'!B22&lt;=1,F21*F22*'数据-取费表'!B23/2,F21*(POWER((1+F22),'数据-取费表'!B23/2)-1)),4)</f>
        <v>8.0000000000000004E-4</v>
      </c>
      <c r="D26" s="230"/>
      <c r="E26" s="233"/>
      <c r="F26" s="231"/>
      <c r="G26" s="235"/>
    </row>
    <row r="27" spans="1:7" s="206" customFormat="1" ht="26.4">
      <c r="A27" s="247" t="s">
        <v>1512</v>
      </c>
      <c r="B27" s="236" t="s">
        <v>1513</v>
      </c>
      <c r="C27" s="237">
        <f ca="1">C28</f>
        <v>8934</v>
      </c>
      <c r="D27" s="227">
        <f ca="1">C29</f>
        <v>2.5999999999999999E-3</v>
      </c>
      <c r="E27" s="228" t="s">
        <v>1514</v>
      </c>
      <c r="F27" s="238">
        <f ca="1">IF(B1="",'数据-取费表'!Q16,INDIRECT("'数据-取费表'!q"&amp;$G$1))</f>
        <v>0.13</v>
      </c>
      <c r="G27" s="239" t="s">
        <v>1515</v>
      </c>
    </row>
    <row r="28" spans="1:7" s="206" customFormat="1" ht="13.5" customHeight="1">
      <c r="A28" s="734" t="s">
        <v>346</v>
      </c>
      <c r="B28" s="240" t="s">
        <v>1516</v>
      </c>
      <c r="C28" s="241">
        <f ca="1">ROUND((C5+C19+C20)*F27*'数据-取费表'!B21/'数据-取费表'!B20,0)</f>
        <v>8934</v>
      </c>
      <c r="D28" s="227"/>
      <c r="E28" s="228"/>
      <c r="F28" s="238"/>
      <c r="G28" s="239"/>
    </row>
    <row r="29" spans="1:7" s="206" customFormat="1" ht="13.5" customHeight="1">
      <c r="A29" s="734" t="s">
        <v>347</v>
      </c>
      <c r="B29" s="240" t="s">
        <v>1517</v>
      </c>
      <c r="C29" s="230">
        <f ca="1">ROUND(C21*F27*'数据-取费表'!B21/'数据-取费表'!B20,4)</f>
        <v>2.5999999999999999E-3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90404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24016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21696</v>
      </c>
      <c r="D34" s="209"/>
      <c r="E34" s="212"/>
      <c r="F34" s="249">
        <f ca="1">IF('数据-取费表'!B24=0,1,IF(B1="",'数据-取费表'!N16,INDIRECT("'数据-取费表'!n"&amp;$G$1)))</f>
        <v>1</v>
      </c>
      <c r="G34" s="211" t="s">
        <v>1526</v>
      </c>
    </row>
    <row r="35" spans="1:7" ht="13.5" customHeight="1">
      <c r="A35" s="734" t="s">
        <v>351</v>
      </c>
      <c r="B35" s="207" t="s">
        <v>1527</v>
      </c>
      <c r="C35" s="212">
        <f ca="1">ROUND(C34*F35,0)</f>
        <v>1085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801</v>
      </c>
      <c r="D37" s="209">
        <f ca="1">D19</f>
        <v>40045.229999999996</v>
      </c>
      <c r="E37" s="241">
        <f>'数据-取费表'!B35</f>
        <v>200</v>
      </c>
      <c r="F37" s="251"/>
      <c r="G37" s="253" t="s">
        <v>1532</v>
      </c>
    </row>
    <row r="38" spans="1:7" ht="13.5" customHeight="1">
      <c r="A38" s="734" t="s">
        <v>354</v>
      </c>
      <c r="B38" s="207" t="s">
        <v>1533</v>
      </c>
      <c r="C38" s="212">
        <f ca="1">ROUND(C34*F38,0)</f>
        <v>434</v>
      </c>
      <c r="D38" s="212"/>
      <c r="E38" s="212"/>
      <c r="F38" s="251">
        <f>'数据-取费表'!B36</f>
        <v>0.02</v>
      </c>
      <c r="G38" s="211" t="s">
        <v>1528</v>
      </c>
    </row>
    <row r="39" spans="1:7" s="206" customFormat="1" ht="13.5" customHeight="1">
      <c r="A39" s="247" t="s">
        <v>1534</v>
      </c>
      <c r="B39" s="202" t="s">
        <v>1535</v>
      </c>
      <c r="C39" s="224">
        <f ca="1">ROUND(C33*F20,0)</f>
        <v>720</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1040</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1010</v>
      </c>
      <c r="D42" s="230"/>
      <c r="E42" s="230"/>
      <c r="F42" s="231"/>
      <c r="G42" s="3414" t="s">
        <v>1544</v>
      </c>
    </row>
    <row r="43" spans="1:7" ht="13.5" customHeight="1">
      <c r="A43" s="734" t="s">
        <v>347</v>
      </c>
      <c r="B43" s="207" t="s">
        <v>1545</v>
      </c>
      <c r="C43" s="230">
        <f ca="1">ROUND(IF('数据-取费表'!B22&lt;=1,C39*F22*'数据-取费表'!B21/2,C39*(POWER((1+F22),'数据-取费表'!B21/2)-1)),0)</f>
        <v>30</v>
      </c>
      <c r="D43" s="230"/>
      <c r="E43" s="230"/>
      <c r="F43" s="231"/>
      <c r="G43" s="3415"/>
    </row>
    <row r="44" spans="1:7" ht="13.5" customHeight="1">
      <c r="A44" s="734" t="s">
        <v>348</v>
      </c>
      <c r="B44" s="207" t="s">
        <v>1546</v>
      </c>
      <c r="C44" s="230">
        <f ca="1">ROUND(IF('数据-取费表'!B22&lt;=1,C40*F22*'数据-取费表'!B21/2,C40*(POWER((1+F22),'数据-取费表'!B21/2)-1)),4)</f>
        <v>8.0000000000000004E-4</v>
      </c>
      <c r="D44" s="230"/>
      <c r="E44" s="230"/>
      <c r="F44" s="231"/>
      <c r="G44" s="3416"/>
    </row>
    <row r="45" spans="1:7" s="206" customFormat="1" ht="13.5" customHeight="1">
      <c r="A45" s="247" t="s">
        <v>1547</v>
      </c>
      <c r="B45" s="236" t="s">
        <v>1513</v>
      </c>
      <c r="C45" s="237">
        <f ca="1">C46</f>
        <v>3216</v>
      </c>
      <c r="D45" s="227">
        <f ca="1">C47</f>
        <v>2.5999999999999999E-3</v>
      </c>
      <c r="E45" s="228" t="s">
        <v>1539</v>
      </c>
      <c r="F45" s="238">
        <f ca="1">F27</f>
        <v>0.13</v>
      </c>
      <c r="G45" s="239" t="s">
        <v>1548</v>
      </c>
    </row>
    <row r="46" spans="1:7" s="206" customFormat="1" ht="13.5" customHeight="1">
      <c r="A46" s="734" t="s">
        <v>346</v>
      </c>
      <c r="B46" s="240" t="s">
        <v>1549</v>
      </c>
      <c r="C46" s="241">
        <f ca="1">ROUND((C33+C39)*F27,0)</f>
        <v>3216</v>
      </c>
      <c r="D46" s="255"/>
      <c r="E46" s="228"/>
      <c r="F46" s="238"/>
      <c r="G46" s="239"/>
    </row>
    <row r="47" spans="1:7" s="206" customFormat="1" ht="13.5" customHeight="1">
      <c r="A47" s="734" t="s">
        <v>347</v>
      </c>
      <c r="B47" s="240" t="s">
        <v>1550</v>
      </c>
      <c r="C47" s="230">
        <f ca="1">ROUND(C40*F27,4)</f>
        <v>2.5999999999999999E-3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31400</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25120</v>
      </c>
      <c r="D51" s="224"/>
      <c r="E51" s="224"/>
      <c r="F51" s="256"/>
      <c r="G51" s="226" t="s">
        <v>1560</v>
      </c>
    </row>
    <row r="52" spans="1:7" s="200" customFormat="1" ht="16.8" thickBot="1">
      <c r="A52" s="257" t="s">
        <v>1561</v>
      </c>
      <c r="B52" s="258"/>
      <c r="C52" s="259">
        <f ca="1">C31+C51</f>
        <v>115524</v>
      </c>
      <c r="D52" s="258"/>
      <c r="E52" s="258"/>
      <c r="F52" s="258"/>
      <c r="G52" s="260"/>
    </row>
    <row r="55" spans="1:7" ht="15">
      <c r="B55" s="262" t="s">
        <v>1562</v>
      </c>
      <c r="C55" s="263"/>
    </row>
    <row r="56" spans="1:7">
      <c r="B56" s="265" t="s">
        <v>802</v>
      </c>
      <c r="C56" s="267">
        <f ca="1">1-C57</f>
        <v>0.78300000000000003</v>
      </c>
    </row>
    <row r="57" spans="1:7">
      <c r="B57" s="265" t="s">
        <v>803</v>
      </c>
      <c r="C57" s="266">
        <f ca="1">ROUND(C51/C52,3)</f>
        <v>0.217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2">
        <f>MATCH(B1,'数据-取费表'!A6:A16,0)+5</f>
        <v>9</v>
      </c>
      <c r="H1" s="998" t="str">
        <f>IF(ISERROR(FIND("住宅",B1)),"非住宅","住宅")</f>
        <v>非住宅</v>
      </c>
    </row>
    <row r="2" spans="1:8" s="192" customFormat="1" ht="18" customHeight="1">
      <c r="A2" s="193" t="s">
        <v>1462</v>
      </c>
      <c r="B2" s="3122">
        <f ca="1">ROUND(IF(D2="——",C52/10000,C52/10000-E2),4)</f>
        <v>27291.3302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6815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8009046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8009046</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8009046</v>
      </c>
      <c r="D10" s="795">
        <f ca="1">IF(B1="",'数据-汇总表'!E6,IF(INDIRECT("'数据-取费表'!c"&amp;$G$1)="住宅",INDIRECT("'数据-取费表'!s"&amp;$G$1),INDIRECT("'数据-取费表'!k"&amp;$G$1)+INDIRECT("'数据-取费表'!s"&amp;$G$1)))</f>
        <v>40045.229999999996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8009046</v>
      </c>
      <c r="D19" s="204">
        <f ca="1">D9+D10</f>
        <v>40045.229999999996</v>
      </c>
      <c r="E19" s="203">
        <f>'数据-取费表'!B31</f>
        <v>200</v>
      </c>
      <c r="F19" s="223"/>
      <c r="G19" s="1713"/>
    </row>
    <row r="20" spans="1:7" s="206" customFormat="1" ht="13.5" customHeight="1">
      <c r="A20" s="247" t="s">
        <v>1574</v>
      </c>
      <c r="B20" s="202" t="s">
        <v>1575</v>
      </c>
      <c r="C20" s="224">
        <f ca="1">ROUND((C5+C19)*F20,0)</f>
        <v>480543</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1395614</v>
      </c>
      <c r="D22" s="227">
        <f ca="1">C26</f>
        <v>8.0000000000000004E-4</v>
      </c>
      <c r="E22" s="228" t="s">
        <v>1579</v>
      </c>
      <c r="F22" s="229">
        <f ca="1">'数据-取费表'!B40</f>
        <v>3.3500000000000002E-2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687704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687704</v>
      </c>
      <c r="D24" s="230"/>
      <c r="E24" s="230"/>
      <c r="F24" s="231"/>
      <c r="G24" s="232" t="s">
        <v>1586</v>
      </c>
    </row>
    <row r="25" spans="1:7" s="206" customFormat="1" ht="24">
      <c r="A25" s="734" t="s">
        <v>1476</v>
      </c>
      <c r="B25" s="207" t="s">
        <v>1587</v>
      </c>
      <c r="C25" s="230">
        <f ca="1">ROUND(IF('数据-取费表'!B22&lt;=1,C20*F22*'数据-取费表'!B22/2,C20*(POWER((1+F22),'数据-取费表'!B22/2)-1)),0)</f>
        <v>20206</v>
      </c>
      <c r="D25" s="230"/>
      <c r="E25" s="233"/>
      <c r="F25" s="231"/>
      <c r="G25" s="234" t="s">
        <v>1588</v>
      </c>
    </row>
    <row r="26" spans="1:7" s="206" customFormat="1">
      <c r="A26" s="734" t="s">
        <v>350</v>
      </c>
      <c r="B26" s="207" t="s">
        <v>1511</v>
      </c>
      <c r="C26" s="230">
        <f ca="1">ROUND(IF('数据-取费表'!B22&lt;=1,F21*F22*'数据-取费表'!B22/2,F21*(POWER((1+F22),'数据-取费表'!B22/2)-1)),4)</f>
        <v>8.0000000000000004E-4</v>
      </c>
      <c r="D26" s="230"/>
      <c r="E26" s="233"/>
      <c r="F26" s="231"/>
      <c r="G26" s="235"/>
    </row>
    <row r="27" spans="1:7" s="206" customFormat="1" ht="26.4">
      <c r="A27" s="247" t="s">
        <v>1512</v>
      </c>
      <c r="B27" s="236" t="s">
        <v>1513</v>
      </c>
      <c r="C27" s="237">
        <f ca="1">C28</f>
        <v>2144823</v>
      </c>
      <c r="D27" s="227">
        <f ca="1">C29</f>
        <v>2.5999999999999999E-3</v>
      </c>
      <c r="E27" s="228" t="s">
        <v>1514</v>
      </c>
      <c r="F27" s="238">
        <f ca="1">IF(B1="",'数据-取费表'!Q16,INDIRECT("'数据-取费表'!q"&amp;$G$1))</f>
        <v>0.13</v>
      </c>
      <c r="G27" s="239" t="s">
        <v>1515</v>
      </c>
    </row>
    <row r="28" spans="1:7" s="206" customFormat="1" ht="13.5" customHeight="1">
      <c r="A28" s="734" t="s">
        <v>346</v>
      </c>
      <c r="B28" s="240" t="s">
        <v>1516</v>
      </c>
      <c r="C28" s="241">
        <f ca="1">ROUND((C5+C19+C20)*F27,0)</f>
        <v>2144823</v>
      </c>
      <c r="D28" s="227"/>
      <c r="E28" s="228"/>
      <c r="F28" s="238"/>
      <c r="G28" s="239"/>
    </row>
    <row r="29" spans="1:7" s="206" customFormat="1" ht="13.5" customHeight="1">
      <c r="A29" s="734" t="s">
        <v>347</v>
      </c>
      <c r="B29" s="240" t="s">
        <v>1517</v>
      </c>
      <c r="C29" s="230">
        <f ca="1">ROUND(C21*F27,4)</f>
        <v>2.5999999999999999E-3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21703750</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240162966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216966280</v>
      </c>
      <c r="D34" s="209"/>
      <c r="E34" s="212"/>
      <c r="F34" s="249"/>
      <c r="G34" s="211"/>
    </row>
    <row r="35" spans="1:7" ht="13.5" customHeight="1">
      <c r="A35" s="734" t="s">
        <v>351</v>
      </c>
      <c r="B35" s="207" t="s">
        <v>1527</v>
      </c>
      <c r="C35" s="212">
        <f ca="1">ROUND(C34*F35,0)</f>
        <v>10848314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8009046</v>
      </c>
      <c r="D37" s="209">
        <f ca="1">D19</f>
        <v>40045.229999999996</v>
      </c>
      <c r="E37" s="241">
        <f>'数据-取费表'!B35</f>
        <v>200</v>
      </c>
      <c r="F37" s="251"/>
      <c r="G37" s="253"/>
    </row>
    <row r="38" spans="1:7" ht="13.5" customHeight="1">
      <c r="A38" s="734" t="s">
        <v>354</v>
      </c>
      <c r="B38" s="207" t="s">
        <v>1533</v>
      </c>
      <c r="C38" s="212">
        <f ca="1">ROUND(C34*F38,0)</f>
        <v>4339326</v>
      </c>
      <c r="D38" s="212"/>
      <c r="E38" s="212"/>
      <c r="F38" s="251">
        <f>'数据-取费表'!B36</f>
        <v>0.02</v>
      </c>
      <c r="G38" s="211" t="s">
        <v>1528</v>
      </c>
    </row>
    <row r="39" spans="1:7" s="206" customFormat="1" ht="13.5" customHeight="1">
      <c r="A39" s="247" t="s">
        <v>1534</v>
      </c>
      <c r="B39" s="202" t="s">
        <v>1535</v>
      </c>
      <c r="C39" s="224">
        <f ca="1">ROUND(C33*F20,0)</f>
        <v>7204889</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10401548</v>
      </c>
      <c r="D41" s="227">
        <f ca="1">C44</f>
        <v>8.0000000000000004E-4</v>
      </c>
      <c r="E41" s="228" t="s">
        <v>1539</v>
      </c>
      <c r="F41" s="229">
        <f ca="1">F22</f>
        <v>3.3500000000000002E-2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10098590</v>
      </c>
      <c r="D42" s="230"/>
      <c r="E42" s="230"/>
      <c r="F42" s="231"/>
      <c r="G42" s="3414" t="s">
        <v>1591</v>
      </c>
    </row>
    <row r="43" spans="1:7" ht="13.5" customHeight="1">
      <c r="A43" s="734" t="s">
        <v>347</v>
      </c>
      <c r="B43" s="207" t="s">
        <v>1545</v>
      </c>
      <c r="C43" s="230">
        <f ca="1">ROUND(IF('数据-取费表'!B22&lt;=1,C39*F22*'数据-取费表'!B20/2,C39*(POWER((1+F22),'数据-取费表'!B20/2)-1)),0)</f>
        <v>302958</v>
      </c>
      <c r="D43" s="230"/>
      <c r="E43" s="230"/>
      <c r="F43" s="231"/>
      <c r="G43" s="3415"/>
    </row>
    <row r="44" spans="1:7" ht="13.5" customHeight="1">
      <c r="A44" s="734" t="s">
        <v>348</v>
      </c>
      <c r="B44" s="207" t="s">
        <v>1546</v>
      </c>
      <c r="C44" s="230">
        <f ca="1">ROUND(IF('数据-取费表'!B22&lt;=1,C40*F22*'数据-取费表'!B20/2,C40*(POWER((1+F22),'数据-取费表'!B20/2)-1)),4)</f>
        <v>8.0000000000000004E-4</v>
      </c>
      <c r="D44" s="230"/>
      <c r="E44" s="230"/>
      <c r="F44" s="231"/>
      <c r="G44" s="3416"/>
    </row>
    <row r="45" spans="1:7" s="206" customFormat="1" ht="13.5" customHeight="1">
      <c r="A45" s="247" t="s">
        <v>1547</v>
      </c>
      <c r="B45" s="236" t="s">
        <v>1513</v>
      </c>
      <c r="C45" s="237">
        <f ca="1">C46</f>
        <v>32157821</v>
      </c>
      <c r="D45" s="227">
        <f ca="1">C47</f>
        <v>2.5999999999999999E-3</v>
      </c>
      <c r="E45" s="228" t="s">
        <v>1539</v>
      </c>
      <c r="F45" s="238">
        <f ca="1">F27</f>
        <v>0.13</v>
      </c>
      <c r="G45" s="239" t="s">
        <v>1548</v>
      </c>
    </row>
    <row r="46" spans="1:7" s="206" customFormat="1" ht="13.5" customHeight="1">
      <c r="A46" s="734" t="s">
        <v>346</v>
      </c>
      <c r="B46" s="240" t="s">
        <v>1549</v>
      </c>
      <c r="C46" s="241">
        <f ca="1">ROUND((C33+C39)*F27,0)</f>
        <v>32157821</v>
      </c>
      <c r="D46" s="255"/>
      <c r="E46" s="228"/>
      <c r="F46" s="238"/>
      <c r="G46" s="239"/>
    </row>
    <row r="47" spans="1:7" s="206" customFormat="1" ht="13.5" customHeight="1">
      <c r="A47" s="734" t="s">
        <v>347</v>
      </c>
      <c r="B47" s="240" t="s">
        <v>1550</v>
      </c>
      <c r="C47" s="230">
        <f ca="1">ROUND(C40*F27,4)</f>
        <v>2.5999999999999999E-3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314011940</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251209552</v>
      </c>
      <c r="D51" s="224"/>
      <c r="E51" s="224"/>
      <c r="F51" s="256"/>
      <c r="G51" s="226" t="s">
        <v>1560</v>
      </c>
    </row>
    <row r="52" spans="1:7" s="200" customFormat="1" ht="16.8" thickBot="1">
      <c r="A52" s="257" t="s">
        <v>1561</v>
      </c>
      <c r="B52" s="258"/>
      <c r="C52" s="259">
        <f ca="1">C31+C51</f>
        <v>272913302</v>
      </c>
      <c r="D52" s="258"/>
      <c r="E52" s="258"/>
      <c r="F52" s="258"/>
      <c r="G52" s="260"/>
    </row>
    <row r="55" spans="1:7" ht="15">
      <c r="B55" s="262" t="s">
        <v>1562</v>
      </c>
      <c r="C55" s="263"/>
    </row>
    <row r="56" spans="1:7">
      <c r="B56" s="265" t="s">
        <v>802</v>
      </c>
      <c r="C56" s="267">
        <f ca="1">1-C57</f>
        <v>7.999999999999996E-2</v>
      </c>
    </row>
    <row r="57" spans="1:7">
      <c r="B57" s="265" t="s">
        <v>803</v>
      </c>
      <c r="C57" s="266">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09"/>
      <c r="D1" s="1108"/>
      <c r="E1" s="2567"/>
      <c r="F1" s="2567"/>
      <c r="G1" s="2448"/>
      <c r="H1" s="2567"/>
      <c r="I1" s="2567"/>
      <c r="J1" s="2567"/>
      <c r="K1" s="2568">
        <f>MATCH(C1,'数据-取费表'!A6:A16,0)+5</f>
        <v>9</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40045.229999999996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40045.229999999996</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801</v>
      </c>
      <c r="D20" s="796">
        <f ca="1">IF(C1="",'数据-汇总表'!E6,IF(INDIRECT("'数据-取费表'!c"&amp;$K$1)="住宅",INDIRECT("'数据-取费表'!s"&amp;$K$1),INDIRECT("'数据-取费表'!k"&amp;$K$1)+INDIRECT("'数据-取费表'!s"&amp;$K$1)))</f>
        <v>40045.229999999996</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0.13</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D6" sqref="D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673</v>
      </c>
      <c r="D1" s="1270" t="s">
        <v>43</v>
      </c>
      <c r="E1" s="1271" t="s">
        <v>678</v>
      </c>
      <c r="F1" s="999">
        <f ca="1">J53</f>
        <v>15.36</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13392</v>
      </c>
      <c r="C2" s="1288" t="s">
        <v>805</v>
      </c>
      <c r="D2" s="1288"/>
      <c r="E2" s="1294"/>
      <c r="F2" s="1295"/>
      <c r="G2" s="2478"/>
      <c r="H2" s="2468"/>
      <c r="I2" s="2468"/>
      <c r="J2" s="2468"/>
      <c r="K2" s="2469"/>
      <c r="L2" s="2468"/>
      <c r="M2" s="2468"/>
    </row>
    <row r="3" spans="1:37" ht="18" customHeight="1" thickBot="1">
      <c r="A3" s="1296" t="s">
        <v>806</v>
      </c>
      <c r="B3" s="1297">
        <f ca="1">IF(ISERROR(B2*10000/F43),0,ROUND(B2*10000/F43,0))</f>
        <v>19333</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1367</v>
      </c>
      <c r="D5" s="1272" t="s">
        <v>693</v>
      </c>
      <c r="E5" s="1008"/>
      <c r="F5" s="1009"/>
      <c r="G5" s="1291"/>
      <c r="H5" s="291">
        <v>1</v>
      </c>
      <c r="I5" s="292" t="s">
        <v>692</v>
      </c>
      <c r="J5" s="1007">
        <f ca="1">J6+J10+J12</f>
        <v>0</v>
      </c>
      <c r="K5" s="1272" t="s">
        <v>693</v>
      </c>
      <c r="L5" s="1008"/>
      <c r="M5" s="1009"/>
    </row>
    <row r="6" spans="1:37" ht="18" customHeight="1">
      <c r="A6" s="1006" t="s">
        <v>398</v>
      </c>
      <c r="B6" s="3419" t="s">
        <v>694</v>
      </c>
      <c r="C6" s="1011">
        <f ca="1">ROUND(F6*F8*F7*(1-F9)/10000,0)</f>
        <v>1365</v>
      </c>
      <c r="D6" s="147" t="s">
        <v>2109</v>
      </c>
      <c r="E6" s="294" t="s">
        <v>696</v>
      </c>
      <c r="F6" s="295">
        <f ca="1">INDIRECT("'数据-取费表'!u"&amp;$G$1)</f>
        <v>6</v>
      </c>
      <c r="G6" s="1291"/>
      <c r="H6" s="1006" t="s">
        <v>398</v>
      </c>
      <c r="I6" s="3419" t="s">
        <v>694</v>
      </c>
      <c r="J6" s="293">
        <f ca="1">ROUND(M6*M8*M7*(1-M9)/10000,0)</f>
        <v>0</v>
      </c>
      <c r="K6" s="147" t="s">
        <v>2108</v>
      </c>
      <c r="L6" s="294" t="s">
        <v>696</v>
      </c>
      <c r="M6" s="295">
        <f ca="1">INDIRECT("'数据-取费表'!z"&amp;$G$1)</f>
        <v>0</v>
      </c>
    </row>
    <row r="7" spans="1:37" ht="18" customHeight="1">
      <c r="A7" s="1010"/>
      <c r="B7" s="3420"/>
      <c r="C7" s="1012"/>
      <c r="D7" s="299"/>
      <c r="E7" s="1013" t="s">
        <v>697</v>
      </c>
      <c r="F7" s="295">
        <f ca="1">IF(INDIRECT("'数据-取费表'!ah"&amp;$G$1)="",INDIRECT("'数据-取费表'!k"&amp;$G$1),INDIRECT("'数据-取费表'!ah"&amp;$G$1))</f>
        <v>6927.16</v>
      </c>
      <c r="G7" s="1291"/>
      <c r="H7" s="296"/>
      <c r="I7" s="3420"/>
      <c r="J7" s="298"/>
      <c r="K7" s="299"/>
      <c r="L7" s="294" t="s">
        <v>697</v>
      </c>
      <c r="M7" s="295">
        <f ca="1">F7</f>
        <v>6927.16</v>
      </c>
    </row>
    <row r="8" spans="1:37" ht="18" customHeight="1">
      <c r="A8" s="296"/>
      <c r="B8" s="3420"/>
      <c r="C8" s="298"/>
      <c r="D8" s="299"/>
      <c r="E8" s="294" t="s">
        <v>698</v>
      </c>
      <c r="F8" s="295">
        <f ca="1">INDIRECT("'数据-取费表'!ai"&amp;$G$1)</f>
        <v>365</v>
      </c>
      <c r="G8" s="1291"/>
      <c r="H8" s="296"/>
      <c r="I8" s="3420"/>
      <c r="J8" s="298"/>
      <c r="K8" s="299"/>
      <c r="L8" s="294" t="s">
        <v>698</v>
      </c>
      <c r="M8" s="295">
        <f ca="1">INDIRECT("'数据-取费表'!ai"&amp;$G$1)</f>
        <v>365</v>
      </c>
    </row>
    <row r="9" spans="1:37" ht="18" customHeight="1">
      <c r="A9" s="296"/>
      <c r="B9" s="3421"/>
      <c r="C9" s="298"/>
      <c r="D9" s="299"/>
      <c r="E9" s="294" t="s">
        <v>699</v>
      </c>
      <c r="F9" s="304">
        <f ca="1">INDIRECT("'数据-取费表'!w"&amp;$G$1)</f>
        <v>0.1</v>
      </c>
      <c r="G9" s="1291"/>
      <c r="H9" s="296"/>
      <c r="I9" s="3421"/>
      <c r="J9" s="298"/>
      <c r="K9" s="299"/>
      <c r="L9" s="305" t="s">
        <v>699</v>
      </c>
      <c r="M9" s="306">
        <f ca="1">INDIRECT("'数据-取费表'!ab"&amp;$G$1)</f>
        <v>0</v>
      </c>
    </row>
    <row r="10" spans="1:37" ht="18" customHeight="1">
      <c r="A10" s="1006" t="s">
        <v>402</v>
      </c>
      <c r="B10" s="1273" t="s">
        <v>700</v>
      </c>
      <c r="C10" s="308">
        <f ca="1">ROUND(IF(F10="押一",C6/12*F11,IF(F10="押二",C6/12*2*F11,IF(F10="押三",C6/12*3*F11,C11*F11))),0)</f>
        <v>2</v>
      </c>
      <c r="D10" s="150" t="s">
        <v>2117</v>
      </c>
      <c r="E10" s="305" t="s">
        <v>701</v>
      </c>
      <c r="F10" s="1053" t="s">
        <v>3424</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4486</v>
      </c>
      <c r="D13" s="1018" t="s">
        <v>705</v>
      </c>
      <c r="E13" s="1018" t="s">
        <v>706</v>
      </c>
      <c r="F13" s="1019">
        <f ca="1">INDIRECT("'数据-取费表'!y"&amp;$G$1)</f>
        <v>0.8</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3810</v>
      </c>
      <c r="D14" s="1256" t="s">
        <v>708</v>
      </c>
      <c r="E14" s="1254"/>
      <c r="F14" s="311"/>
      <c r="G14" s="1291"/>
      <c r="H14" s="928" t="s">
        <v>398</v>
      </c>
      <c r="I14" s="294" t="s">
        <v>709</v>
      </c>
      <c r="J14" s="21">
        <f ca="1">C29</f>
        <v>5607</v>
      </c>
      <c r="K14" s="12"/>
      <c r="L14" s="759"/>
      <c r="M14" s="760"/>
    </row>
    <row r="15" spans="1:37" s="1303" customFormat="1" ht="18" customHeight="1" thickBot="1">
      <c r="A15" s="928" t="s">
        <v>399</v>
      </c>
      <c r="B15" s="294" t="s">
        <v>710</v>
      </c>
      <c r="C15" s="21">
        <f ca="1">ROUND(C14*F15,0)</f>
        <v>191</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31</v>
      </c>
      <c r="K16" s="1024" t="s">
        <v>715</v>
      </c>
      <c r="L16" s="1025"/>
      <c r="M16" s="1009"/>
    </row>
    <row r="17" spans="1:37" s="1303" customFormat="1" ht="18" customHeight="1">
      <c r="A17" s="928" t="s">
        <v>681</v>
      </c>
      <c r="B17" s="294" t="s">
        <v>716</v>
      </c>
      <c r="C17" s="21">
        <f ca="1">ROUND(F17*(F43+INDIRECT("'数据-取费表'!S"&amp;$G$1))/10000,0)</f>
        <v>139</v>
      </c>
      <c r="D17" s="294" t="s">
        <v>717</v>
      </c>
      <c r="E17" s="294" t="s">
        <v>718</v>
      </c>
      <c r="F17" s="23">
        <f>'数据-取费表'!B35</f>
        <v>200</v>
      </c>
      <c r="G17" s="1302"/>
      <c r="H17" s="928" t="s">
        <v>398</v>
      </c>
      <c r="I17" s="294" t="s">
        <v>719</v>
      </c>
      <c r="J17" s="2139">
        <f ca="1">ROUND(IF(AND(项目基本情况!B11="自然人",项目基本情况!B10="北京市"),J6*M17/(1+'数据-取费表'!C42),J18+J19+J20),2)</f>
        <v>3.44</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76</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4216</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126</v>
      </c>
      <c r="D20" s="315" t="s">
        <v>729</v>
      </c>
      <c r="E20" s="294" t="s">
        <v>712</v>
      </c>
      <c r="F20" s="314">
        <f>'数据-取费表'!B37</f>
        <v>0.03</v>
      </c>
      <c r="G20" s="1302"/>
      <c r="H20" s="928" t="s">
        <v>680</v>
      </c>
      <c r="I20" s="147" t="s">
        <v>730</v>
      </c>
      <c r="J20" s="22">
        <f ca="1">ROUND(M20*M21/10000,2)</f>
        <v>3.44</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1431.36</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28.04</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182</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2"/>
      <c r="H24" s="1026" t="s">
        <v>684</v>
      </c>
      <c r="I24" s="1027" t="s">
        <v>728</v>
      </c>
      <c r="J24" s="1028">
        <f ca="1">ROUND(J5*M24,2)</f>
        <v>0</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-31</v>
      </c>
      <c r="K25" s="1032" t="s">
        <v>753</v>
      </c>
      <c r="L25" s="1033"/>
      <c r="M25" s="1034"/>
    </row>
    <row r="26" spans="1:37">
      <c r="A26" s="928" t="s">
        <v>397</v>
      </c>
      <c r="B26" s="294" t="s">
        <v>754</v>
      </c>
      <c r="C26" s="21">
        <f ca="1">ROUND((C19+C20)*F26,0)</f>
        <v>651</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5607</v>
      </c>
      <c r="D29" s="1029"/>
      <c r="E29" s="1027"/>
      <c r="F29" s="1030"/>
      <c r="G29" s="1302"/>
      <c r="H29" s="325" t="s">
        <v>396</v>
      </c>
      <c r="I29" s="326" t="s">
        <v>768</v>
      </c>
      <c r="J29" s="327">
        <f ca="1">ROUND(J26/(1+F40)^F41,0)</f>
        <v>0</v>
      </c>
      <c r="K29" s="328" t="s">
        <v>769</v>
      </c>
      <c r="L29" s="329"/>
      <c r="M29" s="330">
        <f ca="1">INDIRECT("'数据-取费表'!k"&amp;$G$1)</f>
        <v>6927.16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272</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232.24</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IF(项目基本情况!B11="自然人","——",ROUND(C6*F32/(1+'数据-取费表'!C42),2))</f>
        <v>72.8</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156</v>
      </c>
      <c r="D33" s="1277" t="s">
        <v>3336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IF(项目基本情况!B11="自然人","——",ROUND(F34*F35/10000,2))</f>
        <v>3.44</v>
      </c>
      <c r="D34" s="316" t="s">
        <v>731</v>
      </c>
      <c r="E34" s="294" t="s">
        <v>732</v>
      </c>
      <c r="F34" s="317">
        <f>'数据-取费表'!B52</f>
        <v>24</v>
      </c>
      <c r="G34" s="1291"/>
      <c r="H34" s="2470"/>
      <c r="I34" s="1304"/>
      <c r="J34" s="1305"/>
      <c r="K34" s="2475"/>
      <c r="L34" s="2476"/>
      <c r="M34" s="2476"/>
    </row>
    <row r="35" spans="1:18" ht="18" customHeight="1">
      <c r="A35" s="1040"/>
      <c r="B35" s="1038"/>
      <c r="C35" s="26"/>
      <c r="D35" s="319"/>
      <c r="E35" s="294" t="s">
        <v>736</v>
      </c>
      <c r="F35" s="295">
        <f ca="1">INDIRECT("'数据-取费表'!r"&amp;$G$1)</f>
        <v>1431.36</v>
      </c>
      <c r="G35" s="1291"/>
      <c r="H35" s="2470"/>
      <c r="I35" s="1304"/>
      <c r="J35" s="1305"/>
      <c r="K35" s="2474"/>
      <c r="L35" s="2473"/>
      <c r="M35" s="2473"/>
    </row>
    <row r="36" spans="1:18" ht="18" customHeight="1">
      <c r="A36" s="1039" t="s">
        <v>402</v>
      </c>
      <c r="B36" s="294" t="s">
        <v>738</v>
      </c>
      <c r="C36" s="21">
        <f ca="1">ROUND(C29*F36,2)</f>
        <v>28.04</v>
      </c>
      <c r="D36" s="1255" t="s">
        <v>771</v>
      </c>
      <c r="E36" s="294" t="s">
        <v>712</v>
      </c>
      <c r="F36" s="320">
        <f ca="1">INDIRECT("'数据-取费表'!Ak"&amp;$G$1)</f>
        <v>5.0000000000000001E-3</v>
      </c>
      <c r="G36" s="1291"/>
      <c r="H36" s="2473"/>
      <c r="I36" s="1304"/>
      <c r="J36" s="1305"/>
      <c r="K36" s="2330"/>
      <c r="L36" s="2473"/>
      <c r="M36" s="2473"/>
    </row>
    <row r="37" spans="1:18" ht="18" customHeight="1">
      <c r="A37" s="928" t="s">
        <v>437</v>
      </c>
      <c r="B37" s="294" t="s">
        <v>742</v>
      </c>
      <c r="C37" s="21">
        <f ca="1">ROUND(C13*F37,2)</f>
        <v>4.49</v>
      </c>
      <c r="D37" s="1255" t="s">
        <v>743</v>
      </c>
      <c r="E37" s="294" t="s">
        <v>744</v>
      </c>
      <c r="F37" s="321">
        <f ca="1">INDIRECT("'数据-取费表'!Al"&amp;$G$1)</f>
        <v>1E-3</v>
      </c>
      <c r="G37" s="1291"/>
      <c r="H37" s="2473"/>
      <c r="I37" s="1304"/>
      <c r="J37" s="1305"/>
      <c r="K37" s="2330"/>
      <c r="L37" s="2473"/>
      <c r="M37" s="2473"/>
    </row>
    <row r="38" spans="1:18" ht="18" customHeight="1" thickBot="1">
      <c r="A38" s="1026" t="s">
        <v>684</v>
      </c>
      <c r="B38" s="1027" t="s">
        <v>728</v>
      </c>
      <c r="C38" s="1028">
        <f ca="1">ROUND(C5*F38,2)</f>
        <v>6.84</v>
      </c>
      <c r="D38" s="1029" t="s">
        <v>748</v>
      </c>
      <c r="E38" s="1027" t="s">
        <v>744</v>
      </c>
      <c r="F38" s="1023">
        <f ca="1">INDIRECT("'数据-取费表'!Am"&amp;$G$1)</f>
        <v>5.0000000000000001E-3</v>
      </c>
      <c r="G38" s="1291"/>
      <c r="H38" s="2473"/>
      <c r="I38" s="1304"/>
      <c r="J38" s="1305"/>
      <c r="K38" s="2471"/>
      <c r="L38" s="2473"/>
      <c r="M38" s="2473"/>
    </row>
    <row r="39" spans="1:18" ht="24.6" customHeight="1" thickTop="1">
      <c r="A39" s="1016" t="s">
        <v>394</v>
      </c>
      <c r="B39" s="1031" t="s">
        <v>772</v>
      </c>
      <c r="C39" s="302">
        <f ca="1">C5-C30</f>
        <v>1095</v>
      </c>
      <c r="D39" s="1032" t="s">
        <v>773</v>
      </c>
      <c r="E39" s="1033"/>
      <c r="F39" s="1034"/>
      <c r="G39" s="1291"/>
      <c r="H39" s="2473"/>
      <c r="I39" s="1304">
        <f ca="1">C39/C5</f>
        <v>0.80102414045354786</v>
      </c>
      <c r="J39" s="1305"/>
      <c r="K39" s="2471"/>
      <c r="L39" s="2473"/>
      <c r="M39" s="2473"/>
    </row>
    <row r="40" spans="1:18" ht="18" customHeight="1">
      <c r="A40" s="291" t="s">
        <v>395</v>
      </c>
      <c r="B40" s="292" t="s">
        <v>774</v>
      </c>
      <c r="C40" s="293">
        <f ca="1">ROUND(C39*(1-((1+F42)/(1+F40))^F41)/(F40-F42),0)</f>
        <v>12653</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15.36</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18266</v>
      </c>
      <c r="D43" s="328" t="s">
        <v>777</v>
      </c>
      <c r="E43" s="329" t="s">
        <v>778</v>
      </c>
      <c r="F43" s="330">
        <f ca="1">INDIRECT("'数据-取费表'!k"&amp;$G$1)</f>
        <v>6927.16</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8" thickBot="1">
      <c r="A46" s="1310" t="s">
        <v>809</v>
      </c>
      <c r="C46" s="1311">
        <f ca="1">C68-C40</f>
        <v>-13020</v>
      </c>
      <c r="D46" s="1312" t="str">
        <f>C2</f>
        <v>万元</v>
      </c>
      <c r="E46" s="1306"/>
      <c r="F46" s="1306"/>
      <c r="I46" s="1313" t="s">
        <v>810</v>
      </c>
      <c r="J46" s="1314"/>
      <c r="K46" s="1315"/>
      <c r="L46" s="1316">
        <f ca="1">IF(M47="住宅",0,IF(L48&gt;J51,L60,J60))</f>
        <v>739</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3425</v>
      </c>
      <c r="K47" s="1322" t="s">
        <v>816</v>
      </c>
      <c r="L47" s="1323">
        <f ca="1">INDIRECT("'数据-取费表'!d"&amp;$G$1)</f>
        <v>40</v>
      </c>
      <c r="M47" s="1287" t="str">
        <f>IF(ISNUMBER(FIND("住宅",C1)),"住宅","非住宅")</f>
        <v>非住宅</v>
      </c>
      <c r="O47" s="1324" t="s">
        <v>403</v>
      </c>
      <c r="P47" s="1325" t="s">
        <v>817</v>
      </c>
      <c r="Q47" s="1326">
        <f ca="1">C40+J29</f>
        <v>12653</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3426</v>
      </c>
      <c r="K48" s="1329" t="s">
        <v>820</v>
      </c>
      <c r="L48" s="1330">
        <f ca="1">INDIRECT("'数据-取费表'!f"&amp;$G$1)</f>
        <v>15.36</v>
      </c>
      <c r="O48" s="1324" t="s">
        <v>404</v>
      </c>
      <c r="P48" s="1325" t="s">
        <v>821</v>
      </c>
      <c r="Q48" s="1326">
        <f ca="1">J60</f>
        <v>739</v>
      </c>
      <c r="R48" s="1326" t="s">
        <v>822</v>
      </c>
    </row>
    <row r="49" spans="1:18" s="1291" customFormat="1" ht="13.8" thickBot="1">
      <c r="A49" s="921" t="s">
        <v>439</v>
      </c>
      <c r="B49" s="1278" t="s">
        <v>779</v>
      </c>
      <c r="C49" s="1051">
        <f ca="1">ROUND(F49*F51*F50*(1-F52)/10000,0)</f>
        <v>0</v>
      </c>
      <c r="D49" s="992" t="s">
        <v>2110</v>
      </c>
      <c r="E49" s="1279" t="s">
        <v>780</v>
      </c>
      <c r="F49" s="997"/>
      <c r="H49" s="682"/>
      <c r="I49" s="1327" t="s">
        <v>823</v>
      </c>
      <c r="J49" s="1331">
        <v>1998</v>
      </c>
      <c r="K49" s="1329" t="s">
        <v>824</v>
      </c>
      <c r="L49" s="1332"/>
      <c r="O49" s="1333" t="s">
        <v>405</v>
      </c>
      <c r="P49" s="1325" t="s">
        <v>825</v>
      </c>
      <c r="Q49" s="1326">
        <f ca="1">C29</f>
        <v>5607</v>
      </c>
      <c r="R49" s="1326" t="s">
        <v>818</v>
      </c>
    </row>
    <row r="50" spans="1:18" s="1291" customFormat="1" ht="13.8" thickBot="1">
      <c r="A50" s="922"/>
      <c r="B50" s="925"/>
      <c r="C50" s="1055"/>
      <c r="D50" s="899"/>
      <c r="E50" s="993" t="s">
        <v>697</v>
      </c>
      <c r="F50" s="994">
        <f ca="1">F7</f>
        <v>6927.16</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34</v>
      </c>
      <c r="K51" s="1338" t="s">
        <v>830</v>
      </c>
      <c r="L51" s="1339">
        <f ca="1">ROUND(-PV(INDIRECT("'数据-取费表'!h"&amp;$G$1),J51,(C39-C13*C76),0),0)</f>
        <v>12646</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15.36</v>
      </c>
      <c r="R52" s="1326" t="s">
        <v>835</v>
      </c>
    </row>
    <row r="53" spans="1:18" s="1291" customFormat="1" ht="36.6"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15.36</v>
      </c>
      <c r="K53" s="3417" t="s">
        <v>837</v>
      </c>
      <c r="L53" s="3418"/>
      <c r="O53" s="1324" t="s">
        <v>409</v>
      </c>
      <c r="P53" s="1325" t="s">
        <v>838</v>
      </c>
      <c r="Q53" s="1326">
        <f ca="1">Q47+Q48</f>
        <v>13392</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0.311</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4486</v>
      </c>
      <c r="D56" s="1351"/>
      <c r="E56" s="1352"/>
      <c r="F56" s="1344"/>
      <c r="I56" s="1353" t="s">
        <v>842</v>
      </c>
      <c r="J56" s="1354" t="s">
        <v>3427</v>
      </c>
      <c r="K56" s="1327" t="s">
        <v>843</v>
      </c>
      <c r="L56" s="1330" t="str">
        <f ca="1">IF(L48&lt;J51,"——",L48-J53)</f>
        <v>——</v>
      </c>
      <c r="O56" s="1324" t="s">
        <v>403</v>
      </c>
      <c r="P56" s="1325" t="s">
        <v>817</v>
      </c>
      <c r="Q56" s="1326">
        <f ca="1">C40+J29</f>
        <v>12653</v>
      </c>
      <c r="R56" s="1326" t="s">
        <v>818</v>
      </c>
    </row>
    <row r="57" spans="1:18" s="1291" customFormat="1" ht="24.6" thickBot="1">
      <c r="A57" s="1355"/>
      <c r="B57" s="896" t="s">
        <v>767</v>
      </c>
      <c r="C57" s="230">
        <f ca="1">C29</f>
        <v>5607</v>
      </c>
      <c r="D57" s="1356"/>
      <c r="E57" s="1357"/>
      <c r="F57" s="1358"/>
      <c r="I57" s="1359" t="s">
        <v>844</v>
      </c>
      <c r="J57" s="1360">
        <f ca="1">IF(OR(M47="住宅",J51&lt;L48,J56="是"),"——",J51-L48)</f>
        <v>18.64</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36</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3</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2243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739</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3.44</v>
      </c>
      <c r="D62" s="911" t="s">
        <v>786</v>
      </c>
      <c r="E62" s="896" t="s">
        <v>787</v>
      </c>
      <c r="F62" s="317">
        <f t="shared" si="0"/>
        <v>24</v>
      </c>
      <c r="I62" s="1366" t="s">
        <v>858</v>
      </c>
      <c r="J62" s="610" t="s">
        <v>859</v>
      </c>
      <c r="K62" s="610" t="s">
        <v>860</v>
      </c>
      <c r="L62" s="610" t="s">
        <v>861</v>
      </c>
      <c r="M62" s="1367" t="s">
        <v>862</v>
      </c>
      <c r="O62" s="1324" t="s">
        <v>409</v>
      </c>
      <c r="P62" s="1325" t="s">
        <v>863</v>
      </c>
      <c r="Q62" s="1326">
        <f ca="1">Q56+Q57</f>
        <v>12653</v>
      </c>
      <c r="R62" s="1326" t="s">
        <v>410</v>
      </c>
    </row>
    <row r="63" spans="1:18" s="1291" customFormat="1" ht="13.8" thickBot="1">
      <c r="A63" s="318"/>
      <c r="B63" s="902"/>
      <c r="C63" s="26"/>
      <c r="D63" s="912"/>
      <c r="E63" s="896" t="s">
        <v>788</v>
      </c>
      <c r="F63" s="295">
        <f t="shared" ca="1" si="0"/>
        <v>1431.36</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28.04</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4.49</v>
      </c>
      <c r="D65" s="910" t="s">
        <v>743</v>
      </c>
      <c r="E65" s="896" t="s">
        <v>744</v>
      </c>
      <c r="F65" s="321">
        <f t="shared" ca="1" si="0"/>
        <v>1E-3</v>
      </c>
      <c r="I65" s="1366" t="s">
        <v>867</v>
      </c>
      <c r="J65" s="610">
        <v>40</v>
      </c>
      <c r="K65" s="610">
        <v>30</v>
      </c>
      <c r="L65" s="610">
        <v>50</v>
      </c>
      <c r="M65" s="1368">
        <v>0.02</v>
      </c>
      <c r="O65" s="1324" t="s">
        <v>403</v>
      </c>
      <c r="P65" s="1325" t="s">
        <v>868</v>
      </c>
      <c r="Q65" s="1326">
        <f ca="1">C40+J29</f>
        <v>12653</v>
      </c>
      <c r="R65" s="1326" t="s">
        <v>818</v>
      </c>
    </row>
    <row r="66" spans="1:18" s="1291" customFormat="1" ht="16.2"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-36</v>
      </c>
      <c r="D67" s="909" t="s">
        <v>753</v>
      </c>
      <c r="E67" s="914"/>
      <c r="F67" s="915"/>
      <c r="O67" s="1333" t="s">
        <v>405</v>
      </c>
      <c r="P67" s="1325" t="s">
        <v>850</v>
      </c>
      <c r="Q67" s="1369">
        <f ca="1">L51</f>
        <v>12646</v>
      </c>
      <c r="R67" s="1326" t="s">
        <v>870</v>
      </c>
    </row>
    <row r="68" spans="1:18" s="1291" customFormat="1" ht="16.2" thickBot="1">
      <c r="A68" s="893" t="s">
        <v>395</v>
      </c>
      <c r="B68" s="894" t="s">
        <v>774</v>
      </c>
      <c r="C68" s="293">
        <f ca="1">ROUND(C67*(1-((1+F70)/(1+F68))^F69)/(F68-F70),0)</f>
        <v>-367</v>
      </c>
      <c r="D68" s="911" t="s">
        <v>758</v>
      </c>
      <c r="E68" s="896" t="s">
        <v>759</v>
      </c>
      <c r="F68" s="304">
        <f ca="1">F40</f>
        <v>5.5E-2</v>
      </c>
      <c r="O68" s="1333" t="s">
        <v>406</v>
      </c>
      <c r="P68" s="1370" t="s">
        <v>871</v>
      </c>
      <c r="Q68" s="1326">
        <f ca="1">ROUND(Q69-Q70*Q71,0)</f>
        <v>781</v>
      </c>
      <c r="R68" s="1326" t="s">
        <v>414</v>
      </c>
    </row>
    <row r="69" spans="1:18" s="1291" customFormat="1" ht="13.8" thickBot="1">
      <c r="A69" s="897"/>
      <c r="B69" s="898"/>
      <c r="C69" s="298"/>
      <c r="D69" s="916" t="s">
        <v>762</v>
      </c>
      <c r="E69" s="896" t="s">
        <v>763</v>
      </c>
      <c r="F69" s="324">
        <f ca="1">F41</f>
        <v>15.36</v>
      </c>
      <c r="O69" s="1333" t="s">
        <v>411</v>
      </c>
      <c r="P69" s="1370" t="s">
        <v>872</v>
      </c>
      <c r="Q69" s="1326">
        <f ca="1">C39</f>
        <v>1095</v>
      </c>
      <c r="R69" s="1326" t="s">
        <v>818</v>
      </c>
    </row>
    <row r="70" spans="1:18" s="1291" customFormat="1" ht="13.8" thickBot="1">
      <c r="A70" s="900"/>
      <c r="B70" s="901"/>
      <c r="C70" s="302"/>
      <c r="D70" s="912"/>
      <c r="E70" s="896" t="s">
        <v>766</v>
      </c>
      <c r="F70" s="991"/>
      <c r="O70" s="1333" t="s">
        <v>412</v>
      </c>
      <c r="P70" s="1370" t="s">
        <v>873</v>
      </c>
      <c r="Q70" s="1326">
        <f ca="1">C13</f>
        <v>4486</v>
      </c>
      <c r="R70" s="1326" t="s">
        <v>818</v>
      </c>
    </row>
    <row r="71" spans="1:18" s="1291" customFormat="1" ht="13.8" thickBot="1">
      <c r="A71" s="917" t="s">
        <v>396</v>
      </c>
      <c r="B71" s="918" t="s">
        <v>776</v>
      </c>
      <c r="C71" s="327">
        <f ca="1">ROUND(C68*10000/F71,0)</f>
        <v>-530</v>
      </c>
      <c r="D71" s="919" t="s">
        <v>777</v>
      </c>
      <c r="E71" s="920" t="s">
        <v>778</v>
      </c>
      <c r="F71" s="330">
        <f ca="1">F43</f>
        <v>6927.16</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314</v>
      </c>
      <c r="D75" s="1291"/>
      <c r="E75" s="1291"/>
      <c r="F75" s="1291"/>
      <c r="K75" s="1308"/>
      <c r="L75" s="1291"/>
      <c r="O75" s="1324" t="s">
        <v>409</v>
      </c>
      <c r="P75" s="1325" t="s">
        <v>838</v>
      </c>
      <c r="Q75" s="1326">
        <f ca="1">Q65+Q66</f>
        <v>12653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0.71300000000000008</v>
      </c>
    </row>
    <row r="80" spans="1:18">
      <c r="B80" s="331" t="s">
        <v>800</v>
      </c>
      <c r="C80" s="266">
        <f ca="1">ROUND(C75/C39,3)</f>
        <v>0.28699999999999998</v>
      </c>
    </row>
    <row r="81" spans="2:3">
      <c r="B81" s="262" t="s">
        <v>801</v>
      </c>
      <c r="C81" s="230"/>
    </row>
    <row r="82" spans="2:3">
      <c r="B82" s="265" t="s">
        <v>802</v>
      </c>
      <c r="C82" s="267">
        <f ca="1">1-C83</f>
        <v>0.64500000000000002</v>
      </c>
    </row>
    <row r="83" spans="2:3">
      <c r="B83" s="265" t="s">
        <v>803</v>
      </c>
      <c r="C83" s="266">
        <f ca="1">ROUND(C13/C40,3)</f>
        <v>0.35499999999999998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9</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t="e">
        <f ca="1">ROUND(D2/10000,4)</f>
        <v>#DIV/0!</v>
      </c>
      <c r="C2" s="1288"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419" t="s">
        <v>694</v>
      </c>
      <c r="C6" s="1011">
        <f ca="1">ROUND(F6*F8*F7*(1-F9),0)</f>
        <v>0</v>
      </c>
      <c r="D6" s="147" t="s">
        <v>2106</v>
      </c>
      <c r="E6" s="294" t="s">
        <v>696</v>
      </c>
      <c r="F6" s="295">
        <f ca="1">INDIRECT("'数据-取费表'!u"&amp;$G$1)</f>
        <v>0</v>
      </c>
      <c r="G6" s="1291"/>
      <c r="H6" s="1006" t="s">
        <v>398</v>
      </c>
      <c r="I6" s="3419" t="s">
        <v>694</v>
      </c>
      <c r="J6" s="293">
        <f ca="1">ROUND(M6*M8*M7*(1-M9),0)</f>
        <v>0</v>
      </c>
      <c r="K6" s="1283" t="s">
        <v>2107</v>
      </c>
      <c r="L6" s="294" t="s">
        <v>696</v>
      </c>
      <c r="M6" s="295">
        <f ca="1">INDIRECT("'数据-取费表'!z"&amp;$G$1)</f>
        <v>0</v>
      </c>
    </row>
    <row r="7" spans="1:37" ht="18" customHeight="1">
      <c r="A7" s="1010"/>
      <c r="B7" s="3420"/>
      <c r="C7" s="1012"/>
      <c r="D7" s="299"/>
      <c r="E7" s="1013" t="s">
        <v>697</v>
      </c>
      <c r="F7" s="295">
        <f ca="1">IF(INDIRECT("'数据-取费表'!ah"&amp;$G$1)="",INDIRECT("'数据-取费表'!k"&amp;$G$1),INDIRECT("'数据-取费表'!ah"&amp;$G$1))</f>
        <v>0</v>
      </c>
      <c r="G7" s="1291"/>
      <c r="H7" s="296"/>
      <c r="I7" s="3420"/>
      <c r="J7" s="298"/>
      <c r="K7" s="299"/>
      <c r="L7" s="294" t="s">
        <v>697</v>
      </c>
      <c r="M7" s="295">
        <f ca="1">F7</f>
        <v>0</v>
      </c>
    </row>
    <row r="8" spans="1:37" ht="18" customHeight="1">
      <c r="A8" s="296"/>
      <c r="B8" s="3420"/>
      <c r="C8" s="298"/>
      <c r="D8" s="299"/>
      <c r="E8" s="294" t="s">
        <v>698</v>
      </c>
      <c r="F8" s="295">
        <f ca="1">INDIRECT("'数据-取费表'!ai"&amp;$G$1)</f>
        <v>0</v>
      </c>
      <c r="G8" s="1291"/>
      <c r="H8" s="296"/>
      <c r="I8" s="3420"/>
      <c r="J8" s="298"/>
      <c r="K8" s="299"/>
      <c r="L8" s="294" t="s">
        <v>698</v>
      </c>
      <c r="M8" s="295">
        <f ca="1">INDIRECT("'数据-取费表'!ai"&amp;$G$1)</f>
        <v>0</v>
      </c>
    </row>
    <row r="9" spans="1:37" ht="18" customHeight="1">
      <c r="A9" s="296"/>
      <c r="B9" s="3421"/>
      <c r="C9" s="298"/>
      <c r="D9" s="299"/>
      <c r="E9" s="294" t="s">
        <v>699</v>
      </c>
      <c r="F9" s="304">
        <f ca="1">INDIRECT("'数据-取费表'!w"&amp;$G$1)</f>
        <v>0</v>
      </c>
      <c r="G9" s="1291"/>
      <c r="H9" s="296"/>
      <c r="I9" s="342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0.03</v>
      </c>
      <c r="G20" s="1302"/>
      <c r="H20" s="928" t="s">
        <v>680</v>
      </c>
      <c r="I20" s="147" t="s">
        <v>730</v>
      </c>
      <c r="J20" s="22">
        <f ca="1">ROUND(M20*M21,0)</f>
        <v>0</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IF(项目基本情况!B11="自然人","——",ROUND(C6*F32/(1+'数据-取费表'!C42),0))</f>
        <v>0</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24</v>
      </c>
      <c r="G34" s="1291"/>
      <c r="H34" s="2470"/>
      <c r="I34" s="1304"/>
      <c r="J34" s="1305"/>
      <c r="K34" s="2475"/>
      <c r="L34" s="2476"/>
      <c r="M34" s="2476"/>
    </row>
    <row r="35" spans="1:18" ht="18" customHeight="1">
      <c r="A35" s="1040"/>
      <c r="B35" s="1038"/>
      <c r="C35" s="26"/>
      <c r="D35" s="319"/>
      <c r="E35" s="294" t="s">
        <v>736</v>
      </c>
      <c r="F35" s="295">
        <f ca="1">INDIRECT("'数据-取费表'!r"&amp;$G$1)</f>
        <v>0</v>
      </c>
      <c r="G35" s="1291"/>
      <c r="H35" s="2470"/>
      <c r="I35" s="1304"/>
      <c r="J35" s="1305"/>
      <c r="K35" s="2474"/>
      <c r="L35" s="2473"/>
      <c r="M35" s="2473"/>
    </row>
    <row r="36" spans="1:18" ht="18" customHeight="1">
      <c r="A36" s="1039" t="s">
        <v>402</v>
      </c>
      <c r="B36" s="294" t="s">
        <v>738</v>
      </c>
      <c r="C36" s="21">
        <f ca="1">ROUND(C29*F36,0)</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ROUND(C13*F37,0)</f>
        <v>0</v>
      </c>
      <c r="D37" s="1255" t="s">
        <v>743</v>
      </c>
      <c r="E37" s="294" t="s">
        <v>744</v>
      </c>
      <c r="F37" s="321">
        <f ca="1">INDIRECT("'数据-取费表'!Al"&amp;$G$1)</f>
        <v>0</v>
      </c>
      <c r="G37" s="1291"/>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1"/>
      <c r="H38" s="2473"/>
      <c r="I38" s="1304"/>
      <c r="J38" s="1305"/>
      <c r="K38" s="2471"/>
      <c r="L38" s="2473"/>
      <c r="M38" s="2473"/>
    </row>
    <row r="39" spans="1:18" ht="24.6" customHeight="1" thickTop="1">
      <c r="A39" s="1016" t="s">
        <v>394</v>
      </c>
      <c r="B39" s="1031" t="s">
        <v>772</v>
      </c>
      <c r="C39" s="302">
        <f ca="1">C5-C30</f>
        <v>0</v>
      </c>
      <c r="D39" s="1032" t="s">
        <v>773</v>
      </c>
      <c r="E39" s="1033"/>
      <c r="F39" s="1034"/>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3352</v>
      </c>
      <c r="B45" s="1306"/>
      <c r="C45" s="1375" t="e">
        <f ca="1">ROUND((C68-C40)/10000,4)</f>
        <v>#DIV/0!</v>
      </c>
      <c r="D45" s="3130" t="s">
        <v>3353</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417" t="s">
        <v>837</v>
      </c>
      <c r="L53" s="3418"/>
      <c r="O53" s="1324" t="s">
        <v>409</v>
      </c>
      <c r="P53" s="1325" t="s">
        <v>838</v>
      </c>
      <c r="Q53" s="1326" t="e">
        <f ca="1">Q47+Q48</f>
        <v>#DIV/0!</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24</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2" t="s">
        <v>2315</v>
      </c>
      <c r="B2" s="2594" t="e">
        <f>IF(D2="——",C40,C40+E2)</f>
        <v>#DIV/0!</v>
      </c>
      <c r="C2" s="2595" t="s">
        <v>2316</v>
      </c>
      <c r="D2" s="3138" t="s">
        <v>3359</v>
      </c>
      <c r="E2" s="3139"/>
      <c r="F2" s="2597"/>
      <c r="G2" s="2598"/>
      <c r="H2" s="2599"/>
      <c r="I2" s="2600"/>
      <c r="J2" s="3428" t="s">
        <v>2317</v>
      </c>
      <c r="K2" s="3429"/>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430" t="s">
        <v>2327</v>
      </c>
      <c r="K3" s="3431"/>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430" t="s">
        <v>2329</v>
      </c>
      <c r="K4" s="3431"/>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436" t="s">
        <v>2333</v>
      </c>
      <c r="B6" s="3437"/>
      <c r="C6" s="3438"/>
      <c r="D6" s="2621"/>
      <c r="E6" s="2622"/>
      <c r="F6" s="2623"/>
      <c r="G6" s="2624"/>
      <c r="H6" s="2599"/>
      <c r="I6" s="2600"/>
      <c r="J6" s="3422">
        <v>1</v>
      </c>
      <c r="K6" s="3423"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422"/>
      <c r="K7" s="3424"/>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439" t="s">
        <v>2347</v>
      </c>
      <c r="C8" s="3440"/>
      <c r="D8" s="2640" t="s">
        <v>2348</v>
      </c>
      <c r="E8" s="2641" t="s">
        <v>2349</v>
      </c>
      <c r="F8" s="2642" t="s">
        <v>2350</v>
      </c>
      <c r="G8" s="2643"/>
      <c r="H8" s="2599"/>
      <c r="I8" s="2600"/>
      <c r="J8" s="3422"/>
      <c r="K8" s="3424"/>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439" t="s">
        <v>2353</v>
      </c>
      <c r="C9" s="3440"/>
      <c r="D9" s="2640">
        <f>ROUND(D6*E9,0)</f>
        <v>0</v>
      </c>
      <c r="E9" s="2644"/>
      <c r="F9" s="2645" t="s">
        <v>2354</v>
      </c>
      <c r="G9" s="2624"/>
      <c r="H9" s="2599"/>
      <c r="I9" s="2600"/>
      <c r="J9" s="3422"/>
      <c r="K9" s="3424"/>
      <c r="L9" s="2634" t="s">
        <v>2355</v>
      </c>
      <c r="M9" s="2635"/>
      <c r="N9" s="2611"/>
      <c r="O9" s="2636"/>
      <c r="P9" s="2636"/>
      <c r="Q9" s="2637">
        <v>365</v>
      </c>
      <c r="R9" s="2638">
        <f t="shared" si="0"/>
        <v>0</v>
      </c>
      <c r="S9" s="2592"/>
      <c r="T9" s="2592"/>
      <c r="U9" s="2592"/>
      <c r="V9" s="2600"/>
    </row>
    <row r="10" spans="1:22" s="2604" customFormat="1" ht="13.2" customHeight="1">
      <c r="A10" s="2639">
        <v>2</v>
      </c>
      <c r="B10" s="3439" t="s">
        <v>2356</v>
      </c>
      <c r="C10" s="3440"/>
      <c r="D10" s="2640">
        <f>ROUND(D6*E10,0)</f>
        <v>0</v>
      </c>
      <c r="E10" s="2644"/>
      <c r="F10" s="2645" t="s">
        <v>2357</v>
      </c>
      <c r="G10" s="2624"/>
      <c r="H10" s="2599"/>
      <c r="I10" s="2600"/>
      <c r="J10" s="3422"/>
      <c r="K10" s="3424"/>
      <c r="L10" s="2634" t="s">
        <v>2358</v>
      </c>
      <c r="M10" s="2635"/>
      <c r="N10" s="2611"/>
      <c r="O10" s="2636"/>
      <c r="P10" s="2636"/>
      <c r="Q10" s="2637">
        <v>365</v>
      </c>
      <c r="R10" s="2638">
        <f t="shared" si="0"/>
        <v>0</v>
      </c>
      <c r="S10" s="2592"/>
      <c r="T10" s="2592"/>
      <c r="U10" s="2592"/>
      <c r="V10" s="2600"/>
    </row>
    <row r="11" spans="1:22" s="2604" customFormat="1" ht="13.2" customHeight="1">
      <c r="A11" s="2639">
        <v>3</v>
      </c>
      <c r="B11" s="3439" t="s">
        <v>2359</v>
      </c>
      <c r="C11" s="3440"/>
      <c r="D11" s="2640">
        <f>D12+D14+D15+D16</f>
        <v>0</v>
      </c>
      <c r="E11" s="2646" t="e">
        <f>D11/D6</f>
        <v>#DIV/0!</v>
      </c>
      <c r="F11" s="2642"/>
      <c r="G11" s="2643"/>
      <c r="H11" s="2599"/>
      <c r="I11" s="2600"/>
      <c r="J11" s="3422"/>
      <c r="K11" s="3424"/>
      <c r="L11" s="2634" t="s">
        <v>2360</v>
      </c>
      <c r="M11" s="2635"/>
      <c r="N11" s="2611"/>
      <c r="O11" s="2636"/>
      <c r="P11" s="2636"/>
      <c r="Q11" s="2637">
        <v>365</v>
      </c>
      <c r="R11" s="2638">
        <f t="shared" si="0"/>
        <v>0</v>
      </c>
      <c r="S11" s="2592"/>
      <c r="T11" s="2592"/>
      <c r="U11" s="2592"/>
      <c r="V11" s="2600"/>
    </row>
    <row r="12" spans="1:22" s="2604" customFormat="1" ht="13.2" customHeight="1">
      <c r="A12" s="2647" t="s">
        <v>2361</v>
      </c>
      <c r="B12" s="3432" t="s">
        <v>2362</v>
      </c>
      <c r="C12" s="3433"/>
      <c r="D12" s="2648">
        <f>ROUND(D13*1.2%*(1-30%),0)</f>
        <v>0</v>
      </c>
      <c r="E12" s="2649">
        <v>1.2E-2</v>
      </c>
      <c r="F12" s="2642" t="s">
        <v>2363</v>
      </c>
      <c r="G12" s="2643"/>
      <c r="H12" s="2599"/>
      <c r="I12" s="2600"/>
      <c r="J12" s="3422"/>
      <c r="K12" s="3424"/>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422"/>
      <c r="K13" s="3424"/>
      <c r="L13" s="2634" t="s">
        <v>2366</v>
      </c>
      <c r="M13" s="2635"/>
      <c r="N13" s="2611"/>
      <c r="O13" s="2636"/>
      <c r="P13" s="2636"/>
      <c r="Q13" s="2637">
        <v>365</v>
      </c>
      <c r="R13" s="2638">
        <f t="shared" si="0"/>
        <v>0</v>
      </c>
      <c r="S13" s="2592"/>
      <c r="T13" s="2592"/>
      <c r="U13" s="2592"/>
      <c r="V13" s="2600"/>
    </row>
    <row r="14" spans="1:22" s="2604" customFormat="1" ht="13.2" customHeight="1">
      <c r="A14" s="2647" t="s">
        <v>2367</v>
      </c>
      <c r="B14" s="3432" t="s">
        <v>2368</v>
      </c>
      <c r="C14" s="3433"/>
      <c r="D14" s="2648">
        <f>ROUND(E14*B5/10000,0)</f>
        <v>0</v>
      </c>
      <c r="E14" s="2637"/>
      <c r="F14" s="2642" t="s">
        <v>2369</v>
      </c>
      <c r="G14" s="2643"/>
      <c r="H14" s="2599"/>
      <c r="I14" s="2600"/>
      <c r="J14" s="3422"/>
      <c r="K14" s="3425"/>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432" t="s">
        <v>2372</v>
      </c>
      <c r="C15" s="3433"/>
      <c r="D15" s="2648">
        <f>ROUND(D6*E15,0)</f>
        <v>0</v>
      </c>
      <c r="E15" s="2649">
        <v>5.5E-2</v>
      </c>
      <c r="F15" s="2642" t="s">
        <v>2373</v>
      </c>
      <c r="G15" s="2624"/>
      <c r="H15" s="2599"/>
      <c r="I15" s="2600"/>
      <c r="J15" s="3422">
        <v>2</v>
      </c>
      <c r="K15" s="3423"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432" t="s">
        <v>2381</v>
      </c>
      <c r="C16" s="3433"/>
      <c r="D16" s="2659">
        <f>D6*E16</f>
        <v>0</v>
      </c>
      <c r="E16" s="2660"/>
      <c r="F16" s="2645" t="s">
        <v>2382</v>
      </c>
      <c r="G16" s="2624"/>
      <c r="H16" s="2599"/>
      <c r="I16" s="2600"/>
      <c r="J16" s="3422"/>
      <c r="K16" s="3424"/>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434" t="s">
        <v>2384</v>
      </c>
      <c r="C17" s="3435"/>
      <c r="D17" s="2662">
        <f>ROUND(D6*E17,0)</f>
        <v>0</v>
      </c>
      <c r="E17" s="2663"/>
      <c r="F17" s="2664" t="s">
        <v>2385</v>
      </c>
      <c r="G17" s="2624"/>
      <c r="H17" s="2599"/>
      <c r="I17" s="2600"/>
      <c r="J17" s="3422"/>
      <c r="K17" s="3424"/>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422"/>
      <c r="K18" s="3424"/>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422"/>
      <c r="K19" s="3425"/>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422">
        <v>3</v>
      </c>
      <c r="K20" s="3423"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422"/>
      <c r="K21" s="3424"/>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422"/>
      <c r="K22" s="3424"/>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422"/>
      <c r="K23" s="3424"/>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422"/>
      <c r="K24" s="3425"/>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426">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427"/>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428" t="s">
        <v>2317</v>
      </c>
      <c r="K32" s="3429"/>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430" t="s">
        <v>2327</v>
      </c>
      <c r="K33" s="3431"/>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430" t="s">
        <v>2329</v>
      </c>
      <c r="K34" s="3431"/>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422">
        <v>1</v>
      </c>
      <c r="K36" s="3423"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422"/>
      <c r="K37" s="3424"/>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422"/>
      <c r="K38" s="3424"/>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422"/>
      <c r="K39" s="3424"/>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422"/>
      <c r="K40" s="3425"/>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426">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427"/>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40045.229999999996</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4.4">
      <c r="A4" s="345" t="s">
        <v>1666</v>
      </c>
      <c r="B4" s="346"/>
      <c r="C4" s="3374" t="s">
        <v>1667</v>
      </c>
      <c r="D4" s="3386"/>
      <c r="E4" s="3387" t="s">
        <v>1668</v>
      </c>
      <c r="F4" s="3388"/>
      <c r="G4" s="3374" t="s">
        <v>1669</v>
      </c>
      <c r="H4" s="3386"/>
      <c r="I4" s="3374" t="s">
        <v>1670</v>
      </c>
      <c r="J4" s="3386"/>
      <c r="K4" s="1743" t="s">
        <v>1671</v>
      </c>
      <c r="L4" s="2486"/>
      <c r="M4" s="2487"/>
      <c r="N4" s="2487"/>
      <c r="O4" s="2487"/>
      <c r="P4" s="3389" t="s">
        <v>1672</v>
      </c>
      <c r="Q4" s="3390"/>
      <c r="R4" s="3395" t="s">
        <v>1668</v>
      </c>
      <c r="S4" s="3396"/>
      <c r="T4" s="3395" t="s">
        <v>1669</v>
      </c>
      <c r="U4" s="3396"/>
      <c r="V4" s="3382" t="s">
        <v>1670</v>
      </c>
      <c r="W4" s="3382"/>
      <c r="X4" s="1264"/>
      <c r="Y4" s="3395" t="s">
        <v>1672</v>
      </c>
      <c r="Z4" s="3396"/>
      <c r="AA4" s="3383" t="s">
        <v>1668</v>
      </c>
      <c r="AB4" s="3383" t="s">
        <v>1669</v>
      </c>
      <c r="AC4" s="3383" t="s">
        <v>1670</v>
      </c>
    </row>
    <row r="5" spans="1:29">
      <c r="A5" s="348"/>
      <c r="B5" s="349"/>
      <c r="C5" s="3403" t="s">
        <v>1673</v>
      </c>
      <c r="D5" s="3404"/>
      <c r="E5" s="3410" t="s">
        <v>1674</v>
      </c>
      <c r="F5" s="3411"/>
      <c r="G5" s="3403" t="s">
        <v>1675</v>
      </c>
      <c r="H5" s="3404"/>
      <c r="I5" s="3403" t="s">
        <v>1676</v>
      </c>
      <c r="J5" s="3404"/>
      <c r="K5" s="1744"/>
      <c r="L5" s="2486"/>
      <c r="M5" s="2487"/>
      <c r="N5" s="2487"/>
      <c r="O5" s="2487"/>
      <c r="P5" s="3391"/>
      <c r="Q5" s="3392"/>
      <c r="R5" s="3397"/>
      <c r="S5" s="3398"/>
      <c r="T5" s="3397"/>
      <c r="U5" s="3398"/>
      <c r="V5" s="3382"/>
      <c r="W5" s="3382"/>
      <c r="X5" s="1264"/>
      <c r="Y5" s="3397"/>
      <c r="Z5" s="3398"/>
      <c r="AA5" s="3384"/>
      <c r="AB5" s="3384"/>
      <c r="AC5" s="3384"/>
    </row>
    <row r="6" spans="1:29" ht="15" thickBot="1">
      <c r="A6" s="350"/>
      <c r="B6" s="351"/>
      <c r="C6" s="3401" t="s">
        <v>1677</v>
      </c>
      <c r="D6" s="3402"/>
      <c r="E6" s="3408" t="s">
        <v>1677</v>
      </c>
      <c r="F6" s="3409"/>
      <c r="G6" s="3401" t="s">
        <v>1677</v>
      </c>
      <c r="H6" s="3402"/>
      <c r="I6" s="3401" t="s">
        <v>1677</v>
      </c>
      <c r="J6" s="3402"/>
      <c r="K6" s="1744" t="s">
        <v>1678</v>
      </c>
      <c r="L6" s="2486"/>
      <c r="M6" s="2487"/>
      <c r="N6" s="2487"/>
      <c r="O6" s="2487"/>
      <c r="P6" s="3393"/>
      <c r="Q6" s="3394"/>
      <c r="R6" s="3397"/>
      <c r="S6" s="3398"/>
      <c r="T6" s="3399"/>
      <c r="U6" s="3400"/>
      <c r="V6" s="3382"/>
      <c r="W6" s="3382"/>
      <c r="X6" s="1264"/>
      <c r="Y6" s="3399"/>
      <c r="Z6" s="3400"/>
      <c r="AA6" s="3385"/>
      <c r="AB6" s="3385"/>
      <c r="AC6" s="3385"/>
    </row>
    <row r="7" spans="1:29" s="102" customFormat="1" ht="15" thickBot="1">
      <c r="A7" s="352" t="s">
        <v>1679</v>
      </c>
      <c r="B7" s="353"/>
      <c r="C7" s="354">
        <f>'数据-取费表'!B2</f>
        <v>45526</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05" t="s">
        <v>1680</v>
      </c>
      <c r="Q7" s="3407"/>
      <c r="R7" s="664" t="s">
        <v>20</v>
      </c>
      <c r="S7" s="665">
        <f t="shared" ref="S7:S15" si="0">F7</f>
        <v>0</v>
      </c>
      <c r="T7" s="664" t="s">
        <v>20</v>
      </c>
      <c r="U7" s="665">
        <f t="shared" ref="U7:U15" si="1">H7</f>
        <v>0</v>
      </c>
      <c r="V7" s="664" t="s">
        <v>20</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05" t="s">
        <v>1683</v>
      </c>
      <c r="Q8" s="3406"/>
      <c r="R8" s="664" t="s">
        <v>20</v>
      </c>
      <c r="S8" s="665">
        <f t="shared" si="0"/>
        <v>100</v>
      </c>
      <c r="T8" s="664" t="s">
        <v>20</v>
      </c>
      <c r="U8" s="665">
        <f t="shared" si="1"/>
        <v>100</v>
      </c>
      <c r="V8" s="664" t="s">
        <v>20</v>
      </c>
      <c r="W8" s="665">
        <f t="shared" si="2"/>
        <v>100</v>
      </c>
      <c r="X8" s="666"/>
      <c r="Y8" s="3405" t="s">
        <v>1683</v>
      </c>
      <c r="Z8" s="340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76"/>
      <c r="Q11" s="530" t="str">
        <f t="shared" si="6"/>
        <v>容积率</v>
      </c>
      <c r="R11" s="664" t="s">
        <v>18</v>
      </c>
      <c r="S11" s="665" t="e">
        <f t="shared" si="0"/>
        <v>#N/A</v>
      </c>
      <c r="T11" s="664" t="s">
        <v>18</v>
      </c>
      <c r="U11" s="665" t="e">
        <f t="shared" si="1"/>
        <v>#N/A</v>
      </c>
      <c r="V11" s="664" t="s">
        <v>18</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76"/>
      <c r="Q12" s="530">
        <f t="shared" si="6"/>
        <v>111</v>
      </c>
      <c r="R12" s="664" t="s">
        <v>18</v>
      </c>
      <c r="S12" s="665">
        <f t="shared" si="0"/>
        <v>100</v>
      </c>
      <c r="T12" s="664" t="s">
        <v>18</v>
      </c>
      <c r="U12" s="665">
        <f t="shared" si="1"/>
        <v>100</v>
      </c>
      <c r="V12" s="664" t="s">
        <v>18</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76"/>
      <c r="Q13" s="530">
        <f t="shared" si="6"/>
        <v>111</v>
      </c>
      <c r="R13" s="664" t="s">
        <v>18</v>
      </c>
      <c r="S13" s="665">
        <f t="shared" si="0"/>
        <v>100</v>
      </c>
      <c r="T13" s="664" t="s">
        <v>18</v>
      </c>
      <c r="U13" s="665">
        <f t="shared" si="1"/>
        <v>100</v>
      </c>
      <c r="V13" s="664" t="s">
        <v>18</v>
      </c>
      <c r="W13" s="665">
        <f t="shared" si="2"/>
        <v>100</v>
      </c>
      <c r="X13" s="666"/>
      <c r="Y13" s="3277"/>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76"/>
      <c r="Q14" s="530">
        <f t="shared" si="6"/>
        <v>111</v>
      </c>
      <c r="R14" s="664" t="s">
        <v>18</v>
      </c>
      <c r="S14" s="665">
        <f t="shared" si="0"/>
        <v>100</v>
      </c>
      <c r="T14" s="664" t="s">
        <v>18</v>
      </c>
      <c r="U14" s="665">
        <f t="shared" si="1"/>
        <v>100</v>
      </c>
      <c r="V14" s="664" t="s">
        <v>18</v>
      </c>
      <c r="W14" s="665">
        <f t="shared" si="2"/>
        <v>100</v>
      </c>
      <c r="X14" s="666"/>
      <c r="Y14" s="3277"/>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46" t="s">
        <v>1691</v>
      </c>
      <c r="Q15" s="1262" t="str">
        <f t="shared" si="6"/>
        <v>居住社区成熟度</v>
      </c>
      <c r="R15" s="667" t="s">
        <v>18</v>
      </c>
      <c r="S15" s="668">
        <f t="shared" si="0"/>
        <v>100</v>
      </c>
      <c r="T15" s="667" t="s">
        <v>18</v>
      </c>
      <c r="U15" s="668">
        <f t="shared" si="1"/>
        <v>100</v>
      </c>
      <c r="V15" s="667" t="s">
        <v>18</v>
      </c>
      <c r="W15" s="668">
        <f t="shared" si="2"/>
        <v>100</v>
      </c>
      <c r="X15" s="1264"/>
      <c r="Y15" s="3378"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47"/>
      <c r="Q16" s="1262"/>
      <c r="R16" s="667"/>
      <c r="S16" s="668"/>
      <c r="T16" s="667"/>
      <c r="U16" s="668"/>
      <c r="V16" s="667"/>
      <c r="W16" s="668"/>
      <c r="X16" s="1264"/>
      <c r="Y16" s="3379"/>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47"/>
      <c r="Q17" s="1262" t="str">
        <f>B17</f>
        <v>交通便捷度</v>
      </c>
      <c r="R17" s="667" t="s">
        <v>18</v>
      </c>
      <c r="S17" s="668">
        <f>F17</f>
        <v>100</v>
      </c>
      <c r="T17" s="667" t="s">
        <v>18</v>
      </c>
      <c r="U17" s="668">
        <f>H17</f>
        <v>100</v>
      </c>
      <c r="V17" s="667" t="s">
        <v>18</v>
      </c>
      <c r="W17" s="668">
        <f>J17</f>
        <v>100</v>
      </c>
      <c r="X17" s="1264"/>
      <c r="Y17" s="3379"/>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47"/>
      <c r="Q18" s="1262"/>
      <c r="R18" s="667"/>
      <c r="S18" s="668"/>
      <c r="T18" s="667"/>
      <c r="U18" s="668"/>
      <c r="V18" s="667"/>
      <c r="W18" s="668"/>
      <c r="X18" s="1264"/>
      <c r="Y18" s="3379"/>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47"/>
      <c r="Q19" s="1262" t="str">
        <f>B19</f>
        <v>公共配套设施</v>
      </c>
      <c r="R19" s="667" t="s">
        <v>18</v>
      </c>
      <c r="S19" s="668">
        <f>F19</f>
        <v>100</v>
      </c>
      <c r="T19" s="667" t="s">
        <v>18</v>
      </c>
      <c r="U19" s="668">
        <f>H19</f>
        <v>100</v>
      </c>
      <c r="V19" s="667" t="s">
        <v>18</v>
      </c>
      <c r="W19" s="668">
        <f>J19</f>
        <v>100</v>
      </c>
      <c r="X19" s="1264"/>
      <c r="Y19" s="3379"/>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47"/>
      <c r="Q20" s="1262"/>
      <c r="R20" s="667"/>
      <c r="S20" s="668"/>
      <c r="T20" s="667"/>
      <c r="U20" s="668"/>
      <c r="V20" s="667"/>
      <c r="W20" s="668"/>
      <c r="X20" s="1264"/>
      <c r="Y20" s="3379"/>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47"/>
      <c r="Q21" s="1262" t="str">
        <f>B21</f>
        <v>基础设施水平</v>
      </c>
      <c r="R21" s="667" t="s">
        <v>14</v>
      </c>
      <c r="S21" s="668">
        <f>F21</f>
        <v>100</v>
      </c>
      <c r="T21" s="667" t="s">
        <v>14</v>
      </c>
      <c r="U21" s="668">
        <f>H21</f>
        <v>100</v>
      </c>
      <c r="V21" s="667" t="s">
        <v>14</v>
      </c>
      <c r="W21" s="668">
        <f>J21</f>
        <v>100</v>
      </c>
      <c r="X21" s="1264"/>
      <c r="Y21" s="337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47"/>
      <c r="Q22" s="1262"/>
      <c r="R22" s="667"/>
      <c r="S22" s="668"/>
      <c r="T22" s="667"/>
      <c r="U22" s="668"/>
      <c r="V22" s="667"/>
      <c r="W22" s="668"/>
      <c r="X22" s="1264"/>
      <c r="Y22" s="3379"/>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47"/>
      <c r="Q23" s="1262" t="str">
        <f>B23</f>
        <v>自然及人文环境</v>
      </c>
      <c r="R23" s="667" t="s">
        <v>18</v>
      </c>
      <c r="S23" s="668">
        <f>F23</f>
        <v>100</v>
      </c>
      <c r="T23" s="667" t="s">
        <v>18</v>
      </c>
      <c r="U23" s="668">
        <f>H23</f>
        <v>100</v>
      </c>
      <c r="V23" s="667" t="s">
        <v>18</v>
      </c>
      <c r="W23" s="668">
        <f>J23</f>
        <v>100</v>
      </c>
      <c r="X23" s="1264"/>
      <c r="Y23" s="3379"/>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47"/>
      <c r="Q24" s="1262"/>
      <c r="R24" s="667"/>
      <c r="S24" s="668"/>
      <c r="T24" s="667"/>
      <c r="U24" s="668"/>
      <c r="V24" s="667"/>
      <c r="W24" s="668"/>
      <c r="X24" s="1264"/>
      <c r="Y24" s="3379"/>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47"/>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79"/>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47"/>
      <c r="Q26" s="1262" t="str">
        <f t="shared" si="11"/>
        <v>朝向</v>
      </c>
      <c r="R26" s="667" t="s">
        <v>18</v>
      </c>
      <c r="S26" s="668">
        <f t="shared" si="12"/>
        <v>100</v>
      </c>
      <c r="T26" s="667" t="s">
        <v>18</v>
      </c>
      <c r="U26" s="668">
        <f t="shared" si="13"/>
        <v>100</v>
      </c>
      <c r="V26" s="667" t="s">
        <v>18</v>
      </c>
      <c r="W26" s="668">
        <f t="shared" si="14"/>
        <v>100</v>
      </c>
      <c r="X26" s="1264"/>
      <c r="Y26" s="3379"/>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47"/>
      <c r="Q27" s="530">
        <f t="shared" si="11"/>
        <v>111</v>
      </c>
      <c r="R27" s="664" t="s">
        <v>18</v>
      </c>
      <c r="S27" s="665">
        <f t="shared" si="12"/>
        <v>100</v>
      </c>
      <c r="T27" s="664" t="s">
        <v>18</v>
      </c>
      <c r="U27" s="665">
        <f t="shared" si="13"/>
        <v>100</v>
      </c>
      <c r="V27" s="664" t="s">
        <v>18</v>
      </c>
      <c r="W27" s="665">
        <f t="shared" si="14"/>
        <v>100</v>
      </c>
      <c r="X27" s="666"/>
      <c r="Y27" s="3379"/>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47"/>
      <c r="Q28" s="1262">
        <f t="shared" si="11"/>
        <v>111</v>
      </c>
      <c r="R28" s="667" t="s">
        <v>18</v>
      </c>
      <c r="S28" s="668">
        <f t="shared" si="12"/>
        <v>100</v>
      </c>
      <c r="T28" s="667" t="s">
        <v>18</v>
      </c>
      <c r="U28" s="668">
        <f t="shared" si="13"/>
        <v>100</v>
      </c>
      <c r="V28" s="667" t="s">
        <v>18</v>
      </c>
      <c r="W28" s="668">
        <f t="shared" si="14"/>
        <v>100</v>
      </c>
      <c r="X28" s="1264"/>
      <c r="Y28" s="3379"/>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47"/>
      <c r="Q29" s="1262">
        <f t="shared" si="11"/>
        <v>111</v>
      </c>
      <c r="R29" s="667" t="s">
        <v>18</v>
      </c>
      <c r="S29" s="668">
        <f t="shared" si="12"/>
        <v>100</v>
      </c>
      <c r="T29" s="667" t="s">
        <v>18</v>
      </c>
      <c r="U29" s="668">
        <f t="shared" si="13"/>
        <v>100</v>
      </c>
      <c r="V29" s="667" t="s">
        <v>18</v>
      </c>
      <c r="W29" s="668">
        <f t="shared" si="14"/>
        <v>100</v>
      </c>
      <c r="X29" s="1264"/>
      <c r="Y29" s="3379"/>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47"/>
      <c r="Q30" s="1262">
        <f t="shared" si="11"/>
        <v>111</v>
      </c>
      <c r="R30" s="667" t="s">
        <v>18</v>
      </c>
      <c r="S30" s="668">
        <f t="shared" si="12"/>
        <v>100</v>
      </c>
      <c r="T30" s="667" t="s">
        <v>18</v>
      </c>
      <c r="U30" s="668">
        <f t="shared" si="13"/>
        <v>100</v>
      </c>
      <c r="V30" s="667" t="s">
        <v>18</v>
      </c>
      <c r="W30" s="668">
        <f t="shared" si="14"/>
        <v>100</v>
      </c>
      <c r="X30" s="1264"/>
      <c r="Y30" s="3379"/>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47"/>
      <c r="Q31" s="1262">
        <f t="shared" si="11"/>
        <v>111</v>
      </c>
      <c r="R31" s="667" t="s">
        <v>18</v>
      </c>
      <c r="S31" s="668">
        <f t="shared" si="12"/>
        <v>100</v>
      </c>
      <c r="T31" s="667" t="s">
        <v>18</v>
      </c>
      <c r="U31" s="668">
        <f t="shared" si="13"/>
        <v>100</v>
      </c>
      <c r="V31" s="667" t="s">
        <v>18</v>
      </c>
      <c r="W31" s="668">
        <f t="shared" si="14"/>
        <v>100</v>
      </c>
      <c r="X31" s="1264"/>
      <c r="Y31" s="3379"/>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42" t="s">
        <v>1696</v>
      </c>
      <c r="Q32" s="1262" t="str">
        <f t="shared" si="11"/>
        <v>建筑类型</v>
      </c>
      <c r="R32" s="667" t="s">
        <v>18</v>
      </c>
      <c r="S32" s="668">
        <f t="shared" si="12"/>
        <v>100</v>
      </c>
      <c r="T32" s="667" t="s">
        <v>18</v>
      </c>
      <c r="U32" s="668">
        <f t="shared" si="13"/>
        <v>100</v>
      </c>
      <c r="V32" s="667" t="s">
        <v>18</v>
      </c>
      <c r="W32" s="668">
        <f t="shared" si="14"/>
        <v>100</v>
      </c>
      <c r="X32" s="1264"/>
      <c r="Y32" s="338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43"/>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43"/>
      <c r="Q34" s="1262" t="str">
        <f t="shared" si="11"/>
        <v>建筑结构</v>
      </c>
      <c r="R34" s="667" t="s">
        <v>18</v>
      </c>
      <c r="S34" s="668">
        <f t="shared" si="12"/>
        <v>100</v>
      </c>
      <c r="T34" s="667" t="s">
        <v>18</v>
      </c>
      <c r="U34" s="668">
        <f t="shared" si="13"/>
        <v>100</v>
      </c>
      <c r="V34" s="667" t="s">
        <v>18</v>
      </c>
      <c r="W34" s="668">
        <f t="shared" si="14"/>
        <v>100</v>
      </c>
      <c r="X34" s="1264"/>
      <c r="Y34" s="338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43"/>
      <c r="Q35" s="1262" t="str">
        <f t="shared" si="11"/>
        <v>建筑品质</v>
      </c>
      <c r="R35" s="667" t="s">
        <v>18</v>
      </c>
      <c r="S35" s="668">
        <f t="shared" si="12"/>
        <v>100</v>
      </c>
      <c r="T35" s="667" t="s">
        <v>18</v>
      </c>
      <c r="U35" s="668">
        <f t="shared" si="13"/>
        <v>100</v>
      </c>
      <c r="V35" s="667" t="s">
        <v>18</v>
      </c>
      <c r="W35" s="668">
        <f t="shared" si="14"/>
        <v>100</v>
      </c>
      <c r="X35" s="1264"/>
      <c r="Y35" s="338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43"/>
      <c r="Q36" s="1262" t="str">
        <f t="shared" si="11"/>
        <v>公共部分装修</v>
      </c>
      <c r="R36" s="667" t="s">
        <v>18</v>
      </c>
      <c r="S36" s="668">
        <f t="shared" si="12"/>
        <v>100</v>
      </c>
      <c r="T36" s="667" t="s">
        <v>18</v>
      </c>
      <c r="U36" s="668">
        <f t="shared" si="13"/>
        <v>100</v>
      </c>
      <c r="V36" s="667" t="s">
        <v>18</v>
      </c>
      <c r="W36" s="668">
        <f t="shared" si="14"/>
        <v>100</v>
      </c>
      <c r="X36" s="1264"/>
      <c r="Y36" s="338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43"/>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43" t="s">
        <v>1696</v>
      </c>
      <c r="Q38" s="1262" t="str">
        <f t="shared" si="11"/>
        <v>物业管理</v>
      </c>
      <c r="R38" s="667" t="s">
        <v>18</v>
      </c>
      <c r="S38" s="668">
        <f t="shared" si="12"/>
        <v>100</v>
      </c>
      <c r="T38" s="667" t="s">
        <v>18</v>
      </c>
      <c r="U38" s="668">
        <f t="shared" si="13"/>
        <v>100</v>
      </c>
      <c r="V38" s="667" t="s">
        <v>18</v>
      </c>
      <c r="W38" s="668">
        <f t="shared" si="14"/>
        <v>100</v>
      </c>
      <c r="X38" s="1264"/>
      <c r="Y38" s="338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43"/>
      <c r="Q39" s="1262" t="str">
        <f t="shared" si="11"/>
        <v>市政基础设施</v>
      </c>
      <c r="R39" s="667" t="s">
        <v>18</v>
      </c>
      <c r="S39" s="668">
        <f t="shared" si="12"/>
        <v>100</v>
      </c>
      <c r="T39" s="667" t="s">
        <v>18</v>
      </c>
      <c r="U39" s="668">
        <f t="shared" si="13"/>
        <v>100</v>
      </c>
      <c r="V39" s="667" t="s">
        <v>18</v>
      </c>
      <c r="W39" s="668">
        <f t="shared" si="14"/>
        <v>100</v>
      </c>
      <c r="X39" s="1264"/>
      <c r="Y39" s="338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43"/>
      <c r="Q40" s="1262" t="str">
        <f t="shared" si="11"/>
        <v>房型</v>
      </c>
      <c r="R40" s="667" t="s">
        <v>18</v>
      </c>
      <c r="S40" s="668">
        <f t="shared" si="12"/>
        <v>100</v>
      </c>
      <c r="T40" s="667" t="s">
        <v>18</v>
      </c>
      <c r="U40" s="668">
        <f t="shared" si="13"/>
        <v>100</v>
      </c>
      <c r="V40" s="667" t="s">
        <v>18</v>
      </c>
      <c r="W40" s="668">
        <f t="shared" si="14"/>
        <v>100</v>
      </c>
      <c r="X40" s="1264"/>
      <c r="Y40" s="3381"/>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43"/>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43"/>
      <c r="Q42" s="1262" t="str">
        <f t="shared" si="11"/>
        <v>内部装修</v>
      </c>
      <c r="R42" s="667" t="s">
        <v>18</v>
      </c>
      <c r="S42" s="668">
        <f t="shared" si="12"/>
        <v>100</v>
      </c>
      <c r="T42" s="667" t="s">
        <v>18</v>
      </c>
      <c r="U42" s="668">
        <f t="shared" si="13"/>
        <v>100</v>
      </c>
      <c r="V42" s="667" t="s">
        <v>18</v>
      </c>
      <c r="W42" s="668">
        <f t="shared" si="14"/>
        <v>100</v>
      </c>
      <c r="X42" s="1264"/>
      <c r="Y42" s="3381"/>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43"/>
      <c r="Q43" s="1262" t="str">
        <f t="shared" si="11"/>
        <v>内部装修维护情况</v>
      </c>
      <c r="R43" s="667" t="s">
        <v>18</v>
      </c>
      <c r="S43" s="668">
        <f t="shared" si="12"/>
        <v>100</v>
      </c>
      <c r="T43" s="667" t="s">
        <v>18</v>
      </c>
      <c r="U43" s="668">
        <f t="shared" si="13"/>
        <v>100</v>
      </c>
      <c r="V43" s="667" t="s">
        <v>18</v>
      </c>
      <c r="W43" s="668">
        <f t="shared" si="14"/>
        <v>100</v>
      </c>
      <c r="X43" s="1264"/>
      <c r="Y43" s="3381"/>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43"/>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43"/>
      <c r="Q45" s="1262">
        <f t="shared" si="11"/>
        <v>111</v>
      </c>
      <c r="R45" s="667" t="s">
        <v>18</v>
      </c>
      <c r="S45" s="668">
        <f t="shared" si="12"/>
        <v>100</v>
      </c>
      <c r="T45" s="667" t="s">
        <v>18</v>
      </c>
      <c r="U45" s="668">
        <f t="shared" si="13"/>
        <v>100</v>
      </c>
      <c r="V45" s="667" t="s">
        <v>18</v>
      </c>
      <c r="W45" s="668">
        <f t="shared" si="14"/>
        <v>100</v>
      </c>
      <c r="X45" s="1264"/>
      <c r="Y45" s="3381"/>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44"/>
      <c r="Q46" s="1262">
        <f t="shared" si="11"/>
        <v>111</v>
      </c>
      <c r="R46" s="667" t="s">
        <v>17</v>
      </c>
      <c r="S46" s="668">
        <f t="shared" si="12"/>
        <v>100</v>
      </c>
      <c r="T46" s="667" t="s">
        <v>17</v>
      </c>
      <c r="U46" s="668">
        <f t="shared" si="13"/>
        <v>100</v>
      </c>
      <c r="V46" s="667" t="s">
        <v>17</v>
      </c>
      <c r="W46" s="668">
        <f t="shared" si="14"/>
        <v>100</v>
      </c>
      <c r="X46" s="1264"/>
      <c r="Y46" s="3445"/>
      <c r="Z46" s="1263">
        <f t="shared" si="18"/>
        <v>111</v>
      </c>
      <c r="AA46" s="1263">
        <f t="shared" si="15"/>
        <v>1</v>
      </c>
      <c r="AB46" s="1263">
        <f t="shared" si="16"/>
        <v>1</v>
      </c>
      <c r="AC46" s="1263">
        <f t="shared" si="17"/>
        <v>1</v>
      </c>
    </row>
    <row r="47" spans="1:29" ht="14.4">
      <c r="A47" s="416" t="s">
        <v>1708</v>
      </c>
      <c r="B47" s="417"/>
      <c r="C47" s="1081" t="s">
        <v>16</v>
      </c>
      <c r="D47" s="418"/>
      <c r="E47" s="419"/>
      <c r="F47" s="420"/>
      <c r="G47" s="421"/>
      <c r="H47" s="422"/>
      <c r="I47" s="419"/>
      <c r="J47" s="422"/>
      <c r="K47" s="1766"/>
      <c r="L47" s="2494"/>
      <c r="M47" s="2487"/>
      <c r="N47" s="2487"/>
      <c r="O47" s="2487"/>
      <c r="P47" s="3377" t="str">
        <f>A47</f>
        <v>成交单价（元/平方米）</v>
      </c>
      <c r="Q47" s="3377"/>
      <c r="R47" s="3382">
        <f>E47</f>
        <v>0</v>
      </c>
      <c r="S47" s="3382"/>
      <c r="T47" s="3382">
        <f>G47</f>
        <v>0</v>
      </c>
      <c r="U47" s="3382"/>
      <c r="V47" s="3382">
        <f>I47</f>
        <v>0</v>
      </c>
      <c r="W47" s="3382"/>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377" t="str">
        <f>A48</f>
        <v>比较价值（元/平方米）</v>
      </c>
      <c r="Q48" s="3377"/>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1710</v>
      </c>
      <c r="B49" s="428"/>
      <c r="C49" s="1084" t="e">
        <f>R49</f>
        <v>#DIV/0!</v>
      </c>
      <c r="D49" s="351"/>
      <c r="E49" s="351"/>
      <c r="F49" s="351"/>
      <c r="G49" s="351"/>
      <c r="H49" s="351"/>
      <c r="I49" s="351"/>
      <c r="J49" s="351"/>
      <c r="K49" s="1767"/>
      <c r="L49" s="2494"/>
      <c r="M49" s="2487"/>
      <c r="N49" s="2487"/>
      <c r="O49" s="2487"/>
      <c r="P49" s="3371" t="str">
        <f>A49</f>
        <v>估价对象XX用房的比较价值（楼面单价，元/平方米）</v>
      </c>
      <c r="Q49" s="3372"/>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4" t="str">
        <f>YEAR(C7)&amp;"-"&amp;MONTH(C7)</f>
        <v>2024-8</v>
      </c>
      <c r="D58" s="1103">
        <f>EDATE(C58,-1)</f>
        <v>45474</v>
      </c>
      <c r="E58" s="1103">
        <f>EDATE(D58,-1)</f>
        <v>45444</v>
      </c>
      <c r="F58" s="1103">
        <f t="shared" ref="F58:O58" si="19">EDATE(E58,-1)</f>
        <v>45413</v>
      </c>
      <c r="G58" s="1103">
        <f t="shared" si="19"/>
        <v>45383</v>
      </c>
      <c r="H58" s="1103">
        <f t="shared" si="19"/>
        <v>45352</v>
      </c>
      <c r="I58" s="1103">
        <f t="shared" si="19"/>
        <v>45323</v>
      </c>
      <c r="J58" s="1103">
        <f t="shared" si="19"/>
        <v>45292</v>
      </c>
      <c r="K58" s="1103">
        <f t="shared" si="19"/>
        <v>45261</v>
      </c>
      <c r="L58" s="1103">
        <f t="shared" si="19"/>
        <v>45231</v>
      </c>
      <c r="M58" s="1103">
        <f t="shared" si="19"/>
        <v>45200</v>
      </c>
      <c r="N58" s="1103">
        <f t="shared" si="19"/>
        <v>45170</v>
      </c>
      <c r="O58" s="1103">
        <f t="shared" si="19"/>
        <v>45139</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v>
      </c>
    </row>
    <row r="4" spans="1:1" ht="17.399999999999999">
      <c r="A4" s="1381" t="str">
        <f>"受贵公司委托，我公司对"&amp;项目基本情况!S1&amp;"进行了预评估。"</f>
        <v>受贵公司委托，我公司对北京市房地产抵押价值进行了预评估。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估价对象为北京市房地产，为所有。根据《国有土地使用证》[]，估价对象（分摊）出让国有建设用地使用权面积为8274.56平方米，建筑面积为40045.23平方米。</v>
      </c>
    </row>
    <row r="8" spans="1:1" ht="54.6">
      <c r="A8" s="1384" t="s">
        <v>901</v>
      </c>
    </row>
    <row r="9" spans="1:1" ht="17.399999999999999">
      <c r="A9" s="1383" t="s">
        <v>902</v>
      </c>
    </row>
    <row r="10" spans="1:1" ht="52.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估价对象为北京市房地产,属开发建设的，该项目尚在开发建设中。根据《国有土地使用证》[]，估价对象（分摊）出让国有建设用地使用权面积为8274.56平方米，规划建筑面积为40045.23平方米。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2024年8月22日（评估专业人员实地查勘之日）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40045.229999999996</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4.4">
      <c r="A4" s="345" t="s">
        <v>1769</v>
      </c>
      <c r="B4" s="346"/>
      <c r="C4" s="3374" t="s">
        <v>1770</v>
      </c>
      <c r="D4" s="3386"/>
      <c r="E4" s="3387" t="s">
        <v>1771</v>
      </c>
      <c r="F4" s="3388"/>
      <c r="G4" s="3374" t="s">
        <v>1772</v>
      </c>
      <c r="H4" s="3386"/>
      <c r="I4" s="3374" t="s">
        <v>1773</v>
      </c>
      <c r="J4" s="3386"/>
      <c r="K4" s="537" t="s">
        <v>1774</v>
      </c>
      <c r="L4" s="2486"/>
      <c r="M4" s="2487"/>
      <c r="N4" s="2487"/>
      <c r="O4" s="2487"/>
      <c r="P4" s="3389" t="s">
        <v>1775</v>
      </c>
      <c r="Q4" s="3390"/>
      <c r="R4" s="3395" t="s">
        <v>1771</v>
      </c>
      <c r="S4" s="3396"/>
      <c r="T4" s="3395" t="s">
        <v>1772</v>
      </c>
      <c r="U4" s="3396"/>
      <c r="V4" s="3382" t="s">
        <v>1773</v>
      </c>
      <c r="W4" s="3382"/>
      <c r="X4" s="1264"/>
      <c r="Y4" s="3395" t="s">
        <v>1775</v>
      </c>
      <c r="Z4" s="3396"/>
      <c r="AA4" s="3383" t="s">
        <v>1771</v>
      </c>
      <c r="AB4" s="3382" t="s">
        <v>1772</v>
      </c>
      <c r="AC4" s="3383" t="s">
        <v>1773</v>
      </c>
    </row>
    <row r="5" spans="1:29">
      <c r="A5" s="348"/>
      <c r="B5" s="349"/>
      <c r="C5" s="3403" t="s">
        <v>1673</v>
      </c>
      <c r="D5" s="3404"/>
      <c r="E5" s="3410" t="s">
        <v>1674</v>
      </c>
      <c r="F5" s="3411"/>
      <c r="G5" s="3403" t="s">
        <v>1675</v>
      </c>
      <c r="H5" s="3404"/>
      <c r="I5" s="3403" t="s">
        <v>1676</v>
      </c>
      <c r="J5" s="3404"/>
      <c r="K5" s="537"/>
      <c r="L5" s="2486"/>
      <c r="M5" s="2487"/>
      <c r="N5" s="2487"/>
      <c r="O5" s="2487"/>
      <c r="P5" s="3391"/>
      <c r="Q5" s="3392"/>
      <c r="R5" s="3397"/>
      <c r="S5" s="3398"/>
      <c r="T5" s="3397"/>
      <c r="U5" s="3398"/>
      <c r="V5" s="3382"/>
      <c r="W5" s="3382"/>
      <c r="X5" s="1264"/>
      <c r="Y5" s="3397"/>
      <c r="Z5" s="3398"/>
      <c r="AA5" s="3384"/>
      <c r="AB5" s="3382"/>
      <c r="AC5" s="3384"/>
    </row>
    <row r="6" spans="1:29" ht="15" thickBot="1">
      <c r="A6" s="350"/>
      <c r="B6" s="351"/>
      <c r="C6" s="3401" t="s">
        <v>1677</v>
      </c>
      <c r="D6" s="3402"/>
      <c r="E6" s="3408" t="s">
        <v>1677</v>
      </c>
      <c r="F6" s="3409"/>
      <c r="G6" s="3401" t="s">
        <v>1677</v>
      </c>
      <c r="H6" s="3402"/>
      <c r="I6" s="3401" t="s">
        <v>1677</v>
      </c>
      <c r="J6" s="3402"/>
      <c r="K6" s="537" t="s">
        <v>1678</v>
      </c>
      <c r="L6" s="2486"/>
      <c r="M6" s="2487"/>
      <c r="N6" s="2487"/>
      <c r="O6" s="2487"/>
      <c r="P6" s="3393"/>
      <c r="Q6" s="3394"/>
      <c r="R6" s="3397"/>
      <c r="S6" s="3398"/>
      <c r="T6" s="3399"/>
      <c r="U6" s="3400"/>
      <c r="V6" s="3382"/>
      <c r="W6" s="3382"/>
      <c r="X6" s="1264"/>
      <c r="Y6" s="3399"/>
      <c r="Z6" s="3400"/>
      <c r="AA6" s="3385"/>
      <c r="AB6" s="3382"/>
      <c r="AC6" s="3385"/>
    </row>
    <row r="7" spans="1:29" s="102" customFormat="1" ht="15" thickBot="1">
      <c r="A7" s="352" t="s">
        <v>1679</v>
      </c>
      <c r="B7" s="353"/>
      <c r="C7" s="354">
        <f>'数据-取费表'!B2</f>
        <v>45526</v>
      </c>
      <c r="D7" s="355">
        <v>100</v>
      </c>
      <c r="E7" s="356"/>
      <c r="F7" s="357">
        <f>SUMIF(58:58,YEAR(E7)&amp;"-"&amp;MONTH(E7),59:59)</f>
        <v>0</v>
      </c>
      <c r="G7" s="356"/>
      <c r="H7" s="355">
        <f>SUMIF(58:58,YEAR(G7)&amp;"-"&amp;MONTH(G7),59:59)</f>
        <v>0</v>
      </c>
      <c r="I7" s="356"/>
      <c r="J7" s="355">
        <f>SUMIF(58:58,YEAR(I7)&amp;"-"&amp;MONTH(I7),59:59)</f>
        <v>0</v>
      </c>
      <c r="K7" s="38"/>
      <c r="L7" s="2488"/>
      <c r="M7" s="2439"/>
      <c r="N7" s="2439"/>
      <c r="O7" s="2439"/>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76"/>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6"/>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6"/>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46" t="s">
        <v>1691</v>
      </c>
      <c r="Q15" s="1262" t="str">
        <f t="shared" si="6"/>
        <v>商业繁华度</v>
      </c>
      <c r="R15" s="667" t="s">
        <v>14</v>
      </c>
      <c r="S15" s="668">
        <f t="shared" si="0"/>
        <v>100</v>
      </c>
      <c r="T15" s="667" t="s">
        <v>14</v>
      </c>
      <c r="U15" s="668">
        <f t="shared" si="1"/>
        <v>100</v>
      </c>
      <c r="V15" s="667" t="s">
        <v>14</v>
      </c>
      <c r="W15" s="668">
        <f t="shared" si="2"/>
        <v>100</v>
      </c>
      <c r="X15" s="1264"/>
      <c r="Y15" s="3378"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47"/>
      <c r="Q16" s="1262"/>
      <c r="R16" s="667"/>
      <c r="S16" s="668"/>
      <c r="T16" s="667"/>
      <c r="U16" s="668"/>
      <c r="V16" s="667"/>
      <c r="W16" s="668"/>
      <c r="X16" s="1264"/>
      <c r="Y16" s="3379"/>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47"/>
      <c r="Q17" s="1262" t="str">
        <f>B17</f>
        <v>交通便捷度</v>
      </c>
      <c r="R17" s="667" t="s">
        <v>14</v>
      </c>
      <c r="S17" s="668">
        <f>F17</f>
        <v>100</v>
      </c>
      <c r="T17" s="667" t="s">
        <v>14</v>
      </c>
      <c r="U17" s="668">
        <f>H17</f>
        <v>100</v>
      </c>
      <c r="V17" s="667" t="s">
        <v>14</v>
      </c>
      <c r="W17" s="668">
        <f>J17</f>
        <v>100</v>
      </c>
      <c r="X17" s="1264"/>
      <c r="Y17" s="337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47"/>
      <c r="Q18" s="1262"/>
      <c r="R18" s="667"/>
      <c r="S18" s="668"/>
      <c r="T18" s="667"/>
      <c r="U18" s="668"/>
      <c r="V18" s="667"/>
      <c r="W18" s="668"/>
      <c r="X18" s="1264"/>
      <c r="Y18" s="3379"/>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47"/>
      <c r="Q19" s="1262" t="str">
        <f>B19</f>
        <v>公共配套设施</v>
      </c>
      <c r="R19" s="667" t="s">
        <v>14</v>
      </c>
      <c r="S19" s="668">
        <f>F19</f>
        <v>100</v>
      </c>
      <c r="T19" s="667" t="s">
        <v>14</v>
      </c>
      <c r="U19" s="668">
        <f>H19</f>
        <v>100</v>
      </c>
      <c r="V19" s="667" t="s">
        <v>14</v>
      </c>
      <c r="W19" s="668">
        <f>J19</f>
        <v>100</v>
      </c>
      <c r="X19" s="1264"/>
      <c r="Y19" s="337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47"/>
      <c r="Q20" s="1262"/>
      <c r="R20" s="667"/>
      <c r="S20" s="668"/>
      <c r="T20" s="667"/>
      <c r="U20" s="668"/>
      <c r="V20" s="667"/>
      <c r="W20" s="668"/>
      <c r="X20" s="1264"/>
      <c r="Y20" s="3379"/>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47"/>
      <c r="Q21" s="1262" t="str">
        <f>B21</f>
        <v>基础设施水平</v>
      </c>
      <c r="R21" s="667" t="s">
        <v>14</v>
      </c>
      <c r="S21" s="668">
        <f>F21</f>
        <v>100</v>
      </c>
      <c r="T21" s="667" t="s">
        <v>14</v>
      </c>
      <c r="U21" s="668">
        <f>H21</f>
        <v>100</v>
      </c>
      <c r="V21" s="667" t="s">
        <v>14</v>
      </c>
      <c r="W21" s="668">
        <f>J21</f>
        <v>100</v>
      </c>
      <c r="X21" s="1264"/>
      <c r="Y21" s="337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2"/>
      <c r="M22" s="2487"/>
      <c r="N22" s="2487"/>
      <c r="O22" s="2487"/>
      <c r="P22" s="3447"/>
      <c r="Q22" s="1262"/>
      <c r="R22" s="667"/>
      <c r="S22" s="668"/>
      <c r="T22" s="667"/>
      <c r="U22" s="668"/>
      <c r="V22" s="667"/>
      <c r="W22" s="668"/>
      <c r="X22" s="1264"/>
      <c r="Y22" s="3379"/>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47"/>
      <c r="Q23" s="1262" t="str">
        <f>B23</f>
        <v>自然及人文环境</v>
      </c>
      <c r="R23" s="667" t="s">
        <v>14</v>
      </c>
      <c r="S23" s="668">
        <f>F23</f>
        <v>100</v>
      </c>
      <c r="T23" s="667" t="s">
        <v>14</v>
      </c>
      <c r="U23" s="668">
        <f>H23</f>
        <v>100</v>
      </c>
      <c r="V23" s="667" t="s">
        <v>14</v>
      </c>
      <c r="W23" s="668">
        <f>J23</f>
        <v>100</v>
      </c>
      <c r="X23" s="1264"/>
      <c r="Y23" s="3379"/>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47"/>
      <c r="Q24" s="1262"/>
      <c r="R24" s="667"/>
      <c r="S24" s="668"/>
      <c r="T24" s="667"/>
      <c r="U24" s="668"/>
      <c r="V24" s="667"/>
      <c r="W24" s="668"/>
      <c r="X24" s="1264"/>
      <c r="Y24" s="3379"/>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47"/>
      <c r="Q25" s="1262" t="str">
        <f t="shared" ref="Q25:Q46" si="11">B25</f>
        <v>临街状况</v>
      </c>
      <c r="R25" s="667" t="s">
        <v>14</v>
      </c>
      <c r="S25" s="668">
        <f>F25</f>
        <v>100</v>
      </c>
      <c r="T25" s="667" t="s">
        <v>14</v>
      </c>
      <c r="U25" s="668">
        <f>H25</f>
        <v>100</v>
      </c>
      <c r="V25" s="667" t="s">
        <v>14</v>
      </c>
      <c r="W25" s="668">
        <f>J25</f>
        <v>100</v>
      </c>
      <c r="X25" s="1264"/>
      <c r="Y25" s="3379"/>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47"/>
      <c r="Q26" s="1262" t="str">
        <f t="shared" si="11"/>
        <v>平面位置/可视性</v>
      </c>
      <c r="R26" s="667" t="s">
        <v>14</v>
      </c>
      <c r="S26" s="668">
        <f>F26</f>
        <v>100</v>
      </c>
      <c r="T26" s="667" t="s">
        <v>14</v>
      </c>
      <c r="U26" s="668">
        <f>H26</f>
        <v>100</v>
      </c>
      <c r="V26" s="667" t="s">
        <v>14</v>
      </c>
      <c r="W26" s="668">
        <f>J26</f>
        <v>100</v>
      </c>
      <c r="X26" s="1264"/>
      <c r="Y26" s="3379"/>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47"/>
      <c r="Q27" s="530" t="str">
        <f t="shared" si="11"/>
        <v>人流量</v>
      </c>
      <c r="R27" s="664" t="s">
        <v>14</v>
      </c>
      <c r="S27" s="665">
        <f>F27</f>
        <v>100</v>
      </c>
      <c r="T27" s="664" t="s">
        <v>14</v>
      </c>
      <c r="U27" s="665">
        <f>H27</f>
        <v>100</v>
      </c>
      <c r="V27" s="664" t="s">
        <v>14</v>
      </c>
      <c r="W27" s="665">
        <f>J27</f>
        <v>100</v>
      </c>
      <c r="X27" s="666"/>
      <c r="Y27" s="3379"/>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47"/>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79"/>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47"/>
      <c r="Q29" s="1262">
        <f t="shared" si="11"/>
        <v>111</v>
      </c>
      <c r="R29" s="667" t="s">
        <v>14</v>
      </c>
      <c r="S29" s="668">
        <f t="shared" si="12"/>
        <v>100</v>
      </c>
      <c r="T29" s="667" t="s">
        <v>14</v>
      </c>
      <c r="U29" s="668">
        <f t="shared" si="13"/>
        <v>100</v>
      </c>
      <c r="V29" s="667" t="s">
        <v>14</v>
      </c>
      <c r="W29" s="668">
        <f t="shared" si="14"/>
        <v>100</v>
      </c>
      <c r="X29" s="1264"/>
      <c r="Y29" s="3379"/>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47"/>
      <c r="Q30" s="1262">
        <f t="shared" si="11"/>
        <v>111</v>
      </c>
      <c r="R30" s="667" t="s">
        <v>14</v>
      </c>
      <c r="S30" s="668">
        <f t="shared" si="12"/>
        <v>100</v>
      </c>
      <c r="T30" s="667" t="s">
        <v>14</v>
      </c>
      <c r="U30" s="668">
        <f t="shared" si="13"/>
        <v>100</v>
      </c>
      <c r="V30" s="667" t="s">
        <v>14</v>
      </c>
      <c r="W30" s="668">
        <f t="shared" si="14"/>
        <v>100</v>
      </c>
      <c r="X30" s="1264"/>
      <c r="Y30" s="3379"/>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47"/>
      <c r="Q31" s="1262">
        <f t="shared" si="11"/>
        <v>111</v>
      </c>
      <c r="R31" s="667" t="s">
        <v>14</v>
      </c>
      <c r="S31" s="668">
        <f t="shared" si="12"/>
        <v>100</v>
      </c>
      <c r="T31" s="667" t="s">
        <v>14</v>
      </c>
      <c r="U31" s="668">
        <f t="shared" si="13"/>
        <v>100</v>
      </c>
      <c r="V31" s="667" t="s">
        <v>14</v>
      </c>
      <c r="W31" s="668">
        <f t="shared" si="14"/>
        <v>100</v>
      </c>
      <c r="X31" s="1264"/>
      <c r="Y31" s="3379"/>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42" t="s">
        <v>1696</v>
      </c>
      <c r="Q32" s="1262" t="str">
        <f t="shared" si="11"/>
        <v>商业类型</v>
      </c>
      <c r="R32" s="667" t="s">
        <v>14</v>
      </c>
      <c r="S32" s="668">
        <f t="shared" si="12"/>
        <v>100</v>
      </c>
      <c r="T32" s="667" t="s">
        <v>14</v>
      </c>
      <c r="U32" s="668">
        <f t="shared" si="13"/>
        <v>100</v>
      </c>
      <c r="V32" s="667" t="s">
        <v>14</v>
      </c>
      <c r="W32" s="668">
        <f t="shared" si="14"/>
        <v>100</v>
      </c>
      <c r="X32" s="1264"/>
      <c r="Y32" s="3381"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43"/>
      <c r="Q33" s="531" t="str">
        <f t="shared" si="11"/>
        <v>项目建筑规模</v>
      </c>
      <c r="R33" s="669" t="s">
        <v>14</v>
      </c>
      <c r="S33" s="670" t="e">
        <f t="shared" si="12"/>
        <v>#N/A</v>
      </c>
      <c r="T33" s="669" t="s">
        <v>14</v>
      </c>
      <c r="U33" s="670" t="e">
        <f t="shared" si="13"/>
        <v>#N/A</v>
      </c>
      <c r="V33" s="669" t="s">
        <v>14</v>
      </c>
      <c r="W33" s="670" t="e">
        <f t="shared" si="14"/>
        <v>#N/A</v>
      </c>
      <c r="X33" s="671"/>
      <c r="Y33" s="3381"/>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43"/>
      <c r="Q34" s="1262" t="str">
        <f t="shared" si="11"/>
        <v>建筑结构</v>
      </c>
      <c r="R34" s="667" t="s">
        <v>14</v>
      </c>
      <c r="S34" s="668">
        <f t="shared" si="12"/>
        <v>100</v>
      </c>
      <c r="T34" s="667" t="s">
        <v>14</v>
      </c>
      <c r="U34" s="668">
        <f t="shared" si="13"/>
        <v>100</v>
      </c>
      <c r="V34" s="667" t="s">
        <v>14</v>
      </c>
      <c r="W34" s="668">
        <f t="shared" si="14"/>
        <v>100</v>
      </c>
      <c r="X34" s="1264"/>
      <c r="Y34" s="3381"/>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43"/>
      <c r="Q35" s="1262" t="str">
        <f t="shared" si="11"/>
        <v>公共部分装修</v>
      </c>
      <c r="R35" s="667" t="s">
        <v>14</v>
      </c>
      <c r="S35" s="668">
        <f t="shared" si="12"/>
        <v>100</v>
      </c>
      <c r="T35" s="667" t="s">
        <v>14</v>
      </c>
      <c r="U35" s="668">
        <f t="shared" si="13"/>
        <v>100</v>
      </c>
      <c r="V35" s="667" t="s">
        <v>14</v>
      </c>
      <c r="W35" s="668">
        <f t="shared" si="14"/>
        <v>100</v>
      </c>
      <c r="X35" s="1264"/>
      <c r="Y35" s="3381"/>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43"/>
      <c r="Q36" s="1262" t="str">
        <f t="shared" si="11"/>
        <v>成新度</v>
      </c>
      <c r="R36" s="667" t="s">
        <v>14</v>
      </c>
      <c r="S36" s="668" t="e">
        <f t="shared" si="12"/>
        <v>#N/A</v>
      </c>
      <c r="T36" s="667" t="s">
        <v>14</v>
      </c>
      <c r="U36" s="668" t="e">
        <f t="shared" si="13"/>
        <v>#N/A</v>
      </c>
      <c r="V36" s="667" t="s">
        <v>14</v>
      </c>
      <c r="W36" s="668" t="e">
        <f t="shared" si="14"/>
        <v>#N/A</v>
      </c>
      <c r="X36" s="1264"/>
      <c r="Y36" s="3381"/>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43"/>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43" t="s">
        <v>1696</v>
      </c>
      <c r="Q38" s="1262" t="str">
        <f t="shared" si="11"/>
        <v>业态</v>
      </c>
      <c r="R38" s="667" t="s">
        <v>14</v>
      </c>
      <c r="S38" s="668">
        <f t="shared" si="12"/>
        <v>100</v>
      </c>
      <c r="T38" s="667" t="s">
        <v>14</v>
      </c>
      <c r="U38" s="668">
        <f t="shared" si="13"/>
        <v>100</v>
      </c>
      <c r="V38" s="667" t="s">
        <v>14</v>
      </c>
      <c r="W38" s="668">
        <f t="shared" si="14"/>
        <v>100</v>
      </c>
      <c r="X38" s="1264"/>
      <c r="Y38" s="338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43"/>
      <c r="Q39" s="1262" t="str">
        <f t="shared" si="11"/>
        <v>层高</v>
      </c>
      <c r="R39" s="667" t="s">
        <v>14</v>
      </c>
      <c r="S39" s="668">
        <f t="shared" si="12"/>
        <v>100</v>
      </c>
      <c r="T39" s="667" t="s">
        <v>14</v>
      </c>
      <c r="U39" s="668">
        <f t="shared" si="13"/>
        <v>100</v>
      </c>
      <c r="V39" s="667" t="s">
        <v>14</v>
      </c>
      <c r="W39" s="668">
        <f t="shared" si="14"/>
        <v>100</v>
      </c>
      <c r="X39" s="1264"/>
      <c r="Y39" s="3381"/>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43"/>
      <c r="Q40" s="1262" t="str">
        <f t="shared" si="11"/>
        <v>单套建筑面积</v>
      </c>
      <c r="R40" s="667" t="s">
        <v>14</v>
      </c>
      <c r="S40" s="668">
        <f t="shared" si="12"/>
        <v>100</v>
      </c>
      <c r="T40" s="667" t="s">
        <v>14</v>
      </c>
      <c r="U40" s="668">
        <f t="shared" si="13"/>
        <v>100</v>
      </c>
      <c r="V40" s="667" t="s">
        <v>14</v>
      </c>
      <c r="W40" s="668">
        <f t="shared" si="14"/>
        <v>100</v>
      </c>
      <c r="X40" s="1264"/>
      <c r="Y40" s="3381"/>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43"/>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43"/>
      <c r="Q42" s="1262" t="str">
        <f t="shared" si="11"/>
        <v>内部装修</v>
      </c>
      <c r="R42" s="667" t="s">
        <v>14</v>
      </c>
      <c r="S42" s="668">
        <f t="shared" si="12"/>
        <v>100</v>
      </c>
      <c r="T42" s="667" t="s">
        <v>14</v>
      </c>
      <c r="U42" s="668">
        <f t="shared" si="13"/>
        <v>100</v>
      </c>
      <c r="V42" s="667" t="s">
        <v>14</v>
      </c>
      <c r="W42" s="668">
        <f t="shared" si="14"/>
        <v>100</v>
      </c>
      <c r="X42" s="1264"/>
      <c r="Y42" s="3381"/>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43"/>
      <c r="Q43" s="1262" t="str">
        <f t="shared" si="11"/>
        <v>内部装修维护情况</v>
      </c>
      <c r="R43" s="667" t="s">
        <v>14</v>
      </c>
      <c r="S43" s="668">
        <f t="shared" si="12"/>
        <v>100</v>
      </c>
      <c r="T43" s="667" t="s">
        <v>14</v>
      </c>
      <c r="U43" s="668">
        <f t="shared" si="13"/>
        <v>100</v>
      </c>
      <c r="V43" s="667" t="s">
        <v>14</v>
      </c>
      <c r="W43" s="668">
        <f t="shared" si="14"/>
        <v>100</v>
      </c>
      <c r="X43" s="1264"/>
      <c r="Y43" s="3381"/>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43"/>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43"/>
      <c r="Q45" s="1262">
        <f t="shared" si="11"/>
        <v>111</v>
      </c>
      <c r="R45" s="667" t="s">
        <v>14</v>
      </c>
      <c r="S45" s="668">
        <f t="shared" si="12"/>
        <v>100</v>
      </c>
      <c r="T45" s="667" t="s">
        <v>14</v>
      </c>
      <c r="U45" s="668">
        <f t="shared" si="13"/>
        <v>100</v>
      </c>
      <c r="V45" s="667" t="s">
        <v>14</v>
      </c>
      <c r="W45" s="668">
        <f t="shared" si="14"/>
        <v>100</v>
      </c>
      <c r="X45" s="1264"/>
      <c r="Y45" s="3381"/>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44"/>
      <c r="Q46" s="1262">
        <f t="shared" si="11"/>
        <v>111</v>
      </c>
      <c r="R46" s="667" t="s">
        <v>14</v>
      </c>
      <c r="S46" s="668">
        <f t="shared" si="12"/>
        <v>100</v>
      </c>
      <c r="T46" s="667" t="s">
        <v>14</v>
      </c>
      <c r="U46" s="668">
        <f t="shared" si="13"/>
        <v>100</v>
      </c>
      <c r="V46" s="667" t="s">
        <v>14</v>
      </c>
      <c r="W46" s="668">
        <f t="shared" si="14"/>
        <v>100</v>
      </c>
      <c r="X46" s="1264"/>
      <c r="Y46" s="3445"/>
      <c r="Z46" s="1263">
        <f t="shared" si="15"/>
        <v>111</v>
      </c>
      <c r="AA46" s="1263">
        <f t="shared" si="3"/>
        <v>1</v>
      </c>
      <c r="AB46" s="1263">
        <f t="shared" si="4"/>
        <v>1</v>
      </c>
      <c r="AC46" s="1263">
        <f t="shared" si="5"/>
        <v>1</v>
      </c>
    </row>
    <row r="47" spans="1:29" ht="14.4">
      <c r="A47" s="416" t="s">
        <v>1708</v>
      </c>
      <c r="B47" s="417"/>
      <c r="C47" s="1081" t="s">
        <v>0</v>
      </c>
      <c r="D47" s="418"/>
      <c r="E47" s="419"/>
      <c r="F47" s="420"/>
      <c r="G47" s="421"/>
      <c r="H47" s="422"/>
      <c r="I47" s="419"/>
      <c r="J47" s="422"/>
      <c r="K47" s="674"/>
      <c r="L47" s="2494"/>
      <c r="M47" s="2487"/>
      <c r="N47" s="2487"/>
      <c r="O47" s="2487"/>
      <c r="P47" s="3377" t="str">
        <f>A47</f>
        <v>成交单价（元/平方米）</v>
      </c>
      <c r="Q47" s="3377"/>
      <c r="R47" s="3382">
        <f>E47</f>
        <v>0</v>
      </c>
      <c r="S47" s="3382"/>
      <c r="T47" s="3382">
        <f>G47</f>
        <v>0</v>
      </c>
      <c r="U47" s="3382"/>
      <c r="V47" s="3382">
        <f>I47</f>
        <v>0</v>
      </c>
      <c r="W47" s="3382"/>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377" t="str">
        <f>A48</f>
        <v>比较价值（元/平方米）</v>
      </c>
      <c r="Q48" s="3377"/>
      <c r="R48" s="3382" t="e">
        <f>IF(F1="售价",ROUND(PRODUCT(R47,AA7:AA46),0),ROUND(PRODUCT(R47,AA7:AA46),1))</f>
        <v>#DIV/0!</v>
      </c>
      <c r="S48" s="3382"/>
      <c r="T48" s="3382" t="e">
        <f>IF(F1="售价",ROUND(PRODUCT(T47,AB7:AB46),0),ROUND(PRODUCT(T47,AB7:AB46),1))</f>
        <v>#DIV/0!</v>
      </c>
      <c r="U48" s="3382"/>
      <c r="V48" s="3382" t="e">
        <f>IF(F1="售价",ROUND(PRODUCT(V47,AC7:AC46),0),ROUND(PRODUCT(V47,AC7:AC46),1))</f>
        <v>#DIV/0!</v>
      </c>
      <c r="W48" s="338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71" t="str">
        <f>A49</f>
        <v>估价对象XX用房的比较价值（楼面单价，元/平方米）</v>
      </c>
      <c r="Q49" s="3372"/>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2" t="str">
        <f>YEAR(C7)&amp;"-"&amp;MONTH(C7)</f>
        <v>2024-8</v>
      </c>
      <c r="D58" s="1103">
        <f>EDATE(C58,-1)</f>
        <v>45474</v>
      </c>
      <c r="E58" s="1103">
        <f t="shared" ref="E58:N58" si="16">EDATE(D58,-1)</f>
        <v>45444</v>
      </c>
      <c r="F58" s="1103">
        <f t="shared" si="16"/>
        <v>45413</v>
      </c>
      <c r="G58" s="1103">
        <f t="shared" si="16"/>
        <v>45383</v>
      </c>
      <c r="H58" s="1103">
        <f t="shared" si="16"/>
        <v>45352</v>
      </c>
      <c r="I58" s="1103">
        <f t="shared" si="16"/>
        <v>45323</v>
      </c>
      <c r="J58" s="1103">
        <f t="shared" si="16"/>
        <v>45292</v>
      </c>
      <c r="K58" s="1103">
        <f t="shared" si="16"/>
        <v>45261</v>
      </c>
      <c r="L58" s="1103">
        <f t="shared" si="16"/>
        <v>45231</v>
      </c>
      <c r="M58" s="1103">
        <f t="shared" si="16"/>
        <v>45200</v>
      </c>
      <c r="N58" s="1103">
        <f t="shared" si="16"/>
        <v>45170</v>
      </c>
      <c r="O58" s="1103">
        <f>EDATE(N58,-1)</f>
        <v>45139</v>
      </c>
      <c r="P58" s="2509"/>
      <c r="Q58" s="2510"/>
      <c r="R58" s="2510"/>
      <c r="S58" s="2510"/>
      <c r="T58" s="2510"/>
      <c r="U58" s="2510"/>
      <c r="V58" s="2510"/>
      <c r="W58" s="2510"/>
      <c r="X58" s="2510"/>
      <c r="Y58" s="2510"/>
      <c r="Z58" s="2510"/>
      <c r="AA58" s="2510"/>
      <c r="AB58" s="2510"/>
      <c r="AC58" s="2510"/>
    </row>
    <row r="59" spans="1:29" s="102" customFormat="1">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40045.229999999996</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74" t="s">
        <v>1770</v>
      </c>
      <c r="D4" s="3386"/>
      <c r="E4" s="3387" t="s">
        <v>1771</v>
      </c>
      <c r="F4" s="3388"/>
      <c r="G4" s="3374" t="s">
        <v>1772</v>
      </c>
      <c r="H4" s="3386"/>
      <c r="I4" s="3374" t="s">
        <v>1773</v>
      </c>
      <c r="J4" s="3386"/>
      <c r="K4" s="537" t="s">
        <v>1774</v>
      </c>
      <c r="L4" s="2486"/>
      <c r="M4" s="2487"/>
      <c r="N4" s="2487"/>
      <c r="O4" s="2487"/>
      <c r="P4" s="3454" t="s">
        <v>1775</v>
      </c>
      <c r="Q4" s="3455"/>
      <c r="R4" s="3458" t="s">
        <v>1771</v>
      </c>
      <c r="S4" s="3459"/>
      <c r="T4" s="3458" t="s">
        <v>1772</v>
      </c>
      <c r="U4" s="3459"/>
      <c r="V4" s="3460" t="s">
        <v>1773</v>
      </c>
      <c r="W4" s="3460"/>
      <c r="X4" s="1808"/>
      <c r="Y4" s="3458" t="s">
        <v>1775</v>
      </c>
      <c r="Z4" s="3459"/>
      <c r="AA4" s="3462" t="s">
        <v>1771</v>
      </c>
      <c r="AB4" s="3462" t="s">
        <v>1772</v>
      </c>
      <c r="AC4" s="3451" t="s">
        <v>1773</v>
      </c>
    </row>
    <row r="5" spans="1:29">
      <c r="A5" s="348"/>
      <c r="B5" s="349"/>
      <c r="C5" s="3403" t="s">
        <v>1673</v>
      </c>
      <c r="D5" s="3404"/>
      <c r="E5" s="3410" t="s">
        <v>1674</v>
      </c>
      <c r="F5" s="3411"/>
      <c r="G5" s="3403" t="s">
        <v>1675</v>
      </c>
      <c r="H5" s="3404"/>
      <c r="I5" s="3403" t="s">
        <v>1676</v>
      </c>
      <c r="J5" s="3404"/>
      <c r="K5" s="537"/>
      <c r="L5" s="2486"/>
      <c r="M5" s="2487"/>
      <c r="N5" s="2487"/>
      <c r="O5" s="2487"/>
      <c r="P5" s="3456"/>
      <c r="Q5" s="3392"/>
      <c r="R5" s="3397"/>
      <c r="S5" s="3398"/>
      <c r="T5" s="3397"/>
      <c r="U5" s="3398"/>
      <c r="V5" s="3382"/>
      <c r="W5" s="3382"/>
      <c r="X5" s="1264"/>
      <c r="Y5" s="3397"/>
      <c r="Z5" s="3398"/>
      <c r="AA5" s="3384"/>
      <c r="AB5" s="3384"/>
      <c r="AC5" s="3452"/>
    </row>
    <row r="6" spans="1:29" ht="15" thickBot="1">
      <c r="A6" s="350"/>
      <c r="B6" s="351"/>
      <c r="C6" s="3401" t="s">
        <v>1677</v>
      </c>
      <c r="D6" s="3402"/>
      <c r="E6" s="3408" t="s">
        <v>1677</v>
      </c>
      <c r="F6" s="3409"/>
      <c r="G6" s="3401" t="s">
        <v>1677</v>
      </c>
      <c r="H6" s="3402"/>
      <c r="I6" s="3401" t="s">
        <v>1677</v>
      </c>
      <c r="J6" s="3402"/>
      <c r="K6" s="537" t="s">
        <v>1678</v>
      </c>
      <c r="L6" s="2486"/>
      <c r="M6" s="2487"/>
      <c r="N6" s="2487"/>
      <c r="O6" s="2487"/>
      <c r="P6" s="3457"/>
      <c r="Q6" s="3394"/>
      <c r="R6" s="3397"/>
      <c r="S6" s="3398"/>
      <c r="T6" s="3399"/>
      <c r="U6" s="3400"/>
      <c r="V6" s="3382"/>
      <c r="W6" s="3382"/>
      <c r="X6" s="1264"/>
      <c r="Y6" s="3399"/>
      <c r="Z6" s="3400"/>
      <c r="AA6" s="3385"/>
      <c r="AB6" s="3385"/>
      <c r="AC6" s="3453"/>
    </row>
    <row r="7" spans="1:29" s="102" customFormat="1" ht="15" thickBot="1">
      <c r="A7" s="352" t="s">
        <v>1679</v>
      </c>
      <c r="B7" s="353"/>
      <c r="C7" s="354">
        <f>'数据-取费表'!B2</f>
        <v>45526</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1"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1" t="s">
        <v>1683</v>
      </c>
      <c r="Q8" s="3406"/>
      <c r="R8" s="664" t="s">
        <v>14</v>
      </c>
      <c r="S8" s="665">
        <f t="shared" si="0"/>
        <v>100</v>
      </c>
      <c r="T8" s="664" t="s">
        <v>14</v>
      </c>
      <c r="U8" s="665">
        <f t="shared" si="1"/>
        <v>100</v>
      </c>
      <c r="V8" s="664" t="s">
        <v>14</v>
      </c>
      <c r="W8" s="665">
        <f t="shared" si="2"/>
        <v>100</v>
      </c>
      <c r="X8" s="666"/>
      <c r="Y8" s="3405" t="s">
        <v>1683</v>
      </c>
      <c r="Z8" s="340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76"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6"/>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6"/>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76"/>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76"/>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76"/>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46" t="s">
        <v>1691</v>
      </c>
      <c r="Q15" s="1262" t="str">
        <f t="shared" si="6"/>
        <v>办公集聚程度</v>
      </c>
      <c r="R15" s="667" t="s">
        <v>14</v>
      </c>
      <c r="S15" s="668">
        <f t="shared" si="0"/>
        <v>100</v>
      </c>
      <c r="T15" s="667" t="s">
        <v>14</v>
      </c>
      <c r="U15" s="668">
        <f t="shared" si="1"/>
        <v>100</v>
      </c>
      <c r="V15" s="667" t="s">
        <v>14</v>
      </c>
      <c r="W15" s="668">
        <f t="shared" si="2"/>
        <v>100</v>
      </c>
      <c r="X15" s="1264"/>
      <c r="Y15" s="3378"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447"/>
      <c r="Q16" s="1262"/>
      <c r="R16" s="667"/>
      <c r="S16" s="668"/>
      <c r="T16" s="667"/>
      <c r="U16" s="668"/>
      <c r="V16" s="667"/>
      <c r="W16" s="668"/>
      <c r="X16" s="1264"/>
      <c r="Y16" s="3379"/>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47"/>
      <c r="Q17" s="1262" t="str">
        <f>B17</f>
        <v>交通便捷度</v>
      </c>
      <c r="R17" s="667" t="s">
        <v>14</v>
      </c>
      <c r="S17" s="668">
        <f>F17</f>
        <v>100</v>
      </c>
      <c r="T17" s="667" t="s">
        <v>14</v>
      </c>
      <c r="U17" s="668">
        <f>H17</f>
        <v>100</v>
      </c>
      <c r="V17" s="667" t="s">
        <v>14</v>
      </c>
      <c r="W17" s="668">
        <f>J17</f>
        <v>100</v>
      </c>
      <c r="X17" s="1264"/>
      <c r="Y17" s="3379"/>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447"/>
      <c r="Q18" s="1262"/>
      <c r="R18" s="667"/>
      <c r="S18" s="668"/>
      <c r="T18" s="667"/>
      <c r="U18" s="668"/>
      <c r="V18" s="667"/>
      <c r="W18" s="668"/>
      <c r="X18" s="1264"/>
      <c r="Y18" s="3379"/>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47"/>
      <c r="Q19" s="1262" t="str">
        <f>B19</f>
        <v>公共配套设施</v>
      </c>
      <c r="R19" s="667" t="s">
        <v>14</v>
      </c>
      <c r="S19" s="668">
        <f>F19</f>
        <v>100</v>
      </c>
      <c r="T19" s="667" t="s">
        <v>14</v>
      </c>
      <c r="U19" s="668">
        <f>H19</f>
        <v>100</v>
      </c>
      <c r="V19" s="667" t="s">
        <v>14</v>
      </c>
      <c r="W19" s="668">
        <f>J19</f>
        <v>100</v>
      </c>
      <c r="X19" s="1264"/>
      <c r="Y19" s="3379"/>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447"/>
      <c r="Q20" s="1262"/>
      <c r="R20" s="667"/>
      <c r="S20" s="668"/>
      <c r="T20" s="667"/>
      <c r="U20" s="668"/>
      <c r="V20" s="667"/>
      <c r="W20" s="668"/>
      <c r="X20" s="1264"/>
      <c r="Y20" s="3379"/>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47"/>
      <c r="Q21" s="1262" t="str">
        <f>B21</f>
        <v>基础设施水平</v>
      </c>
      <c r="R21" s="667" t="s">
        <v>14</v>
      </c>
      <c r="S21" s="668">
        <f>F21</f>
        <v>100</v>
      </c>
      <c r="T21" s="667" t="s">
        <v>14</v>
      </c>
      <c r="U21" s="668">
        <f>H21</f>
        <v>100</v>
      </c>
      <c r="V21" s="667" t="s">
        <v>14</v>
      </c>
      <c r="W21" s="668">
        <f>J21</f>
        <v>100</v>
      </c>
      <c r="X21" s="1264"/>
      <c r="Y21" s="3379"/>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47"/>
      <c r="Q22" s="1262"/>
      <c r="R22" s="667"/>
      <c r="S22" s="668"/>
      <c r="T22" s="667"/>
      <c r="U22" s="668"/>
      <c r="V22" s="667"/>
      <c r="W22" s="668"/>
      <c r="X22" s="1264"/>
      <c r="Y22" s="3379"/>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47"/>
      <c r="Q23" s="1262" t="str">
        <f>B23</f>
        <v>环境质量</v>
      </c>
      <c r="R23" s="667" t="s">
        <v>14</v>
      </c>
      <c r="S23" s="668">
        <f>F23</f>
        <v>100</v>
      </c>
      <c r="T23" s="667" t="s">
        <v>14</v>
      </c>
      <c r="U23" s="668">
        <f>H23</f>
        <v>100</v>
      </c>
      <c r="V23" s="667" t="s">
        <v>14</v>
      </c>
      <c r="W23" s="668">
        <f>J23</f>
        <v>100</v>
      </c>
      <c r="X23" s="1264"/>
      <c r="Y23" s="3379"/>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447"/>
      <c r="Q24" s="1262"/>
      <c r="R24" s="667"/>
      <c r="S24" s="668"/>
      <c r="T24" s="667"/>
      <c r="U24" s="668"/>
      <c r="V24" s="667"/>
      <c r="W24" s="668"/>
      <c r="X24" s="1264"/>
      <c r="Y24" s="3379"/>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47"/>
      <c r="Q25" s="1262" t="str">
        <f>B25</f>
        <v>毗邻道路的类型与等级</v>
      </c>
      <c r="R25" s="667" t="s">
        <v>14</v>
      </c>
      <c r="S25" s="668">
        <f>F25</f>
        <v>100</v>
      </c>
      <c r="T25" s="667" t="s">
        <v>14</v>
      </c>
      <c r="U25" s="668">
        <f>H25</f>
        <v>100</v>
      </c>
      <c r="V25" s="667" t="s">
        <v>14</v>
      </c>
      <c r="W25" s="668">
        <f>J25</f>
        <v>100</v>
      </c>
      <c r="X25" s="1264"/>
      <c r="Y25" s="3379"/>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447"/>
      <c r="Q26" s="1262"/>
      <c r="R26" s="667"/>
      <c r="S26" s="668"/>
      <c r="T26" s="667"/>
      <c r="U26" s="668"/>
      <c r="V26" s="667"/>
      <c r="W26" s="668"/>
      <c r="X26" s="1264"/>
      <c r="Y26" s="3379"/>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47"/>
      <c r="Q27" s="1262" t="str">
        <f t="shared" ref="Q27:Q47" si="11">B27</f>
        <v>楼层</v>
      </c>
      <c r="R27" s="667" t="s">
        <v>14</v>
      </c>
      <c r="S27" s="668">
        <f>F27</f>
        <v>100</v>
      </c>
      <c r="T27" s="667" t="s">
        <v>14</v>
      </c>
      <c r="U27" s="668">
        <f>H27</f>
        <v>100</v>
      </c>
      <c r="V27" s="667" t="s">
        <v>14</v>
      </c>
      <c r="W27" s="668">
        <f>J27</f>
        <v>100</v>
      </c>
      <c r="X27" s="1264"/>
      <c r="Y27" s="3379"/>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47"/>
      <c r="Q28" s="530" t="str">
        <f t="shared" si="11"/>
        <v>朝向</v>
      </c>
      <c r="R28" s="664" t="s">
        <v>14</v>
      </c>
      <c r="S28" s="665">
        <f>F28</f>
        <v>100</v>
      </c>
      <c r="T28" s="664" t="s">
        <v>14</v>
      </c>
      <c r="U28" s="665">
        <f>H28</f>
        <v>100</v>
      </c>
      <c r="V28" s="664" t="s">
        <v>14</v>
      </c>
      <c r="W28" s="665">
        <f>J28</f>
        <v>100</v>
      </c>
      <c r="X28" s="666"/>
      <c r="Y28" s="3379"/>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47"/>
      <c r="Q29" s="1262">
        <f t="shared" si="11"/>
        <v>111</v>
      </c>
      <c r="R29" s="667" t="s">
        <v>14</v>
      </c>
      <c r="S29" s="668">
        <f t="shared" ref="S29:S47" si="12">F29</f>
        <v>100</v>
      </c>
      <c r="T29" s="667" t="s">
        <v>14</v>
      </c>
      <c r="U29" s="668">
        <f t="shared" ref="U29:U47" si="13">H29</f>
        <v>100</v>
      </c>
      <c r="V29" s="667" t="s">
        <v>14</v>
      </c>
      <c r="W29" s="668">
        <f t="shared" ref="W29:W47" si="14">J29</f>
        <v>100</v>
      </c>
      <c r="X29" s="1264"/>
      <c r="Y29" s="3379"/>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47"/>
      <c r="Q30" s="1262">
        <f t="shared" si="11"/>
        <v>111</v>
      </c>
      <c r="R30" s="667" t="s">
        <v>14</v>
      </c>
      <c r="S30" s="668">
        <f t="shared" si="12"/>
        <v>100</v>
      </c>
      <c r="T30" s="667" t="s">
        <v>14</v>
      </c>
      <c r="U30" s="668">
        <f t="shared" si="13"/>
        <v>100</v>
      </c>
      <c r="V30" s="667" t="s">
        <v>14</v>
      </c>
      <c r="W30" s="668">
        <f t="shared" si="14"/>
        <v>100</v>
      </c>
      <c r="X30" s="1264"/>
      <c r="Y30" s="3379"/>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47"/>
      <c r="Q31" s="1262">
        <f t="shared" si="11"/>
        <v>111</v>
      </c>
      <c r="R31" s="667" t="s">
        <v>14</v>
      </c>
      <c r="S31" s="668">
        <f t="shared" si="12"/>
        <v>100</v>
      </c>
      <c r="T31" s="667" t="s">
        <v>14</v>
      </c>
      <c r="U31" s="668">
        <f t="shared" si="13"/>
        <v>100</v>
      </c>
      <c r="V31" s="667" t="s">
        <v>14</v>
      </c>
      <c r="W31" s="668">
        <f t="shared" si="14"/>
        <v>100</v>
      </c>
      <c r="X31" s="1264"/>
      <c r="Y31" s="3379"/>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47"/>
      <c r="Q32" s="1262">
        <f t="shared" si="11"/>
        <v>111</v>
      </c>
      <c r="R32" s="667" t="s">
        <v>14</v>
      </c>
      <c r="S32" s="668">
        <f t="shared" si="12"/>
        <v>100</v>
      </c>
      <c r="T32" s="667" t="s">
        <v>14</v>
      </c>
      <c r="U32" s="668">
        <f t="shared" si="13"/>
        <v>100</v>
      </c>
      <c r="V32" s="667" t="s">
        <v>14</v>
      </c>
      <c r="W32" s="668">
        <f t="shared" si="14"/>
        <v>100</v>
      </c>
      <c r="X32" s="1264"/>
      <c r="Y32" s="3379"/>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42" t="s">
        <v>1696</v>
      </c>
      <c r="Q33" s="1262" t="str">
        <f t="shared" si="11"/>
        <v>建筑类型</v>
      </c>
      <c r="R33" s="667" t="s">
        <v>14</v>
      </c>
      <c r="S33" s="668">
        <f t="shared" si="12"/>
        <v>100</v>
      </c>
      <c r="T33" s="667" t="s">
        <v>14</v>
      </c>
      <c r="U33" s="668">
        <f t="shared" si="13"/>
        <v>100</v>
      </c>
      <c r="V33" s="667" t="s">
        <v>14</v>
      </c>
      <c r="W33" s="668">
        <f t="shared" si="14"/>
        <v>100</v>
      </c>
      <c r="X33" s="1264"/>
      <c r="Y33" s="338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43"/>
      <c r="Q34" s="531" t="str">
        <f t="shared" si="11"/>
        <v>项目建筑规模</v>
      </c>
      <c r="R34" s="669" t="s">
        <v>14</v>
      </c>
      <c r="S34" s="670" t="e">
        <f t="shared" si="12"/>
        <v>#N/A</v>
      </c>
      <c r="T34" s="669" t="s">
        <v>14</v>
      </c>
      <c r="U34" s="670" t="e">
        <f t="shared" si="13"/>
        <v>#N/A</v>
      </c>
      <c r="V34" s="669" t="s">
        <v>14</v>
      </c>
      <c r="W34" s="670" t="e">
        <f t="shared" si="14"/>
        <v>#N/A</v>
      </c>
      <c r="X34" s="671"/>
      <c r="Y34" s="3381"/>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43"/>
      <c r="Q35" s="1262" t="str">
        <f t="shared" si="11"/>
        <v>建筑结构</v>
      </c>
      <c r="R35" s="667" t="s">
        <v>14</v>
      </c>
      <c r="S35" s="668">
        <f t="shared" si="12"/>
        <v>100</v>
      </c>
      <c r="T35" s="667" t="s">
        <v>14</v>
      </c>
      <c r="U35" s="668">
        <f t="shared" si="13"/>
        <v>100</v>
      </c>
      <c r="V35" s="667" t="s">
        <v>14</v>
      </c>
      <c r="W35" s="668">
        <f t="shared" si="14"/>
        <v>100</v>
      </c>
      <c r="X35" s="1264"/>
      <c r="Y35" s="338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43"/>
      <c r="Q36" s="1262" t="str">
        <f t="shared" si="11"/>
        <v>公共部分装修</v>
      </c>
      <c r="R36" s="667" t="s">
        <v>14</v>
      </c>
      <c r="S36" s="668">
        <f t="shared" si="12"/>
        <v>100</v>
      </c>
      <c r="T36" s="667" t="s">
        <v>14</v>
      </c>
      <c r="U36" s="668">
        <f t="shared" si="13"/>
        <v>100</v>
      </c>
      <c r="V36" s="667" t="s">
        <v>14</v>
      </c>
      <c r="W36" s="668">
        <f t="shared" si="14"/>
        <v>100</v>
      </c>
      <c r="X36" s="1264"/>
      <c r="Y36" s="338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43"/>
      <c r="Q37" s="1262" t="str">
        <f t="shared" si="11"/>
        <v>成新度</v>
      </c>
      <c r="R37" s="667" t="s">
        <v>14</v>
      </c>
      <c r="S37" s="668" t="e">
        <f t="shared" si="12"/>
        <v>#N/A</v>
      </c>
      <c r="T37" s="667" t="s">
        <v>14</v>
      </c>
      <c r="U37" s="668" t="e">
        <f t="shared" si="13"/>
        <v>#N/A</v>
      </c>
      <c r="V37" s="667" t="s">
        <v>14</v>
      </c>
      <c r="W37" s="668" t="e">
        <f t="shared" si="14"/>
        <v>#N/A</v>
      </c>
      <c r="X37" s="1264"/>
      <c r="Y37" s="338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43"/>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43" t="s">
        <v>1696</v>
      </c>
      <c r="Q39" s="1262" t="str">
        <f t="shared" si="11"/>
        <v>物业管理</v>
      </c>
      <c r="R39" s="667" t="s">
        <v>14</v>
      </c>
      <c r="S39" s="668">
        <f t="shared" si="12"/>
        <v>100</v>
      </c>
      <c r="T39" s="667" t="s">
        <v>14</v>
      </c>
      <c r="U39" s="668">
        <f t="shared" si="13"/>
        <v>100</v>
      </c>
      <c r="V39" s="667" t="s">
        <v>14</v>
      </c>
      <c r="W39" s="668">
        <f t="shared" si="14"/>
        <v>100</v>
      </c>
      <c r="X39" s="1264"/>
      <c r="Y39" s="338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43"/>
      <c r="Q40" s="1262" t="str">
        <f t="shared" si="11"/>
        <v>市政基础设施</v>
      </c>
      <c r="R40" s="667" t="s">
        <v>14</v>
      </c>
      <c r="S40" s="668">
        <f t="shared" si="12"/>
        <v>100</v>
      </c>
      <c r="T40" s="667" t="s">
        <v>14</v>
      </c>
      <c r="U40" s="668">
        <f t="shared" si="13"/>
        <v>100</v>
      </c>
      <c r="V40" s="667" t="s">
        <v>14</v>
      </c>
      <c r="W40" s="668">
        <f t="shared" si="14"/>
        <v>100</v>
      </c>
      <c r="X40" s="1264"/>
      <c r="Y40" s="338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43"/>
      <c r="Q41" s="1262" t="str">
        <f t="shared" si="11"/>
        <v>层高</v>
      </c>
      <c r="R41" s="667" t="s">
        <v>14</v>
      </c>
      <c r="S41" s="668">
        <f t="shared" si="12"/>
        <v>100</v>
      </c>
      <c r="T41" s="667" t="s">
        <v>14</v>
      </c>
      <c r="U41" s="668">
        <f t="shared" si="13"/>
        <v>100</v>
      </c>
      <c r="V41" s="667" t="s">
        <v>14</v>
      </c>
      <c r="W41" s="668">
        <f t="shared" si="14"/>
        <v>100</v>
      </c>
      <c r="X41" s="1264"/>
      <c r="Y41" s="338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43"/>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43"/>
      <c r="Q43" s="1262" t="str">
        <f t="shared" si="11"/>
        <v>内部装修</v>
      </c>
      <c r="R43" s="667" t="s">
        <v>14</v>
      </c>
      <c r="S43" s="668">
        <f t="shared" si="12"/>
        <v>100</v>
      </c>
      <c r="T43" s="667" t="s">
        <v>14</v>
      </c>
      <c r="U43" s="668">
        <f t="shared" si="13"/>
        <v>100</v>
      </c>
      <c r="V43" s="667" t="s">
        <v>14</v>
      </c>
      <c r="W43" s="668">
        <f t="shared" si="14"/>
        <v>100</v>
      </c>
      <c r="X43" s="1264"/>
      <c r="Y43" s="3381"/>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43"/>
      <c r="Q44" s="1262" t="str">
        <f t="shared" si="11"/>
        <v>内部装修维护情况</v>
      </c>
      <c r="R44" s="667" t="s">
        <v>14</v>
      </c>
      <c r="S44" s="668">
        <f t="shared" si="12"/>
        <v>100</v>
      </c>
      <c r="T44" s="667" t="s">
        <v>14</v>
      </c>
      <c r="U44" s="668">
        <f t="shared" si="13"/>
        <v>100</v>
      </c>
      <c r="V44" s="667" t="s">
        <v>14</v>
      </c>
      <c r="W44" s="668">
        <f t="shared" si="14"/>
        <v>100</v>
      </c>
      <c r="X44" s="1264"/>
      <c r="Y44" s="3381"/>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43"/>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43"/>
      <c r="Q46" s="1262">
        <f t="shared" si="11"/>
        <v>111</v>
      </c>
      <c r="R46" s="667" t="s">
        <v>14</v>
      </c>
      <c r="S46" s="668">
        <f t="shared" si="12"/>
        <v>100</v>
      </c>
      <c r="T46" s="667" t="s">
        <v>14</v>
      </c>
      <c r="U46" s="668">
        <f t="shared" si="13"/>
        <v>100</v>
      </c>
      <c r="V46" s="667" t="s">
        <v>14</v>
      </c>
      <c r="W46" s="668">
        <f t="shared" si="14"/>
        <v>100</v>
      </c>
      <c r="X46" s="1264"/>
      <c r="Y46" s="3381"/>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44"/>
      <c r="Q47" s="1262">
        <f t="shared" si="11"/>
        <v>111</v>
      </c>
      <c r="R47" s="667" t="s">
        <v>14</v>
      </c>
      <c r="S47" s="668">
        <f t="shared" si="12"/>
        <v>100</v>
      </c>
      <c r="T47" s="667" t="s">
        <v>14</v>
      </c>
      <c r="U47" s="668">
        <f t="shared" si="13"/>
        <v>100</v>
      </c>
      <c r="V47" s="667" t="s">
        <v>14</v>
      </c>
      <c r="W47" s="668">
        <f t="shared" si="14"/>
        <v>100</v>
      </c>
      <c r="X47" s="1264"/>
      <c r="Y47" s="3445"/>
      <c r="Z47" s="1263">
        <f t="shared" si="15"/>
        <v>111</v>
      </c>
      <c r="AA47" s="1263">
        <f t="shared" si="3"/>
        <v>1</v>
      </c>
      <c r="AB47" s="1263">
        <f t="shared" si="4"/>
        <v>1</v>
      </c>
      <c r="AC47" s="1811">
        <f t="shared" si="5"/>
        <v>1</v>
      </c>
    </row>
    <row r="48" spans="1:29" ht="14.4">
      <c r="A48" s="416" t="s">
        <v>1708</v>
      </c>
      <c r="B48" s="417"/>
      <c r="C48" s="1081" t="s">
        <v>0</v>
      </c>
      <c r="D48" s="418"/>
      <c r="E48" s="419"/>
      <c r="F48" s="420"/>
      <c r="G48" s="421"/>
      <c r="H48" s="422"/>
      <c r="I48" s="419"/>
      <c r="J48" s="422"/>
      <c r="K48" s="674"/>
      <c r="L48" s="2494"/>
      <c r="M48" s="2487"/>
      <c r="N48" s="2487"/>
      <c r="O48" s="2487"/>
      <c r="P48" s="3376" t="str">
        <f>A48</f>
        <v>成交单价（元/平方米）</v>
      </c>
      <c r="Q48" s="3377"/>
      <c r="R48" s="3382">
        <f>E48</f>
        <v>0</v>
      </c>
      <c r="S48" s="3382"/>
      <c r="T48" s="3382">
        <f>G48</f>
        <v>0</v>
      </c>
      <c r="U48" s="3382"/>
      <c r="V48" s="3382">
        <f>I48</f>
        <v>0</v>
      </c>
      <c r="W48" s="3382"/>
      <c r="X48" s="385"/>
      <c r="Y48" s="673"/>
      <c r="Z48" s="385"/>
      <c r="AA48" s="385"/>
      <c r="AB48" s="385"/>
      <c r="AC48" s="555"/>
    </row>
    <row r="49" spans="1:29" ht="1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76" t="str">
        <f>A49</f>
        <v>比较价值（元/平方米）</v>
      </c>
      <c r="Q49" s="3377"/>
      <c r="R49" s="3382" t="e">
        <f>IF(F1="售价",ROUND(PRODUCT(R48,AA7:AA47),0),ROUND(PRODUCT(R48,AA7:AA47),1))</f>
        <v>#DIV/0!</v>
      </c>
      <c r="S49" s="3382"/>
      <c r="T49" s="3382" t="e">
        <f>IF(F1="售价",ROUND(PRODUCT(T48,AB7:AB47),0),ROUND(PRODUCT(T48,AB7:AB47),1))</f>
        <v>#DIV/0!</v>
      </c>
      <c r="U49" s="3382"/>
      <c r="V49" s="3382" t="e">
        <f>IF(F1="售价",ROUND(PRODUCT(V48,AC7:AC47),0),ROUND(PRODUCT(V48,AC7:AC47),1))</f>
        <v>#DIV/0!</v>
      </c>
      <c r="W49" s="3382"/>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2" t="str">
        <f>YEAR(C7)&amp;"-"&amp;MONTH(C7)</f>
        <v>2024-8</v>
      </c>
      <c r="D59" s="1103">
        <f>EDATE(C59,-1)</f>
        <v>45474</v>
      </c>
      <c r="E59" s="1103">
        <f>EDATE(D59,-1)</f>
        <v>45444</v>
      </c>
      <c r="F59" s="1103">
        <f t="shared" ref="F59:O59" si="16">EDATE(E59,-1)</f>
        <v>45413</v>
      </c>
      <c r="G59" s="1103">
        <f t="shared" si="16"/>
        <v>45383</v>
      </c>
      <c r="H59" s="1103">
        <f t="shared" si="16"/>
        <v>45352</v>
      </c>
      <c r="I59" s="1103">
        <f t="shared" si="16"/>
        <v>45323</v>
      </c>
      <c r="J59" s="1103">
        <f t="shared" si="16"/>
        <v>45292</v>
      </c>
      <c r="K59" s="1103">
        <f t="shared" si="16"/>
        <v>45261</v>
      </c>
      <c r="L59" s="1103">
        <f t="shared" si="16"/>
        <v>45231</v>
      </c>
      <c r="M59" s="1103">
        <f t="shared" si="16"/>
        <v>45200</v>
      </c>
      <c r="N59" s="1103">
        <f t="shared" si="16"/>
        <v>45170</v>
      </c>
      <c r="O59" s="1103">
        <f t="shared" si="16"/>
        <v>45139</v>
      </c>
      <c r="P59" s="2527"/>
      <c r="Q59" s="2510"/>
      <c r="R59" s="2510"/>
      <c r="S59" s="2510"/>
      <c r="T59" s="2510"/>
      <c r="U59" s="2510"/>
      <c r="V59" s="2510"/>
      <c r="W59" s="2510"/>
      <c r="X59" s="2510"/>
      <c r="Y59" s="2510"/>
      <c r="Z59" s="2510"/>
      <c r="AA59" s="2510"/>
      <c r="AB59" s="2510"/>
      <c r="AC59" s="2510"/>
    </row>
    <row r="60" spans="1:29" s="102" customFormat="1">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49">
    <cfRule type="expression" dxfId="84" priority="4">
      <formula>$D$49="简单平均"</formula>
    </cfRule>
  </conditionalFormatting>
  <conditionalFormatting sqref="F53:F55 H53:H55">
    <cfRule type="containsText" dxfId="83" priority="17" stopIfTrue="1" operator="containsText" text="超过">
      <formula>NOT(ISERROR(SEARCH("超过",F53)))</formula>
    </cfRule>
  </conditionalFormatting>
  <conditionalFormatting sqref="G53">
    <cfRule type="expression" dxfId="82" priority="12" stopIfTrue="1">
      <formula>$H$53="超过30%"</formula>
    </cfRule>
  </conditionalFormatting>
  <conditionalFormatting sqref="G54">
    <cfRule type="expression" dxfId="81" priority="11" stopIfTrue="1">
      <formula>$H$54="超过20%"</formula>
    </cfRule>
  </conditionalFormatting>
  <conditionalFormatting sqref="G55">
    <cfRule type="expression" dxfId="80" priority="13" stopIfTrue="1">
      <formula>$H$55="超过30%"</formula>
    </cfRule>
  </conditionalFormatting>
  <conditionalFormatting sqref="H49">
    <cfRule type="expression" dxfId="79" priority="3">
      <formula>$D$49="简单平均"</formula>
    </cfRule>
  </conditionalFormatting>
  <conditionalFormatting sqref="I53">
    <cfRule type="expression" dxfId="78" priority="7" stopIfTrue="1">
      <formula>$J$53="超过30%"</formula>
    </cfRule>
  </conditionalFormatting>
  <conditionalFormatting sqref="I54">
    <cfRule type="expression" dxfId="77" priority="6" stopIfTrue="1">
      <formula>$J$53+$J$54="超过20%"</formula>
    </cfRule>
  </conditionalFormatting>
  <conditionalFormatting sqref="I55">
    <cfRule type="expression" dxfId="76" priority="5" stopIfTrue="1">
      <formula>$J$55="超过30%"</formula>
    </cfRule>
  </conditionalFormatting>
  <conditionalFormatting sqref="J49">
    <cfRule type="expression" dxfId="75" priority="2">
      <formula>$D$49="简单平均"</formula>
    </cfRule>
  </conditionalFormatting>
  <conditionalFormatting sqref="J53:J55">
    <cfRule type="containsText" dxfId="7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40045.229999999996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4" t="s">
        <v>1770</v>
      </c>
      <c r="D4" s="3386"/>
      <c r="E4" s="3387" t="s">
        <v>1771</v>
      </c>
      <c r="F4" s="3388"/>
      <c r="G4" s="3374" t="s">
        <v>1772</v>
      </c>
      <c r="H4" s="3386"/>
      <c r="I4" s="3374" t="s">
        <v>1773</v>
      </c>
      <c r="J4" s="3386"/>
      <c r="K4" s="537" t="s">
        <v>1774</v>
      </c>
      <c r="L4" s="860"/>
      <c r="M4" s="861"/>
      <c r="N4" s="861"/>
      <c r="O4" s="861"/>
      <c r="P4" s="3389" t="s">
        <v>1775</v>
      </c>
      <c r="Q4" s="3390"/>
      <c r="R4" s="3395" t="s">
        <v>1771</v>
      </c>
      <c r="S4" s="3396"/>
      <c r="T4" s="3395" t="s">
        <v>1772</v>
      </c>
      <c r="U4" s="3396"/>
      <c r="V4" s="3382" t="s">
        <v>1773</v>
      </c>
      <c r="W4" s="3382"/>
      <c r="X4" s="1264"/>
      <c r="Y4" s="3395" t="s">
        <v>1775</v>
      </c>
      <c r="Z4" s="3396"/>
      <c r="AA4" s="3383" t="s">
        <v>1771</v>
      </c>
      <c r="AB4" s="3384" t="s">
        <v>1772</v>
      </c>
      <c r="AC4" s="3383" t="s">
        <v>1773</v>
      </c>
    </row>
    <row r="5" spans="1:29">
      <c r="A5" s="348"/>
      <c r="B5" s="349"/>
      <c r="C5" s="3403" t="s">
        <v>1673</v>
      </c>
      <c r="D5" s="3404"/>
      <c r="E5" s="3410" t="s">
        <v>1674</v>
      </c>
      <c r="F5" s="3411"/>
      <c r="G5" s="3403" t="s">
        <v>1675</v>
      </c>
      <c r="H5" s="3404"/>
      <c r="I5" s="3403" t="s">
        <v>1676</v>
      </c>
      <c r="J5" s="3404"/>
      <c r="K5" s="537"/>
      <c r="L5" s="860"/>
      <c r="M5" s="861"/>
      <c r="N5" s="861"/>
      <c r="O5" s="861"/>
      <c r="P5" s="3391"/>
      <c r="Q5" s="3392"/>
      <c r="R5" s="3397"/>
      <c r="S5" s="3398"/>
      <c r="T5" s="3397"/>
      <c r="U5" s="3398"/>
      <c r="V5" s="3382"/>
      <c r="W5" s="3382"/>
      <c r="X5" s="1264"/>
      <c r="Y5" s="3397"/>
      <c r="Z5" s="3398"/>
      <c r="AA5" s="3384"/>
      <c r="AB5" s="3384"/>
      <c r="AC5" s="3384"/>
    </row>
    <row r="6" spans="1:29" ht="15" thickBot="1">
      <c r="A6" s="350"/>
      <c r="B6" s="351"/>
      <c r="C6" s="3401" t="s">
        <v>1677</v>
      </c>
      <c r="D6" s="3402"/>
      <c r="E6" s="3408" t="s">
        <v>1677</v>
      </c>
      <c r="F6" s="3409"/>
      <c r="G6" s="3401" t="s">
        <v>1677</v>
      </c>
      <c r="H6" s="3402"/>
      <c r="I6" s="3401" t="s">
        <v>1677</v>
      </c>
      <c r="J6" s="3402"/>
      <c r="K6" s="537" t="s">
        <v>1678</v>
      </c>
      <c r="L6" s="860"/>
      <c r="M6" s="861"/>
      <c r="N6" s="861"/>
      <c r="O6" s="861"/>
      <c r="P6" s="3393"/>
      <c r="Q6" s="3394"/>
      <c r="R6" s="3397"/>
      <c r="S6" s="3398"/>
      <c r="T6" s="3399"/>
      <c r="U6" s="3400"/>
      <c r="V6" s="3382"/>
      <c r="W6" s="3382"/>
      <c r="X6" s="1264"/>
      <c r="Y6" s="3399"/>
      <c r="Z6" s="3400"/>
      <c r="AA6" s="3385"/>
      <c r="AB6" s="3385"/>
      <c r="AC6" s="3385"/>
    </row>
    <row r="7" spans="1:29" s="102" customFormat="1" ht="15" thickBot="1">
      <c r="A7" s="352" t="s">
        <v>1679</v>
      </c>
      <c r="B7" s="353"/>
      <c r="C7" s="354">
        <f>'数据-取费表'!B2</f>
        <v>45526</v>
      </c>
      <c r="D7" s="355">
        <v>100</v>
      </c>
      <c r="E7" s="356"/>
      <c r="F7" s="357">
        <f>SUMIF(52:52,YEAR(E7)&amp;"-"&amp;MONTH(E7),53:53)</f>
        <v>0</v>
      </c>
      <c r="G7" s="356"/>
      <c r="H7" s="355">
        <f>SUMIF(52:52,YEAR(G7)&amp;"-"&amp;MONTH(G7),53:53)</f>
        <v>0</v>
      </c>
      <c r="I7" s="356"/>
      <c r="J7" s="355">
        <f>SUMIF(52:52,YEAR(I7)&amp;"-"&amp;MONTH(I7),53:53)</f>
        <v>0</v>
      </c>
      <c r="K7" s="38"/>
      <c r="L7" s="862"/>
      <c r="M7" s="863"/>
      <c r="N7" s="863"/>
      <c r="O7" s="863"/>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5" t="s">
        <v>1683</v>
      </c>
      <c r="Q8" s="3406"/>
      <c r="R8" s="664" t="s">
        <v>14</v>
      </c>
      <c r="S8" s="665">
        <f t="shared" si="0"/>
        <v>100</v>
      </c>
      <c r="T8" s="664" t="s">
        <v>14</v>
      </c>
      <c r="U8" s="665">
        <f t="shared" si="1"/>
        <v>100</v>
      </c>
      <c r="V8" s="664" t="s">
        <v>14</v>
      </c>
      <c r="W8" s="665">
        <f t="shared" si="2"/>
        <v>100</v>
      </c>
      <c r="X8" s="666"/>
      <c r="Y8" s="3405" t="s">
        <v>1683</v>
      </c>
      <c r="Z8" s="340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7"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77"/>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7"/>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77"/>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77"/>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77"/>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8" t="s">
        <v>1691</v>
      </c>
      <c r="Q15" s="1262" t="str">
        <f t="shared" si="6"/>
        <v>产业集聚程度</v>
      </c>
      <c r="R15" s="667" t="s">
        <v>14</v>
      </c>
      <c r="S15" s="668">
        <f t="shared" si="0"/>
        <v>100</v>
      </c>
      <c r="T15" s="667" t="s">
        <v>14</v>
      </c>
      <c r="U15" s="668">
        <f t="shared" si="1"/>
        <v>100</v>
      </c>
      <c r="V15" s="667" t="s">
        <v>14</v>
      </c>
      <c r="W15" s="668">
        <f t="shared" si="2"/>
        <v>100</v>
      </c>
      <c r="X15" s="1264"/>
      <c r="Y15" s="3378"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79"/>
      <c r="Q16" s="1262"/>
      <c r="R16" s="667"/>
      <c r="S16" s="668"/>
      <c r="T16" s="667"/>
      <c r="U16" s="668"/>
      <c r="V16" s="667"/>
      <c r="W16" s="668"/>
      <c r="X16" s="1264"/>
      <c r="Y16" s="3379"/>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9"/>
      <c r="Q17" s="1262" t="str">
        <f>B17</f>
        <v>交通便捷度</v>
      </c>
      <c r="R17" s="667" t="s">
        <v>14</v>
      </c>
      <c r="S17" s="668">
        <f>F17</f>
        <v>100</v>
      </c>
      <c r="T17" s="667" t="s">
        <v>14</v>
      </c>
      <c r="U17" s="668">
        <f>H17</f>
        <v>100</v>
      </c>
      <c r="V17" s="667" t="s">
        <v>14</v>
      </c>
      <c r="W17" s="668">
        <f>J17</f>
        <v>100</v>
      </c>
      <c r="X17" s="1264"/>
      <c r="Y17" s="3379"/>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79"/>
      <c r="Q18" s="1262"/>
      <c r="R18" s="667"/>
      <c r="S18" s="668"/>
      <c r="T18" s="667"/>
      <c r="U18" s="668"/>
      <c r="V18" s="667"/>
      <c r="W18" s="668"/>
      <c r="X18" s="1264"/>
      <c r="Y18" s="3379"/>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9"/>
      <c r="Q19" s="1262" t="str">
        <f>B19</f>
        <v>公共配套设施</v>
      </c>
      <c r="R19" s="667" t="s">
        <v>14</v>
      </c>
      <c r="S19" s="668">
        <f>F19</f>
        <v>100</v>
      </c>
      <c r="T19" s="667" t="s">
        <v>14</v>
      </c>
      <c r="U19" s="668">
        <f>H19</f>
        <v>100</v>
      </c>
      <c r="V19" s="667" t="s">
        <v>14</v>
      </c>
      <c r="W19" s="668">
        <f>J19</f>
        <v>100</v>
      </c>
      <c r="X19" s="1264"/>
      <c r="Y19" s="3379"/>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79"/>
      <c r="Q20" s="1262"/>
      <c r="R20" s="667"/>
      <c r="S20" s="668"/>
      <c r="T20" s="667"/>
      <c r="U20" s="668"/>
      <c r="V20" s="667"/>
      <c r="W20" s="668"/>
      <c r="X20" s="1264"/>
      <c r="Y20" s="3379"/>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9"/>
      <c r="Q21" s="1262" t="str">
        <f>B21</f>
        <v>基础设施水平</v>
      </c>
      <c r="R21" s="667" t="s">
        <v>14</v>
      </c>
      <c r="S21" s="668">
        <f>F21</f>
        <v>100</v>
      </c>
      <c r="T21" s="667" t="s">
        <v>14</v>
      </c>
      <c r="U21" s="668">
        <f>H21</f>
        <v>100</v>
      </c>
      <c r="V21" s="667" t="s">
        <v>14</v>
      </c>
      <c r="W21" s="668">
        <f>J21</f>
        <v>100</v>
      </c>
      <c r="X21" s="1264"/>
      <c r="Y21" s="3379"/>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79"/>
      <c r="Q22" s="1262"/>
      <c r="R22" s="667"/>
      <c r="S22" s="668"/>
      <c r="T22" s="667"/>
      <c r="U22" s="668"/>
      <c r="V22" s="667"/>
      <c r="W22" s="668"/>
      <c r="X22" s="1264"/>
      <c r="Y22" s="3379"/>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9"/>
      <c r="Q23" s="1262" t="str">
        <f>B23</f>
        <v>环境质量</v>
      </c>
      <c r="R23" s="667" t="s">
        <v>14</v>
      </c>
      <c r="S23" s="668">
        <f>F23</f>
        <v>100</v>
      </c>
      <c r="T23" s="667" t="s">
        <v>14</v>
      </c>
      <c r="U23" s="668">
        <f>H23</f>
        <v>100</v>
      </c>
      <c r="V23" s="667" t="s">
        <v>14</v>
      </c>
      <c r="W23" s="668">
        <f>J23</f>
        <v>100</v>
      </c>
      <c r="X23" s="1264"/>
      <c r="Y23" s="3379"/>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79"/>
      <c r="Q24" s="1262"/>
      <c r="R24" s="667"/>
      <c r="S24" s="668"/>
      <c r="T24" s="667"/>
      <c r="U24" s="668"/>
      <c r="V24" s="667"/>
      <c r="W24" s="668"/>
      <c r="X24" s="1264"/>
      <c r="Y24" s="3379"/>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9"/>
      <c r="Q25" s="1262">
        <f>B25</f>
        <v>111</v>
      </c>
      <c r="R25" s="667" t="s">
        <v>14</v>
      </c>
      <c r="S25" s="668">
        <f>F25</f>
        <v>100</v>
      </c>
      <c r="T25" s="667" t="s">
        <v>14</v>
      </c>
      <c r="U25" s="668">
        <f>H25</f>
        <v>100</v>
      </c>
      <c r="V25" s="667" t="s">
        <v>14</v>
      </c>
      <c r="W25" s="668">
        <f>J25</f>
        <v>100</v>
      </c>
      <c r="X25" s="1264"/>
      <c r="Y25" s="3379"/>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9"/>
      <c r="Q26" s="1262">
        <f t="shared" ref="Q26:Q40" si="11">B26</f>
        <v>111</v>
      </c>
      <c r="R26" s="667" t="s">
        <v>14</v>
      </c>
      <c r="S26" s="668">
        <f>F26</f>
        <v>100</v>
      </c>
      <c r="T26" s="667" t="s">
        <v>14</v>
      </c>
      <c r="U26" s="668">
        <f>H26</f>
        <v>100</v>
      </c>
      <c r="V26" s="667" t="s">
        <v>14</v>
      </c>
      <c r="W26" s="668">
        <f>J26</f>
        <v>100</v>
      </c>
      <c r="X26" s="1264"/>
      <c r="Y26" s="3379"/>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9"/>
      <c r="Q27" s="530">
        <f t="shared" si="11"/>
        <v>111</v>
      </c>
      <c r="R27" s="664" t="s">
        <v>14</v>
      </c>
      <c r="S27" s="665">
        <f>F27</f>
        <v>100</v>
      </c>
      <c r="T27" s="664" t="s">
        <v>14</v>
      </c>
      <c r="U27" s="665">
        <f>H27</f>
        <v>100</v>
      </c>
      <c r="V27" s="664" t="s">
        <v>14</v>
      </c>
      <c r="W27" s="665">
        <f>J27</f>
        <v>100</v>
      </c>
      <c r="X27" s="666"/>
      <c r="Y27" s="3379"/>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9"/>
      <c r="Q28" s="1262">
        <f t="shared" si="11"/>
        <v>111</v>
      </c>
      <c r="R28" s="667" t="s">
        <v>14</v>
      </c>
      <c r="S28" s="668">
        <f t="shared" ref="S28:S40" si="12">F28</f>
        <v>100</v>
      </c>
      <c r="T28" s="667" t="s">
        <v>14</v>
      </c>
      <c r="U28" s="668">
        <f t="shared" ref="U28:U40" si="13">H28</f>
        <v>100</v>
      </c>
      <c r="V28" s="667" t="s">
        <v>14</v>
      </c>
      <c r="W28" s="668">
        <f t="shared" ref="W28:W40" si="14">J28</f>
        <v>100</v>
      </c>
      <c r="X28" s="1264"/>
      <c r="Y28" s="3379"/>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380" t="s">
        <v>1696</v>
      </c>
      <c r="Q29" s="1262" t="str">
        <f t="shared" si="11"/>
        <v>建筑类型</v>
      </c>
      <c r="R29" s="667" t="s">
        <v>14</v>
      </c>
      <c r="S29" s="668">
        <f t="shared" si="12"/>
        <v>100</v>
      </c>
      <c r="T29" s="667" t="s">
        <v>14</v>
      </c>
      <c r="U29" s="668">
        <f t="shared" si="13"/>
        <v>100</v>
      </c>
      <c r="V29" s="667" t="s">
        <v>14</v>
      </c>
      <c r="W29" s="668">
        <f t="shared" si="14"/>
        <v>100</v>
      </c>
      <c r="X29" s="1264"/>
      <c r="Y29" s="338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2" t="str">
        <f t="shared" si="11"/>
        <v>建筑结构</v>
      </c>
      <c r="R31" s="667" t="s">
        <v>14</v>
      </c>
      <c r="S31" s="668">
        <f t="shared" si="12"/>
        <v>100</v>
      </c>
      <c r="T31" s="667" t="s">
        <v>14</v>
      </c>
      <c r="U31" s="668">
        <f t="shared" si="13"/>
        <v>100</v>
      </c>
      <c r="V31" s="667" t="s">
        <v>14</v>
      </c>
      <c r="W31" s="668">
        <f t="shared" si="14"/>
        <v>100</v>
      </c>
      <c r="X31" s="1264"/>
      <c r="Y31" s="338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2" t="str">
        <f t="shared" si="11"/>
        <v>公共部分装修</v>
      </c>
      <c r="R32" s="667" t="s">
        <v>14</v>
      </c>
      <c r="S32" s="668">
        <f t="shared" si="12"/>
        <v>100</v>
      </c>
      <c r="T32" s="667" t="s">
        <v>14</v>
      </c>
      <c r="U32" s="668">
        <f t="shared" si="13"/>
        <v>100</v>
      </c>
      <c r="V32" s="667" t="s">
        <v>14</v>
      </c>
      <c r="W32" s="668">
        <f t="shared" si="14"/>
        <v>100</v>
      </c>
      <c r="X32" s="1264"/>
      <c r="Y32" s="338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2" t="str">
        <f t="shared" si="11"/>
        <v>成新度</v>
      </c>
      <c r="R33" s="667" t="s">
        <v>14</v>
      </c>
      <c r="S33" s="668" t="e">
        <f t="shared" si="12"/>
        <v>#N/A</v>
      </c>
      <c r="T33" s="667" t="s">
        <v>14</v>
      </c>
      <c r="U33" s="668" t="e">
        <f t="shared" si="13"/>
        <v>#N/A</v>
      </c>
      <c r="V33" s="667" t="s">
        <v>14</v>
      </c>
      <c r="W33" s="668" t="e">
        <f t="shared" si="14"/>
        <v>#N/A</v>
      </c>
      <c r="X33" s="1264"/>
      <c r="Y33" s="338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2" t="str">
        <f t="shared" si="11"/>
        <v>市政基础设施</v>
      </c>
      <c r="R35" s="667" t="s">
        <v>14</v>
      </c>
      <c r="S35" s="668">
        <f t="shared" si="12"/>
        <v>100</v>
      </c>
      <c r="T35" s="667" t="s">
        <v>14</v>
      </c>
      <c r="U35" s="668">
        <f t="shared" si="13"/>
        <v>100</v>
      </c>
      <c r="V35" s="667" t="s">
        <v>14</v>
      </c>
      <c r="W35" s="668">
        <f t="shared" si="14"/>
        <v>100</v>
      </c>
      <c r="X35" s="1264"/>
      <c r="Y35" s="338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2" t="str">
        <f t="shared" si="11"/>
        <v>内部装修</v>
      </c>
      <c r="R36" s="667" t="s">
        <v>14</v>
      </c>
      <c r="S36" s="668">
        <f t="shared" si="12"/>
        <v>100</v>
      </c>
      <c r="T36" s="667" t="s">
        <v>14</v>
      </c>
      <c r="U36" s="668">
        <f t="shared" si="13"/>
        <v>100</v>
      </c>
      <c r="V36" s="667" t="s">
        <v>14</v>
      </c>
      <c r="W36" s="668">
        <f t="shared" si="14"/>
        <v>100</v>
      </c>
      <c r="X36" s="1264"/>
      <c r="Y36" s="338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2" t="str">
        <f t="shared" si="11"/>
        <v>内部装修状况</v>
      </c>
      <c r="R37" s="667" t="s">
        <v>14</v>
      </c>
      <c r="S37" s="668">
        <f t="shared" si="12"/>
        <v>100</v>
      </c>
      <c r="T37" s="667" t="s">
        <v>14</v>
      </c>
      <c r="U37" s="668">
        <f t="shared" si="13"/>
        <v>100</v>
      </c>
      <c r="V37" s="667" t="s">
        <v>14</v>
      </c>
      <c r="W37" s="668">
        <f t="shared" si="14"/>
        <v>100</v>
      </c>
      <c r="X37" s="1264"/>
      <c r="Y37" s="3381"/>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2">
        <f t="shared" si="11"/>
        <v>111</v>
      </c>
      <c r="R39" s="667" t="s">
        <v>14</v>
      </c>
      <c r="S39" s="668">
        <f t="shared" si="12"/>
        <v>100</v>
      </c>
      <c r="T39" s="667" t="s">
        <v>14</v>
      </c>
      <c r="U39" s="668">
        <f t="shared" si="13"/>
        <v>100</v>
      </c>
      <c r="V39" s="667" t="s">
        <v>14</v>
      </c>
      <c r="W39" s="668">
        <f t="shared" si="14"/>
        <v>100</v>
      </c>
      <c r="X39" s="1264"/>
      <c r="Y39" s="3381"/>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45"/>
      <c r="Q40" s="1262">
        <f t="shared" si="11"/>
        <v>111</v>
      </c>
      <c r="R40" s="667" t="s">
        <v>14</v>
      </c>
      <c r="S40" s="668">
        <f t="shared" si="12"/>
        <v>100</v>
      </c>
      <c r="T40" s="667" t="s">
        <v>14</v>
      </c>
      <c r="U40" s="668">
        <f t="shared" si="13"/>
        <v>100</v>
      </c>
      <c r="V40" s="667" t="s">
        <v>14</v>
      </c>
      <c r="W40" s="668">
        <f t="shared" si="14"/>
        <v>100</v>
      </c>
      <c r="X40" s="1264"/>
      <c r="Y40" s="3445"/>
      <c r="Z40" s="1263">
        <f t="shared" si="15"/>
        <v>111</v>
      </c>
      <c r="AA40" s="1263">
        <f t="shared" si="3"/>
        <v>1</v>
      </c>
      <c r="AB40" s="1263">
        <f t="shared" si="4"/>
        <v>1</v>
      </c>
      <c r="AC40" s="1263">
        <f t="shared" si="5"/>
        <v>1</v>
      </c>
    </row>
    <row r="41" spans="1:29" ht="14.4">
      <c r="A41" s="416" t="s">
        <v>1708</v>
      </c>
      <c r="B41" s="417"/>
      <c r="C41" s="1081" t="s">
        <v>0</v>
      </c>
      <c r="D41" s="418"/>
      <c r="E41" s="419"/>
      <c r="F41" s="420"/>
      <c r="G41" s="421"/>
      <c r="H41" s="422"/>
      <c r="I41" s="419"/>
      <c r="J41" s="422"/>
      <c r="K41" s="674"/>
      <c r="L41" s="873"/>
      <c r="M41" s="861"/>
      <c r="N41" s="861"/>
      <c r="O41" s="861"/>
      <c r="P41" s="3377" t="str">
        <f>A41</f>
        <v>成交单价（元/平方米）</v>
      </c>
      <c r="Q41" s="3377"/>
      <c r="R41" s="3382">
        <f>E41</f>
        <v>0</v>
      </c>
      <c r="S41" s="3382"/>
      <c r="T41" s="3382">
        <f>G41</f>
        <v>0</v>
      </c>
      <c r="U41" s="3382"/>
      <c r="V41" s="3382">
        <f>I41</f>
        <v>0</v>
      </c>
      <c r="W41" s="3382"/>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7" t="str">
        <f>A42</f>
        <v>比较价值（元/平方米）</v>
      </c>
      <c r="Q42" s="3377"/>
      <c r="R42" s="3382" t="e">
        <f>IF(F1="售价",ROUND(PRODUCT(R41,AA7:AA40),0),ROUND(PRODUCT(R41,AA7:AA40),1))</f>
        <v>#DIV/0!</v>
      </c>
      <c r="S42" s="3382"/>
      <c r="T42" s="3382" t="e">
        <f>IF(F1="售价",ROUND(PRODUCT(T41,AB7:AB40),0),ROUND(PRODUCT(T41,AB7:AB40),1))</f>
        <v>#DIV/0!</v>
      </c>
      <c r="U42" s="3382"/>
      <c r="V42" s="3382" t="e">
        <f>IF(F1="售价",ROUND(PRODUCT(V41,AC7:AC40),0),ROUND(PRODUCT(V41,AC7:AC40),1))</f>
        <v>#DIV/0!</v>
      </c>
      <c r="W42" s="338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1" t="str">
        <f>A43</f>
        <v>估价对象XX用房的比较价值（楼面单价，元/平方米）</v>
      </c>
      <c r="Q43" s="3372"/>
      <c r="R43" s="3441" t="e">
        <f>IF(F1="售价",ROUND(IF(D42="简单平均",AVERAGE(R42:V42),R42*F42+T42*H42+V42*J42),0),ROUND(IF(D42="简单平均",AVERAGE(R42:V42),R42*F42+T42*H42+V42*J42),1))</f>
        <v>#DIV/0!</v>
      </c>
      <c r="S43" s="3441"/>
      <c r="T43" s="3441"/>
      <c r="U43" s="3441"/>
      <c r="V43" s="3441"/>
      <c r="W43" s="3441"/>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2" t="str">
        <f>YEAR(C7)&amp;"-"&amp;MONTH(C7)</f>
        <v>2024-8</v>
      </c>
      <c r="D52" s="1103">
        <f>EDATE(C52,-1)</f>
        <v>45474</v>
      </c>
      <c r="E52" s="1103">
        <f t="shared" ref="E52:O52" si="16">EDATE(D52,-1)</f>
        <v>45444</v>
      </c>
      <c r="F52" s="1103">
        <f t="shared" si="16"/>
        <v>45413</v>
      </c>
      <c r="G52" s="1103">
        <f t="shared" si="16"/>
        <v>45383</v>
      </c>
      <c r="H52" s="1103">
        <f t="shared" si="16"/>
        <v>45352</v>
      </c>
      <c r="I52" s="1103">
        <f t="shared" si="16"/>
        <v>45323</v>
      </c>
      <c r="J52" s="1103">
        <f t="shared" si="16"/>
        <v>45292</v>
      </c>
      <c r="K52" s="1103">
        <f t="shared" si="16"/>
        <v>45261</v>
      </c>
      <c r="L52" s="1103">
        <f t="shared" si="16"/>
        <v>45231</v>
      </c>
      <c r="M52" s="1103">
        <f t="shared" si="16"/>
        <v>45200</v>
      </c>
      <c r="N52" s="1103">
        <f t="shared" si="16"/>
        <v>45170</v>
      </c>
      <c r="O52" s="1103">
        <f t="shared" si="16"/>
        <v>45139</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3" priority="16" stopIfTrue="1">
      <formula>$F$46="超过30%"</formula>
    </cfRule>
  </conditionalFormatting>
  <conditionalFormatting sqref="E47">
    <cfRule type="expression" dxfId="72" priority="15" stopIfTrue="1">
      <formula>$F$47="超过20%"</formula>
    </cfRule>
  </conditionalFormatting>
  <conditionalFormatting sqref="E48">
    <cfRule type="expression" dxfId="71" priority="14" stopIfTrue="1">
      <formula>$F$48="超过30%"</formula>
    </cfRule>
  </conditionalFormatting>
  <conditionalFormatting sqref="F7:F40 H7:H40 J7:J40">
    <cfRule type="cellIs" dxfId="70" priority="1" operator="notEqual">
      <formula>100</formula>
    </cfRule>
  </conditionalFormatting>
  <conditionalFormatting sqref="F42">
    <cfRule type="expression" dxfId="69" priority="4">
      <formula>$D$42="简单平均"</formula>
    </cfRule>
  </conditionalFormatting>
  <conditionalFormatting sqref="F46:F48 H46:H48">
    <cfRule type="containsText" dxfId="68" priority="17" stopIfTrue="1" operator="containsText" text="超过">
      <formula>NOT(ISERROR(SEARCH("超过",F46)))</formula>
    </cfRule>
  </conditionalFormatting>
  <conditionalFormatting sqref="G46">
    <cfRule type="expression" dxfId="67" priority="12" stopIfTrue="1">
      <formula>$H$46="超过30%"</formula>
    </cfRule>
  </conditionalFormatting>
  <conditionalFormatting sqref="G47">
    <cfRule type="expression" dxfId="66" priority="11" stopIfTrue="1">
      <formula>$H$47="超过20%"</formula>
    </cfRule>
  </conditionalFormatting>
  <conditionalFormatting sqref="G48">
    <cfRule type="expression" dxfId="65" priority="13" stopIfTrue="1">
      <formula>$H$48="超过30%"</formula>
    </cfRule>
  </conditionalFormatting>
  <conditionalFormatting sqref="H42">
    <cfRule type="expression" dxfId="64" priority="3">
      <formula>$D$42="简单平均"</formula>
    </cfRule>
  </conditionalFormatting>
  <conditionalFormatting sqref="I46">
    <cfRule type="expression" dxfId="63" priority="7" stopIfTrue="1">
      <formula>$J$46="超过30%"</formula>
    </cfRule>
  </conditionalFormatting>
  <conditionalFormatting sqref="I47">
    <cfRule type="expression" dxfId="62" priority="6" stopIfTrue="1">
      <formula>$J$47="超过20%"</formula>
    </cfRule>
  </conditionalFormatting>
  <conditionalFormatting sqref="I48">
    <cfRule type="expression" dxfId="61" priority="5" stopIfTrue="1">
      <formula>$J$48="超过30%"</formula>
    </cfRule>
  </conditionalFormatting>
  <conditionalFormatting sqref="J42">
    <cfRule type="expression" dxfId="60" priority="2">
      <formula>$D$42="简单平均"</formula>
    </cfRule>
  </conditionalFormatting>
  <conditionalFormatting sqref="J46:J48">
    <cfRule type="containsText" dxfId="5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3333</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74" t="s">
        <v>1770</v>
      </c>
      <c r="D4" s="3386"/>
      <c r="E4" s="3387" t="s">
        <v>1771</v>
      </c>
      <c r="F4" s="3388"/>
      <c r="G4" s="3374" t="s">
        <v>1772</v>
      </c>
      <c r="H4" s="3386"/>
      <c r="I4" s="3374" t="s">
        <v>1773</v>
      </c>
      <c r="J4" s="3386"/>
      <c r="K4" s="537" t="s">
        <v>1774</v>
      </c>
      <c r="L4" s="2486"/>
      <c r="M4" s="2487"/>
      <c r="N4" s="2487"/>
      <c r="O4" s="2487"/>
      <c r="P4" s="3389" t="s">
        <v>1775</v>
      </c>
      <c r="Q4" s="3390"/>
      <c r="R4" s="3395" t="s">
        <v>1771</v>
      </c>
      <c r="S4" s="3396"/>
      <c r="T4" s="3395" t="s">
        <v>1772</v>
      </c>
      <c r="U4" s="3396"/>
      <c r="V4" s="3382" t="s">
        <v>1773</v>
      </c>
      <c r="W4" s="3382"/>
      <c r="X4" s="1264"/>
      <c r="Y4" s="3395" t="s">
        <v>1775</v>
      </c>
      <c r="Z4" s="3396"/>
      <c r="AA4" s="3383" t="s">
        <v>1771</v>
      </c>
      <c r="AB4" s="3384" t="s">
        <v>1772</v>
      </c>
      <c r="AC4" s="3383" t="s">
        <v>1773</v>
      </c>
    </row>
    <row r="5" spans="1:29">
      <c r="A5" s="348"/>
      <c r="B5" s="349"/>
      <c r="C5" s="3403" t="s">
        <v>1673</v>
      </c>
      <c r="D5" s="3404"/>
      <c r="E5" s="3410" t="s">
        <v>1674</v>
      </c>
      <c r="F5" s="3411"/>
      <c r="G5" s="3403" t="s">
        <v>1675</v>
      </c>
      <c r="H5" s="3404"/>
      <c r="I5" s="3403" t="s">
        <v>1676</v>
      </c>
      <c r="J5" s="3404"/>
      <c r="K5" s="537"/>
      <c r="L5" s="2486"/>
      <c r="M5" s="2487"/>
      <c r="N5" s="2487"/>
      <c r="O5" s="2487"/>
      <c r="P5" s="3391"/>
      <c r="Q5" s="3392"/>
      <c r="R5" s="3397"/>
      <c r="S5" s="3398"/>
      <c r="T5" s="3397"/>
      <c r="U5" s="3398"/>
      <c r="V5" s="3382"/>
      <c r="W5" s="3382"/>
      <c r="X5" s="1264"/>
      <c r="Y5" s="3397"/>
      <c r="Z5" s="3398"/>
      <c r="AA5" s="3384"/>
      <c r="AB5" s="3384"/>
      <c r="AC5" s="3384"/>
    </row>
    <row r="6" spans="1:29" ht="15" thickBot="1">
      <c r="A6" s="350"/>
      <c r="B6" s="351"/>
      <c r="C6" s="3401" t="s">
        <v>1677</v>
      </c>
      <c r="D6" s="3402"/>
      <c r="E6" s="3408" t="s">
        <v>1677</v>
      </c>
      <c r="F6" s="3409"/>
      <c r="G6" s="3401" t="s">
        <v>1677</v>
      </c>
      <c r="H6" s="3402"/>
      <c r="I6" s="3401" t="s">
        <v>1677</v>
      </c>
      <c r="J6" s="3402"/>
      <c r="K6" s="537" t="s">
        <v>1678</v>
      </c>
      <c r="L6" s="2486"/>
      <c r="M6" s="2487"/>
      <c r="N6" s="2487"/>
      <c r="O6" s="2487"/>
      <c r="P6" s="3393"/>
      <c r="Q6" s="3394"/>
      <c r="R6" s="3397"/>
      <c r="S6" s="3398"/>
      <c r="T6" s="3399"/>
      <c r="U6" s="3400"/>
      <c r="V6" s="3382"/>
      <c r="W6" s="3382"/>
      <c r="X6" s="1264"/>
      <c r="Y6" s="3399"/>
      <c r="Z6" s="3400"/>
      <c r="AA6" s="3385"/>
      <c r="AB6" s="3385"/>
      <c r="AC6" s="3385"/>
    </row>
    <row r="7" spans="1:29" s="102" customFormat="1" ht="15" thickBot="1">
      <c r="A7" s="352" t="s">
        <v>1679</v>
      </c>
      <c r="B7" s="353"/>
      <c r="C7" s="354">
        <f>'数据-取费表'!B2</f>
        <v>45526</v>
      </c>
      <c r="D7" s="355">
        <v>100</v>
      </c>
      <c r="E7" s="356"/>
      <c r="F7" s="357">
        <f>SUMIF(48:48,YEAR(E7)&amp;"-"&amp;MONTH(E7),49:49)</f>
        <v>0</v>
      </c>
      <c r="G7" s="356"/>
      <c r="H7" s="355">
        <f>SUMIF(48:48,YEAR(G7)&amp;"-"&amp;MONTH(G7),49:49)</f>
        <v>0</v>
      </c>
      <c r="I7" s="356"/>
      <c r="J7" s="355">
        <f>SUMIF(48:48,YEAR(I7)&amp;"-"&amp;MONTH(I7),49:49)</f>
        <v>0</v>
      </c>
      <c r="K7" s="38"/>
      <c r="L7" s="2488"/>
      <c r="M7" s="2439"/>
      <c r="N7" s="2439"/>
      <c r="O7" s="2439"/>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77"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77"/>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77"/>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77"/>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77"/>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8" t="s">
        <v>1691</v>
      </c>
      <c r="Q14" s="1262" t="str">
        <f t="shared" si="6"/>
        <v>交通便捷度</v>
      </c>
      <c r="R14" s="667" t="s">
        <v>14</v>
      </c>
      <c r="S14" s="668">
        <f t="shared" si="0"/>
        <v>100</v>
      </c>
      <c r="T14" s="667" t="s">
        <v>14</v>
      </c>
      <c r="U14" s="668">
        <f t="shared" si="1"/>
        <v>100</v>
      </c>
      <c r="V14" s="667" t="s">
        <v>14</v>
      </c>
      <c r="W14" s="668">
        <f t="shared" si="2"/>
        <v>100</v>
      </c>
      <c r="X14" s="1264"/>
      <c r="Y14" s="3378"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79"/>
      <c r="Q15" s="1262"/>
      <c r="R15" s="667"/>
      <c r="S15" s="668"/>
      <c r="T15" s="667"/>
      <c r="U15" s="668"/>
      <c r="V15" s="667"/>
      <c r="W15" s="668"/>
      <c r="X15" s="1264"/>
      <c r="Y15" s="3379"/>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9"/>
      <c r="Q16" s="1262" t="str">
        <f>B16</f>
        <v>公共配套设施</v>
      </c>
      <c r="R16" s="667" t="s">
        <v>14</v>
      </c>
      <c r="S16" s="668">
        <f>F16</f>
        <v>100</v>
      </c>
      <c r="T16" s="667" t="s">
        <v>14</v>
      </c>
      <c r="U16" s="668">
        <f>H16</f>
        <v>100</v>
      </c>
      <c r="V16" s="667" t="s">
        <v>14</v>
      </c>
      <c r="W16" s="668">
        <f>J16</f>
        <v>100</v>
      </c>
      <c r="X16" s="1264"/>
      <c r="Y16" s="3379"/>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79"/>
      <c r="Q17" s="1262"/>
      <c r="R17" s="667"/>
      <c r="S17" s="668"/>
      <c r="T17" s="667"/>
      <c r="U17" s="668"/>
      <c r="V17" s="667"/>
      <c r="W17" s="668"/>
      <c r="X17" s="1264"/>
      <c r="Y17" s="3379"/>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9"/>
      <c r="Q18" s="1262" t="str">
        <f>B18</f>
        <v>基础设施水平</v>
      </c>
      <c r="R18" s="667" t="s">
        <v>14</v>
      </c>
      <c r="S18" s="668">
        <f>F18</f>
        <v>100</v>
      </c>
      <c r="T18" s="667" t="s">
        <v>14</v>
      </c>
      <c r="U18" s="668">
        <f>H18</f>
        <v>100</v>
      </c>
      <c r="V18" s="667" t="s">
        <v>14</v>
      </c>
      <c r="W18" s="668">
        <f>J18</f>
        <v>100</v>
      </c>
      <c r="X18" s="1264"/>
      <c r="Y18" s="3379"/>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2"/>
      <c r="M19" s="2487"/>
      <c r="N19" s="2487"/>
      <c r="O19" s="2487"/>
      <c r="P19" s="3379"/>
      <c r="Q19" s="1262"/>
      <c r="R19" s="667"/>
      <c r="S19" s="668"/>
      <c r="T19" s="667"/>
      <c r="U19" s="668"/>
      <c r="V19" s="667"/>
      <c r="W19" s="668"/>
      <c r="X19" s="1264"/>
      <c r="Y19" s="3379"/>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9"/>
      <c r="Q20" s="1262" t="str">
        <f>B20</f>
        <v>自然及人文环境</v>
      </c>
      <c r="R20" s="667" t="s">
        <v>14</v>
      </c>
      <c r="S20" s="668">
        <f>F20</f>
        <v>100</v>
      </c>
      <c r="T20" s="667" t="s">
        <v>14</v>
      </c>
      <c r="U20" s="668">
        <f>H20</f>
        <v>100</v>
      </c>
      <c r="V20" s="667" t="s">
        <v>14</v>
      </c>
      <c r="W20" s="668">
        <f>J20</f>
        <v>100</v>
      </c>
      <c r="X20" s="1264"/>
      <c r="Y20" s="3379"/>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79"/>
      <c r="Q21" s="1262"/>
      <c r="R21" s="667"/>
      <c r="S21" s="668"/>
      <c r="T21" s="667"/>
      <c r="U21" s="668"/>
      <c r="V21" s="667"/>
      <c r="W21" s="668"/>
      <c r="X21" s="1264"/>
      <c r="Y21" s="3379"/>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9"/>
      <c r="Q22" s="1262" t="str">
        <f>B22</f>
        <v>楼层</v>
      </c>
      <c r="R22" s="667" t="s">
        <v>14</v>
      </c>
      <c r="S22" s="668">
        <f>F22</f>
        <v>100</v>
      </c>
      <c r="T22" s="667" t="s">
        <v>14</v>
      </c>
      <c r="U22" s="668">
        <f>H22</f>
        <v>100</v>
      </c>
      <c r="V22" s="667" t="s">
        <v>14</v>
      </c>
      <c r="W22" s="668">
        <f>J22</f>
        <v>100</v>
      </c>
      <c r="X22" s="1264"/>
      <c r="Y22" s="3379"/>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9"/>
      <c r="Q23" s="1262">
        <f>B23</f>
        <v>111</v>
      </c>
      <c r="R23" s="667" t="s">
        <v>14</v>
      </c>
      <c r="S23" s="668">
        <f>F23</f>
        <v>100</v>
      </c>
      <c r="T23" s="667" t="s">
        <v>14</v>
      </c>
      <c r="U23" s="668">
        <f>H23</f>
        <v>100</v>
      </c>
      <c r="V23" s="667" t="s">
        <v>14</v>
      </c>
      <c r="W23" s="668">
        <f>J23</f>
        <v>100</v>
      </c>
      <c r="X23" s="1264"/>
      <c r="Y23" s="3379"/>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9"/>
      <c r="Q24" s="1262">
        <f t="shared" ref="Q24:Q36" si="11">B24</f>
        <v>111</v>
      </c>
      <c r="R24" s="667" t="s">
        <v>14</v>
      </c>
      <c r="S24" s="668">
        <f>F24</f>
        <v>100</v>
      </c>
      <c r="T24" s="667" t="s">
        <v>14</v>
      </c>
      <c r="U24" s="668">
        <f>H24</f>
        <v>100</v>
      </c>
      <c r="V24" s="667" t="s">
        <v>14</v>
      </c>
      <c r="W24" s="668">
        <f>J24</f>
        <v>100</v>
      </c>
      <c r="X24" s="1264"/>
      <c r="Y24" s="3379"/>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9"/>
      <c r="Q25" s="530">
        <f t="shared" si="11"/>
        <v>111</v>
      </c>
      <c r="R25" s="664" t="s">
        <v>14</v>
      </c>
      <c r="S25" s="665">
        <f>F25</f>
        <v>100</v>
      </c>
      <c r="T25" s="664" t="s">
        <v>14</v>
      </c>
      <c r="U25" s="665">
        <f>H25</f>
        <v>100</v>
      </c>
      <c r="V25" s="664" t="s">
        <v>14</v>
      </c>
      <c r="W25" s="665">
        <f>J25</f>
        <v>100</v>
      </c>
      <c r="X25" s="666"/>
      <c r="Y25" s="3379"/>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38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81"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1"/>
      <c r="Q28" s="1262" t="str">
        <f t="shared" si="11"/>
        <v>公共部分装修</v>
      </c>
      <c r="R28" s="667" t="s">
        <v>14</v>
      </c>
      <c r="S28" s="668">
        <f t="shared" si="12"/>
        <v>100</v>
      </c>
      <c r="T28" s="667" t="s">
        <v>14</v>
      </c>
      <c r="U28" s="668">
        <f t="shared" si="13"/>
        <v>100</v>
      </c>
      <c r="V28" s="667" t="s">
        <v>14</v>
      </c>
      <c r="W28" s="668">
        <f t="shared" si="14"/>
        <v>100</v>
      </c>
      <c r="X28" s="1264"/>
      <c r="Y28" s="3381"/>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1"/>
      <c r="Q29" s="1262" t="str">
        <f t="shared" si="11"/>
        <v>成新率</v>
      </c>
      <c r="R29" s="667" t="s">
        <v>14</v>
      </c>
      <c r="S29" s="668" t="e">
        <f t="shared" si="12"/>
        <v>#N/A</v>
      </c>
      <c r="T29" s="667" t="s">
        <v>14</v>
      </c>
      <c r="U29" s="668" t="e">
        <f t="shared" si="13"/>
        <v>#N/A</v>
      </c>
      <c r="V29" s="667" t="s">
        <v>14</v>
      </c>
      <c r="W29" s="668" t="e">
        <f t="shared" si="14"/>
        <v>#N/A</v>
      </c>
      <c r="X29" s="1264"/>
      <c r="Y29" s="3381"/>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1"/>
      <c r="Q30" s="1262" t="str">
        <f t="shared" si="11"/>
        <v>物业等级</v>
      </c>
      <c r="R30" s="667" t="s">
        <v>14</v>
      </c>
      <c r="S30" s="668">
        <f t="shared" si="12"/>
        <v>100</v>
      </c>
      <c r="T30" s="667" t="s">
        <v>14</v>
      </c>
      <c r="U30" s="668">
        <f t="shared" si="13"/>
        <v>100</v>
      </c>
      <c r="V30" s="667" t="s">
        <v>14</v>
      </c>
      <c r="W30" s="668">
        <f t="shared" si="14"/>
        <v>100</v>
      </c>
      <c r="X30" s="1264"/>
      <c r="Y30" s="3381"/>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1" t="s">
        <v>1696</v>
      </c>
      <c r="Q32" s="1262" t="str">
        <f t="shared" si="11"/>
        <v>车位类型</v>
      </c>
      <c r="R32" s="667" t="s">
        <v>14</v>
      </c>
      <c r="S32" s="668">
        <f t="shared" si="12"/>
        <v>100</v>
      </c>
      <c r="T32" s="667" t="s">
        <v>14</v>
      </c>
      <c r="U32" s="668">
        <f t="shared" si="13"/>
        <v>100</v>
      </c>
      <c r="V32" s="667" t="s">
        <v>14</v>
      </c>
      <c r="W32" s="668">
        <f t="shared" si="14"/>
        <v>100</v>
      </c>
      <c r="X32" s="1264"/>
      <c r="Y32" s="3381"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1"/>
      <c r="Q33" s="1262" t="str">
        <f t="shared" si="11"/>
        <v>是否直接入户</v>
      </c>
      <c r="R33" s="667" t="s">
        <v>14</v>
      </c>
      <c r="S33" s="668">
        <f t="shared" si="12"/>
        <v>100</v>
      </c>
      <c r="T33" s="667" t="s">
        <v>14</v>
      </c>
      <c r="U33" s="668">
        <f t="shared" si="13"/>
        <v>100</v>
      </c>
      <c r="V33" s="667" t="s">
        <v>14</v>
      </c>
      <c r="W33" s="668">
        <f t="shared" si="14"/>
        <v>100</v>
      </c>
      <c r="X33" s="1264"/>
      <c r="Y33" s="3381"/>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1"/>
      <c r="Q34" s="1262">
        <f t="shared" si="11"/>
        <v>111</v>
      </c>
      <c r="R34" s="667" t="s">
        <v>14</v>
      </c>
      <c r="S34" s="668">
        <f t="shared" si="12"/>
        <v>100</v>
      </c>
      <c r="T34" s="667" t="s">
        <v>14</v>
      </c>
      <c r="U34" s="668">
        <f t="shared" si="13"/>
        <v>100</v>
      </c>
      <c r="V34" s="667" t="s">
        <v>14</v>
      </c>
      <c r="W34" s="668">
        <f t="shared" si="14"/>
        <v>100</v>
      </c>
      <c r="X34" s="1264"/>
      <c r="Y34" s="3381"/>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1"/>
      <c r="Q36" s="1262">
        <f t="shared" si="11"/>
        <v>111</v>
      </c>
      <c r="R36" s="667" t="s">
        <v>14</v>
      </c>
      <c r="S36" s="668">
        <f t="shared" si="12"/>
        <v>100</v>
      </c>
      <c r="T36" s="667" t="s">
        <v>14</v>
      </c>
      <c r="U36" s="668">
        <f t="shared" si="13"/>
        <v>100</v>
      </c>
      <c r="V36" s="667" t="s">
        <v>14</v>
      </c>
      <c r="W36" s="668">
        <f t="shared" si="14"/>
        <v>100</v>
      </c>
      <c r="X36" s="1264"/>
      <c r="Y36" s="3381"/>
      <c r="Z36" s="1263">
        <f t="shared" si="15"/>
        <v>111</v>
      </c>
      <c r="AA36" s="1263">
        <f t="shared" si="3"/>
        <v>1</v>
      </c>
      <c r="AB36" s="1263">
        <f t="shared" si="4"/>
        <v>1</v>
      </c>
      <c r="AC36" s="1263">
        <f t="shared" si="5"/>
        <v>1</v>
      </c>
    </row>
    <row r="37" spans="1:29" ht="14.4">
      <c r="A37" s="416" t="s">
        <v>1844</v>
      </c>
      <c r="B37" s="1820" t="s">
        <v>3354</v>
      </c>
      <c r="C37" s="1081" t="s">
        <v>0</v>
      </c>
      <c r="D37" s="418"/>
      <c r="E37" s="419"/>
      <c r="F37" s="420"/>
      <c r="G37" s="421"/>
      <c r="H37" s="422"/>
      <c r="I37" s="419"/>
      <c r="J37" s="422"/>
      <c r="K37" s="545"/>
      <c r="L37" s="2494"/>
      <c r="M37" s="2487"/>
      <c r="N37" s="2487"/>
      <c r="O37" s="2487"/>
      <c r="P37" s="3377" t="str">
        <f>A37</f>
        <v>成交单价</v>
      </c>
      <c r="Q37" s="3377"/>
      <c r="R37" s="3382">
        <f>E37</f>
        <v>0</v>
      </c>
      <c r="S37" s="3382"/>
      <c r="T37" s="3382">
        <f>G37</f>
        <v>0</v>
      </c>
      <c r="U37" s="3382"/>
      <c r="V37" s="3382">
        <f>I37</f>
        <v>0</v>
      </c>
      <c r="W37" s="3382"/>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77" t="str">
        <f>A38</f>
        <v>比较价值（元/平方米）</v>
      </c>
      <c r="Q38" s="3377"/>
      <c r="R38" s="3382" t="e">
        <f>IF(F1="售价",ROUND(PRODUCT(R37,AA7:AA36),0),ROUND(PRODUCT(R37,AA7:AA36),1))</f>
        <v>#DIV/0!</v>
      </c>
      <c r="S38" s="3382"/>
      <c r="T38" s="3382" t="e">
        <f>IF(F1="售价",ROUND(PRODUCT(T37,AB7:AB36),0),ROUND(PRODUCT(T37,AB7:AB36),1))</f>
        <v>#DIV/0!</v>
      </c>
      <c r="U38" s="3382"/>
      <c r="V38" s="3382" t="e">
        <f>IF(F1="售价",ROUND(PRODUCT(V37,AC7:AC36),0),ROUND(PRODUCT(V37,AC7:AC36),1))</f>
        <v>#DIV/0!</v>
      </c>
      <c r="W38" s="338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1" t="str">
        <f>A39</f>
        <v>估价对象XX用房的比较价值（楼面单价，元/平方米）</v>
      </c>
      <c r="Q39" s="3372"/>
      <c r="R39" s="3463" t="e">
        <f>IF(F1="售价",ROUND(IF(D38="简单平均",AVERAGE(R38:W38),R38*F38+T38*H38+V38*J38),0),ROUND(IF(D38="简单平均",AVERAGE(R38:V38),R38*F38+T38*H38+V38*J38),1))</f>
        <v>#DIV/0!</v>
      </c>
      <c r="S39" s="3463"/>
      <c r="T39" s="3463"/>
      <c r="U39" s="3463"/>
      <c r="V39" s="3463"/>
      <c r="W39" s="346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2" t="str">
        <f>YEAR(C7)&amp;"-"&amp;MONTH(C7)</f>
        <v>2024-8</v>
      </c>
      <c r="D48" s="1103">
        <f>EDATE(C48,-1)</f>
        <v>45474</v>
      </c>
      <c r="E48" s="1103">
        <f t="shared" ref="E48:O48" si="16">EDATE(D48,-1)</f>
        <v>45444</v>
      </c>
      <c r="F48" s="1103">
        <f t="shared" si="16"/>
        <v>45413</v>
      </c>
      <c r="G48" s="1103">
        <f t="shared" si="16"/>
        <v>45383</v>
      </c>
      <c r="H48" s="1103">
        <f t="shared" si="16"/>
        <v>45352</v>
      </c>
      <c r="I48" s="1103">
        <f t="shared" si="16"/>
        <v>45323</v>
      </c>
      <c r="J48" s="1103">
        <f t="shared" si="16"/>
        <v>45292</v>
      </c>
      <c r="K48" s="1103">
        <f t="shared" si="16"/>
        <v>45261</v>
      </c>
      <c r="L48" s="1103">
        <f t="shared" si="16"/>
        <v>45231</v>
      </c>
      <c r="M48" s="1103">
        <f t="shared" si="16"/>
        <v>45200</v>
      </c>
      <c r="N48" s="1103">
        <f t="shared" si="16"/>
        <v>45170</v>
      </c>
      <c r="O48" s="1103">
        <f t="shared" si="16"/>
        <v>45139</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8" priority="13" stopIfTrue="1">
      <formula>$F$42="超过30%"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F7:F36 H7:H36 J7:J36">
    <cfRule type="cellIs" dxfId="55" priority="1" operator="notEqual">
      <formula>100</formula>
    </cfRule>
  </conditionalFormatting>
  <conditionalFormatting sqref="F38">
    <cfRule type="expression" dxfId="54" priority="4">
      <formula>$D$38="简单平均"</formula>
    </cfRule>
  </conditionalFormatting>
  <conditionalFormatting sqref="F42:F44 H42:H44 J42:J44">
    <cfRule type="containsText" dxfId="53" priority="14" stopIfTrue="1" operator="containsText" text="超过">
      <formula>NOT(ISERROR(SEARCH("超过",F42)))</formula>
    </cfRule>
  </conditionalFormatting>
  <conditionalFormatting sqref="G42">
    <cfRule type="expression" dxfId="52" priority="9" stopIfTrue="1">
      <formula>$H$52+$H$42="超过30%"</formula>
    </cfRule>
  </conditionalFormatting>
  <conditionalFormatting sqref="G43">
    <cfRule type="expression" dxfId="51" priority="8" stopIfTrue="1">
      <formula>$H$43="超过20%"</formula>
    </cfRule>
  </conditionalFormatting>
  <conditionalFormatting sqref="G44">
    <cfRule type="expression" dxfId="50" priority="12" stopIfTrue="1">
      <formula>$H$54+$H$44="超过30%"</formula>
    </cfRule>
  </conditionalFormatting>
  <conditionalFormatting sqref="H38">
    <cfRule type="expression" dxfId="49" priority="3">
      <formula>$D$38="简单平均"</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J38">
    <cfRule type="expression" dxfId="4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3334</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74" t="s">
        <v>1770</v>
      </c>
      <c r="D4" s="3386"/>
      <c r="E4" s="3387" t="s">
        <v>1771</v>
      </c>
      <c r="F4" s="3388"/>
      <c r="G4" s="3374" t="s">
        <v>1772</v>
      </c>
      <c r="H4" s="3386"/>
      <c r="I4" s="3374" t="s">
        <v>1773</v>
      </c>
      <c r="J4" s="3386"/>
      <c r="K4" s="537" t="s">
        <v>1774</v>
      </c>
      <c r="L4" s="2486"/>
      <c r="M4" s="2487"/>
      <c r="N4" s="2487"/>
      <c r="O4" s="2487"/>
      <c r="P4" s="3389" t="s">
        <v>1775</v>
      </c>
      <c r="Q4" s="3390"/>
      <c r="R4" s="3395" t="s">
        <v>1771</v>
      </c>
      <c r="S4" s="3396"/>
      <c r="T4" s="3395" t="s">
        <v>1772</v>
      </c>
      <c r="U4" s="3396"/>
      <c r="V4" s="3382" t="s">
        <v>1773</v>
      </c>
      <c r="W4" s="3382"/>
      <c r="X4" s="1264"/>
      <c r="Y4" s="3395" t="s">
        <v>1775</v>
      </c>
      <c r="Z4" s="3396"/>
      <c r="AA4" s="3383" t="s">
        <v>1771</v>
      </c>
      <c r="AB4" s="3384" t="s">
        <v>1772</v>
      </c>
      <c r="AC4" s="3383" t="s">
        <v>1773</v>
      </c>
    </row>
    <row r="5" spans="1:29">
      <c r="A5" s="348"/>
      <c r="B5" s="349"/>
      <c r="C5" s="3403" t="s">
        <v>1673</v>
      </c>
      <c r="D5" s="3404"/>
      <c r="E5" s="3410" t="s">
        <v>1674</v>
      </c>
      <c r="F5" s="3411"/>
      <c r="G5" s="3403" t="s">
        <v>1675</v>
      </c>
      <c r="H5" s="3404"/>
      <c r="I5" s="3403" t="s">
        <v>1676</v>
      </c>
      <c r="J5" s="3404"/>
      <c r="K5" s="537"/>
      <c r="L5" s="2486"/>
      <c r="M5" s="2487"/>
      <c r="N5" s="2487"/>
      <c r="O5" s="2487"/>
      <c r="P5" s="3391"/>
      <c r="Q5" s="3392"/>
      <c r="R5" s="3397"/>
      <c r="S5" s="3398"/>
      <c r="T5" s="3397"/>
      <c r="U5" s="3398"/>
      <c r="V5" s="3382"/>
      <c r="W5" s="3382"/>
      <c r="X5" s="1264"/>
      <c r="Y5" s="3397"/>
      <c r="Z5" s="3398"/>
      <c r="AA5" s="3384"/>
      <c r="AB5" s="3384"/>
      <c r="AC5" s="3384"/>
    </row>
    <row r="6" spans="1:29" ht="15" thickBot="1">
      <c r="A6" s="350"/>
      <c r="B6" s="351"/>
      <c r="C6" s="3401" t="s">
        <v>1677</v>
      </c>
      <c r="D6" s="3402"/>
      <c r="E6" s="3408" t="s">
        <v>1677</v>
      </c>
      <c r="F6" s="3409"/>
      <c r="G6" s="3401" t="s">
        <v>1677</v>
      </c>
      <c r="H6" s="3402"/>
      <c r="I6" s="3401" t="s">
        <v>1677</v>
      </c>
      <c r="J6" s="3402"/>
      <c r="K6" s="537" t="s">
        <v>1678</v>
      </c>
      <c r="L6" s="2486"/>
      <c r="M6" s="2487"/>
      <c r="N6" s="2487"/>
      <c r="O6" s="2487"/>
      <c r="P6" s="3393"/>
      <c r="Q6" s="3394"/>
      <c r="R6" s="3397"/>
      <c r="S6" s="3398"/>
      <c r="T6" s="3399"/>
      <c r="U6" s="3400"/>
      <c r="V6" s="3382"/>
      <c r="W6" s="3382"/>
      <c r="X6" s="1264"/>
      <c r="Y6" s="3399"/>
      <c r="Z6" s="3400"/>
      <c r="AA6" s="3385"/>
      <c r="AB6" s="3385"/>
      <c r="AC6" s="3385"/>
    </row>
    <row r="7" spans="1:29" s="102" customFormat="1" ht="15" thickBot="1">
      <c r="A7" s="352" t="s">
        <v>1679</v>
      </c>
      <c r="B7" s="353"/>
      <c r="C7" s="354">
        <f>'数据-取费表'!B2</f>
        <v>45526</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77"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77"/>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77"/>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77"/>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77"/>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8" t="s">
        <v>1691</v>
      </c>
      <c r="Q14" s="1262" t="str">
        <f t="shared" si="6"/>
        <v>交通便捷度</v>
      </c>
      <c r="R14" s="667" t="s">
        <v>14</v>
      </c>
      <c r="S14" s="668">
        <f t="shared" si="0"/>
        <v>100</v>
      </c>
      <c r="T14" s="667" t="s">
        <v>14</v>
      </c>
      <c r="U14" s="668">
        <f t="shared" si="1"/>
        <v>100</v>
      </c>
      <c r="V14" s="667" t="s">
        <v>14</v>
      </c>
      <c r="W14" s="668">
        <f t="shared" si="2"/>
        <v>100</v>
      </c>
      <c r="X14" s="1264"/>
      <c r="Y14" s="3378"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79"/>
      <c r="Q15" s="1262"/>
      <c r="R15" s="667"/>
      <c r="S15" s="668"/>
      <c r="T15" s="667"/>
      <c r="U15" s="668"/>
      <c r="V15" s="667"/>
      <c r="W15" s="668"/>
      <c r="X15" s="1264"/>
      <c r="Y15" s="3379"/>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9"/>
      <c r="Q16" s="1262" t="str">
        <f>B16</f>
        <v>公共配套设施</v>
      </c>
      <c r="R16" s="667" t="s">
        <v>14</v>
      </c>
      <c r="S16" s="668">
        <f>F16</f>
        <v>100</v>
      </c>
      <c r="T16" s="667" t="s">
        <v>14</v>
      </c>
      <c r="U16" s="668">
        <f>H16</f>
        <v>100</v>
      </c>
      <c r="V16" s="667" t="s">
        <v>14</v>
      </c>
      <c r="W16" s="668">
        <f>J16</f>
        <v>100</v>
      </c>
      <c r="X16" s="1264"/>
      <c r="Y16" s="3379"/>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79"/>
      <c r="Q17" s="1262"/>
      <c r="R17" s="667"/>
      <c r="S17" s="668"/>
      <c r="T17" s="667"/>
      <c r="U17" s="668"/>
      <c r="V17" s="667"/>
      <c r="W17" s="668"/>
      <c r="X17" s="1264"/>
      <c r="Y17" s="3379"/>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9"/>
      <c r="Q18" s="1262" t="str">
        <f>B18</f>
        <v>基础设施水平</v>
      </c>
      <c r="R18" s="667" t="s">
        <v>14</v>
      </c>
      <c r="S18" s="668">
        <f>F18</f>
        <v>100</v>
      </c>
      <c r="T18" s="667" t="s">
        <v>14</v>
      </c>
      <c r="U18" s="668">
        <f>H18</f>
        <v>100</v>
      </c>
      <c r="V18" s="667" t="s">
        <v>14</v>
      </c>
      <c r="W18" s="668">
        <f>J18</f>
        <v>100</v>
      </c>
      <c r="X18" s="1264"/>
      <c r="Y18" s="3379"/>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2"/>
      <c r="M19" s="2487"/>
      <c r="N19" s="2487"/>
      <c r="O19" s="2542"/>
      <c r="P19" s="3379"/>
      <c r="Q19" s="1262"/>
      <c r="R19" s="667"/>
      <c r="S19" s="668"/>
      <c r="T19" s="667"/>
      <c r="U19" s="668"/>
      <c r="V19" s="667"/>
      <c r="W19" s="668"/>
      <c r="X19" s="1264"/>
      <c r="Y19" s="3379"/>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9"/>
      <c r="Q20" s="1262" t="str">
        <f>B20</f>
        <v>自然及人文环境</v>
      </c>
      <c r="R20" s="667" t="s">
        <v>14</v>
      </c>
      <c r="S20" s="668">
        <f>F20</f>
        <v>100</v>
      </c>
      <c r="T20" s="667" t="s">
        <v>14</v>
      </c>
      <c r="U20" s="668">
        <f>H20</f>
        <v>100</v>
      </c>
      <c r="V20" s="667" t="s">
        <v>14</v>
      </c>
      <c r="W20" s="668">
        <f>J20</f>
        <v>100</v>
      </c>
      <c r="X20" s="1264"/>
      <c r="Y20" s="3379"/>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79"/>
      <c r="Q21" s="1262"/>
      <c r="R21" s="667"/>
      <c r="S21" s="668"/>
      <c r="T21" s="667"/>
      <c r="U21" s="668"/>
      <c r="V21" s="667"/>
      <c r="W21" s="668"/>
      <c r="X21" s="1264"/>
      <c r="Y21" s="3379"/>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9"/>
      <c r="Q22" s="1262" t="str">
        <f>B22</f>
        <v>楼层</v>
      </c>
      <c r="R22" s="667" t="s">
        <v>14</v>
      </c>
      <c r="S22" s="668">
        <f>F22</f>
        <v>100</v>
      </c>
      <c r="T22" s="667" t="s">
        <v>14</v>
      </c>
      <c r="U22" s="668">
        <f>H22</f>
        <v>100</v>
      </c>
      <c r="V22" s="667" t="s">
        <v>14</v>
      </c>
      <c r="W22" s="668">
        <f>J22</f>
        <v>100</v>
      </c>
      <c r="X22" s="1264"/>
      <c r="Y22" s="3379"/>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9"/>
      <c r="Q23" s="1262">
        <f>B23</f>
        <v>111</v>
      </c>
      <c r="R23" s="667" t="s">
        <v>14</v>
      </c>
      <c r="S23" s="668">
        <f>F23</f>
        <v>100</v>
      </c>
      <c r="T23" s="667" t="s">
        <v>14</v>
      </c>
      <c r="U23" s="668">
        <f>H23</f>
        <v>100</v>
      </c>
      <c r="V23" s="667" t="s">
        <v>14</v>
      </c>
      <c r="W23" s="668">
        <f>J23</f>
        <v>100</v>
      </c>
      <c r="X23" s="1264"/>
      <c r="Y23" s="3379"/>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9"/>
      <c r="Q24" s="1262">
        <f t="shared" ref="Q24:Q34" si="11">B24</f>
        <v>111</v>
      </c>
      <c r="R24" s="667" t="s">
        <v>14</v>
      </c>
      <c r="S24" s="668">
        <f>F24</f>
        <v>100</v>
      </c>
      <c r="T24" s="667" t="s">
        <v>14</v>
      </c>
      <c r="U24" s="668">
        <f>H24</f>
        <v>100</v>
      </c>
      <c r="V24" s="667" t="s">
        <v>14</v>
      </c>
      <c r="W24" s="668">
        <f>J24</f>
        <v>100</v>
      </c>
      <c r="X24" s="1264"/>
      <c r="Y24" s="3379"/>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79"/>
      <c r="Q25" s="530">
        <f t="shared" si="11"/>
        <v>111</v>
      </c>
      <c r="R25" s="664" t="s">
        <v>14</v>
      </c>
      <c r="S25" s="665">
        <f>F25</f>
        <v>100</v>
      </c>
      <c r="T25" s="664" t="s">
        <v>14</v>
      </c>
      <c r="U25" s="665">
        <f>H25</f>
        <v>100</v>
      </c>
      <c r="V25" s="664" t="s">
        <v>14</v>
      </c>
      <c r="W25" s="665">
        <f>J25</f>
        <v>100</v>
      </c>
      <c r="X25" s="666"/>
      <c r="Y25" s="3379"/>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38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8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1"/>
      <c r="Q28" s="1262" t="str">
        <f t="shared" si="11"/>
        <v>物业等级</v>
      </c>
      <c r="R28" s="667" t="s">
        <v>14</v>
      </c>
      <c r="S28" s="668">
        <f t="shared" si="12"/>
        <v>100</v>
      </c>
      <c r="T28" s="667" t="s">
        <v>14</v>
      </c>
      <c r="U28" s="668">
        <f t="shared" si="13"/>
        <v>100</v>
      </c>
      <c r="V28" s="667" t="s">
        <v>14</v>
      </c>
      <c r="W28" s="668">
        <f t="shared" si="14"/>
        <v>100</v>
      </c>
      <c r="X28" s="1264"/>
      <c r="Y28" s="3381"/>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1"/>
      <c r="Q29" s="1262" t="str">
        <f t="shared" si="11"/>
        <v>有无电梯</v>
      </c>
      <c r="R29" s="667" t="s">
        <v>14</v>
      </c>
      <c r="S29" s="668">
        <f t="shared" si="12"/>
        <v>100</v>
      </c>
      <c r="T29" s="667" t="s">
        <v>14</v>
      </c>
      <c r="U29" s="668">
        <f t="shared" si="13"/>
        <v>100</v>
      </c>
      <c r="V29" s="667" t="s">
        <v>14</v>
      </c>
      <c r="W29" s="668">
        <f t="shared" si="14"/>
        <v>100</v>
      </c>
      <c r="X29" s="1264"/>
      <c r="Y29" s="338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1"/>
      <c r="Q30" s="1262" t="str">
        <f t="shared" si="11"/>
        <v>建筑面积</v>
      </c>
      <c r="R30" s="667" t="s">
        <v>14</v>
      </c>
      <c r="S30" s="668" t="e">
        <f t="shared" si="12"/>
        <v>#N/A</v>
      </c>
      <c r="T30" s="667" t="s">
        <v>14</v>
      </c>
      <c r="U30" s="668" t="e">
        <f t="shared" si="13"/>
        <v>#N/A</v>
      </c>
      <c r="V30" s="667" t="s">
        <v>14</v>
      </c>
      <c r="W30" s="668" t="e">
        <f t="shared" si="14"/>
        <v>#N/A</v>
      </c>
      <c r="X30" s="1264"/>
      <c r="Y30" s="3381"/>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1" t="s">
        <v>1696</v>
      </c>
      <c r="Q32" s="1262">
        <f t="shared" si="11"/>
        <v>111</v>
      </c>
      <c r="R32" s="667" t="s">
        <v>14</v>
      </c>
      <c r="S32" s="668">
        <f t="shared" si="12"/>
        <v>100</v>
      </c>
      <c r="T32" s="667" t="s">
        <v>14</v>
      </c>
      <c r="U32" s="668">
        <f t="shared" si="13"/>
        <v>100</v>
      </c>
      <c r="V32" s="667" t="s">
        <v>14</v>
      </c>
      <c r="W32" s="668">
        <f t="shared" si="14"/>
        <v>100</v>
      </c>
      <c r="X32" s="1264"/>
      <c r="Y32" s="338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1"/>
      <c r="Q33" s="1262">
        <f t="shared" si="11"/>
        <v>111</v>
      </c>
      <c r="R33" s="667" t="s">
        <v>14</v>
      </c>
      <c r="S33" s="668">
        <f t="shared" si="12"/>
        <v>100</v>
      </c>
      <c r="T33" s="667" t="s">
        <v>14</v>
      </c>
      <c r="U33" s="668">
        <f t="shared" si="13"/>
        <v>100</v>
      </c>
      <c r="V33" s="667" t="s">
        <v>14</v>
      </c>
      <c r="W33" s="668">
        <f t="shared" si="14"/>
        <v>100</v>
      </c>
      <c r="X33" s="1264"/>
      <c r="Y33" s="3381"/>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1"/>
      <c r="Q34" s="1262">
        <f t="shared" si="11"/>
        <v>111</v>
      </c>
      <c r="R34" s="667" t="s">
        <v>14</v>
      </c>
      <c r="S34" s="668">
        <f t="shared" si="12"/>
        <v>100</v>
      </c>
      <c r="T34" s="667" t="s">
        <v>14</v>
      </c>
      <c r="U34" s="668">
        <f t="shared" si="13"/>
        <v>100</v>
      </c>
      <c r="V34" s="667" t="s">
        <v>14</v>
      </c>
      <c r="W34" s="668">
        <f t="shared" si="14"/>
        <v>100</v>
      </c>
      <c r="X34" s="1264"/>
      <c r="Y34" s="3381"/>
      <c r="Z34" s="1263">
        <f t="shared" si="15"/>
        <v>111</v>
      </c>
      <c r="AA34" s="1263">
        <f t="shared" si="3"/>
        <v>1</v>
      </c>
      <c r="AB34" s="1263">
        <f t="shared" si="4"/>
        <v>1</v>
      </c>
      <c r="AC34" s="1263">
        <f t="shared" si="5"/>
        <v>1</v>
      </c>
    </row>
    <row r="35" spans="1:30" ht="14.4">
      <c r="A35" s="416" t="s">
        <v>1708</v>
      </c>
      <c r="B35" s="417"/>
      <c r="C35" s="1081" t="s">
        <v>0</v>
      </c>
      <c r="D35" s="418"/>
      <c r="E35" s="419"/>
      <c r="F35" s="420"/>
      <c r="G35" s="421"/>
      <c r="H35" s="422"/>
      <c r="I35" s="419"/>
      <c r="J35" s="422"/>
      <c r="K35" s="674"/>
      <c r="L35" s="2494"/>
      <c r="M35" s="2487"/>
      <c r="N35" s="2487"/>
      <c r="O35" s="2487"/>
      <c r="P35" s="3377" t="str">
        <f>A35</f>
        <v>成交单价（元/平方米）</v>
      </c>
      <c r="Q35" s="3377"/>
      <c r="R35" s="3382">
        <f>E35</f>
        <v>0</v>
      </c>
      <c r="S35" s="3382"/>
      <c r="T35" s="3382">
        <f>G35</f>
        <v>0</v>
      </c>
      <c r="U35" s="3382"/>
      <c r="V35" s="3382">
        <f>I35</f>
        <v>0</v>
      </c>
      <c r="W35" s="3382"/>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77" t="str">
        <f>A36</f>
        <v>比较价值（元/平方米）</v>
      </c>
      <c r="Q36" s="3377"/>
      <c r="R36" s="3382" t="e">
        <f>IF(F1="售价",ROUND(PRODUCT(R35,AA7:AA34),0),ROUND(PRODUCT(R35,AA7:AA34),1))</f>
        <v>#DIV/0!</v>
      </c>
      <c r="S36" s="3382"/>
      <c r="T36" s="3382" t="e">
        <f>IF(F1="售价",ROUND(PRODUCT(T35,AB7:AB34),0),ROUND(PRODUCT(T35,AB7:AB34),1))</f>
        <v>#DIV/0!</v>
      </c>
      <c r="U36" s="3382"/>
      <c r="V36" s="3382" t="e">
        <f>IF(F1="售价",ROUND(PRODUCT(V35,AC7:AC34),0),ROUND(PRODUCT(V35,AC7:AC34),1))</f>
        <v>#DIV/0!</v>
      </c>
      <c r="W36" s="338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1" t="str">
        <f>A37</f>
        <v>估价对象XX用房的比较价值（楼面单价，元/平方米）</v>
      </c>
      <c r="Q37" s="3372"/>
      <c r="R37" s="3463" t="e">
        <f>IF(F1="售价",ROUND(IF(D36="简单平均",AVERAGE(R36:W36),R36*F36+T36*H36+V36*J36),0),ROUND(IF(D36="简单平均",AVERAGE(R36:V36),R36*F36+T36*H36+V36*J36),1))</f>
        <v>#DIV/0!</v>
      </c>
      <c r="S37" s="3463"/>
      <c r="T37" s="3463"/>
      <c r="U37" s="3463"/>
      <c r="V37" s="3463"/>
      <c r="W37" s="346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2" t="str">
        <f>YEAR(C7)&amp;"-"&amp;MONTH(C7)</f>
        <v>2024-8</v>
      </c>
      <c r="D46" s="1103">
        <f>EDATE(C46,-1)</f>
        <v>45474</v>
      </c>
      <c r="E46" s="1103">
        <f t="shared" ref="E46:O46" si="16">EDATE(D46,-1)</f>
        <v>45444</v>
      </c>
      <c r="F46" s="1103">
        <f t="shared" si="16"/>
        <v>45413</v>
      </c>
      <c r="G46" s="1103">
        <f t="shared" si="16"/>
        <v>45383</v>
      </c>
      <c r="H46" s="1103">
        <f t="shared" si="16"/>
        <v>45352</v>
      </c>
      <c r="I46" s="1103">
        <f t="shared" si="16"/>
        <v>45323</v>
      </c>
      <c r="J46" s="1103">
        <f t="shared" si="16"/>
        <v>45292</v>
      </c>
      <c r="K46" s="1103">
        <f t="shared" si="16"/>
        <v>45261</v>
      </c>
      <c r="L46" s="1103">
        <f t="shared" si="16"/>
        <v>45231</v>
      </c>
      <c r="M46" s="1103">
        <f t="shared" si="16"/>
        <v>45200</v>
      </c>
      <c r="N46" s="1103">
        <f t="shared" si="16"/>
        <v>45170</v>
      </c>
      <c r="O46" s="1103">
        <f t="shared" si="16"/>
        <v>45139</v>
      </c>
      <c r="P46" s="2510"/>
      <c r="Q46" s="2510"/>
      <c r="R46" s="2510"/>
      <c r="S46" s="2510"/>
      <c r="T46" s="2510"/>
      <c r="U46" s="2510"/>
      <c r="V46" s="2510"/>
      <c r="W46" s="2510"/>
      <c r="X46" s="2510"/>
      <c r="Y46" s="2510"/>
      <c r="Z46" s="2510"/>
      <c r="AA46" s="2510"/>
      <c r="AB46" s="2510"/>
      <c r="AC46" s="2510"/>
      <c r="AD46" s="2510"/>
    </row>
    <row r="47" spans="1:30" s="102" customFormat="1">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4" priority="13" stopIfTrue="1">
      <formula>$F$40="超过30%"</formula>
    </cfRule>
  </conditionalFormatting>
  <conditionalFormatting sqref="E41">
    <cfRule type="expression" dxfId="43" priority="11" stopIfTrue="1">
      <formula>$F$41="超过20%"</formula>
    </cfRule>
  </conditionalFormatting>
  <conditionalFormatting sqref="E42">
    <cfRule type="expression" dxfId="42" priority="10" stopIfTrue="1">
      <formula>$F$42="超过30%"</formula>
    </cfRule>
  </conditionalFormatting>
  <conditionalFormatting sqref="F7:F34 H7:H34 J7:J34">
    <cfRule type="cellIs" dxfId="41" priority="1" operator="notEqual">
      <formula>100</formula>
    </cfRule>
  </conditionalFormatting>
  <conditionalFormatting sqref="F36">
    <cfRule type="expression" dxfId="40" priority="4">
      <formula>$D$36="简单平均"</formula>
    </cfRule>
  </conditionalFormatting>
  <conditionalFormatting sqref="F40:F42 H40:H42 J40:J42">
    <cfRule type="containsText" dxfId="39" priority="14" stopIfTrue="1" operator="containsText" text="超过">
      <formula>NOT(ISERROR(SEARCH("超过",F40)))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G42">
    <cfRule type="expression" dxfId="36" priority="12" stopIfTrue="1">
      <formula>$H$54+$H$42="超过30%"</formula>
    </cfRule>
  </conditionalFormatting>
  <conditionalFormatting sqref="H36">
    <cfRule type="expression" dxfId="35" priority="3">
      <formula>$D$36="简单平均"</formula>
    </cfRule>
  </conditionalFormatting>
  <conditionalFormatting sqref="I40">
    <cfRule type="expression" dxfId="34" priority="7" stopIfTrue="1">
      <formula>$J$40="超过30%"</formula>
    </cfRule>
  </conditionalFormatting>
  <conditionalFormatting sqref="I41">
    <cfRule type="expression" dxfId="33" priority="6" stopIfTrue="1">
      <formula>$J$41="超过20%"</formula>
    </cfRule>
  </conditionalFormatting>
  <conditionalFormatting sqref="I42">
    <cfRule type="expression" dxfId="32" priority="5" stopIfTrue="1">
      <formula>$J$42="超过30%"</formula>
    </cfRule>
  </conditionalFormatting>
  <conditionalFormatting sqref="J36">
    <cfRule type="expression" dxfId="3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74" t="s">
        <v>1770</v>
      </c>
      <c r="D4" s="3386"/>
      <c r="E4" s="3387" t="s">
        <v>1771</v>
      </c>
      <c r="F4" s="3388"/>
      <c r="G4" s="3374" t="s">
        <v>1772</v>
      </c>
      <c r="H4" s="3386"/>
      <c r="I4" s="3374" t="s">
        <v>1773</v>
      </c>
      <c r="J4" s="3386"/>
      <c r="K4" s="537" t="s">
        <v>1774</v>
      </c>
      <c r="L4" s="2486"/>
      <c r="M4" s="2487"/>
      <c r="N4" s="2487"/>
      <c r="O4" s="2487"/>
      <c r="P4" s="3389" t="s">
        <v>1775</v>
      </c>
      <c r="Q4" s="3390"/>
      <c r="R4" s="3395" t="s">
        <v>1771</v>
      </c>
      <c r="S4" s="3396"/>
      <c r="T4" s="3395" t="s">
        <v>1772</v>
      </c>
      <c r="U4" s="3396"/>
      <c r="V4" s="3382" t="s">
        <v>1773</v>
      </c>
      <c r="W4" s="3382"/>
      <c r="X4" s="1264"/>
      <c r="Y4" s="3395" t="s">
        <v>1775</v>
      </c>
      <c r="Z4" s="3396"/>
      <c r="AA4" s="3383" t="s">
        <v>1771</v>
      </c>
      <c r="AB4" s="3384" t="s">
        <v>1772</v>
      </c>
      <c r="AC4" s="3383" t="s">
        <v>1773</v>
      </c>
    </row>
    <row r="5" spans="1:29">
      <c r="A5" s="348"/>
      <c r="B5" s="349"/>
      <c r="C5" s="3403" t="s">
        <v>1673</v>
      </c>
      <c r="D5" s="3404"/>
      <c r="E5" s="3410" t="s">
        <v>1674</v>
      </c>
      <c r="F5" s="3411"/>
      <c r="G5" s="3403" t="s">
        <v>1675</v>
      </c>
      <c r="H5" s="3404"/>
      <c r="I5" s="3403" t="s">
        <v>1676</v>
      </c>
      <c r="J5" s="3404"/>
      <c r="K5" s="537"/>
      <c r="L5" s="2486"/>
      <c r="M5" s="2487"/>
      <c r="N5" s="2487"/>
      <c r="O5" s="2487"/>
      <c r="P5" s="3391"/>
      <c r="Q5" s="3392"/>
      <c r="R5" s="3397"/>
      <c r="S5" s="3398"/>
      <c r="T5" s="3397"/>
      <c r="U5" s="3398"/>
      <c r="V5" s="3382"/>
      <c r="W5" s="3382"/>
      <c r="X5" s="1264"/>
      <c r="Y5" s="3397"/>
      <c r="Z5" s="3398"/>
      <c r="AA5" s="3384"/>
      <c r="AB5" s="3384"/>
      <c r="AC5" s="3384"/>
    </row>
    <row r="6" spans="1:29" ht="15" thickBot="1">
      <c r="A6" s="350"/>
      <c r="B6" s="351"/>
      <c r="C6" s="3464" t="s">
        <v>1919</v>
      </c>
      <c r="D6" s="3465"/>
      <c r="E6" s="3466" t="s">
        <v>1919</v>
      </c>
      <c r="F6" s="3467"/>
      <c r="G6" s="3464" t="s">
        <v>1919</v>
      </c>
      <c r="H6" s="3465"/>
      <c r="I6" s="3464" t="s">
        <v>1919</v>
      </c>
      <c r="J6" s="3465"/>
      <c r="K6" s="537" t="s">
        <v>1678</v>
      </c>
      <c r="L6" s="2486"/>
      <c r="M6" s="2487"/>
      <c r="N6" s="2487"/>
      <c r="O6" s="2487"/>
      <c r="P6" s="3393"/>
      <c r="Q6" s="3394"/>
      <c r="R6" s="3397"/>
      <c r="S6" s="3398"/>
      <c r="T6" s="3399"/>
      <c r="U6" s="3400"/>
      <c r="V6" s="3382"/>
      <c r="W6" s="3382"/>
      <c r="X6" s="1264"/>
      <c r="Y6" s="3399"/>
      <c r="Z6" s="3400"/>
      <c r="AA6" s="3385"/>
      <c r="AB6" s="3385"/>
      <c r="AC6" s="3385"/>
    </row>
    <row r="7" spans="1:29" s="102" customFormat="1" ht="15" thickBot="1">
      <c r="A7" s="352" t="s">
        <v>1679</v>
      </c>
      <c r="B7" s="353"/>
      <c r="C7" s="354">
        <f>'数据-取费表'!B2</f>
        <v>45526</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5" t="s">
        <v>1683</v>
      </c>
      <c r="Q8" s="3406"/>
      <c r="R8" s="664" t="s">
        <v>14</v>
      </c>
      <c r="S8" s="665">
        <f t="shared" si="0"/>
        <v>0</v>
      </c>
      <c r="T8" s="664" t="s">
        <v>14</v>
      </c>
      <c r="U8" s="665">
        <f t="shared" si="1"/>
        <v>0</v>
      </c>
      <c r="V8" s="664" t="s">
        <v>14</v>
      </c>
      <c r="W8" s="665">
        <f t="shared" si="2"/>
        <v>0</v>
      </c>
      <c r="X8" s="666"/>
      <c r="Y8" s="3405" t="s">
        <v>1683</v>
      </c>
      <c r="Z8" s="3406"/>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77"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134</v>
      </c>
      <c r="G10" s="371"/>
      <c r="H10" s="119">
        <f>ROUND(100/'数据-取费表'!G16,0)</f>
        <v>134</v>
      </c>
      <c r="I10" s="371"/>
      <c r="J10" s="119">
        <f>ROUND(100/'数据-取费表'!G16,0)</f>
        <v>134</v>
      </c>
      <c r="K10" s="592"/>
      <c r="L10" s="2489"/>
      <c r="M10" s="2490"/>
      <c r="N10" s="2490"/>
      <c r="O10" s="2541"/>
      <c r="P10" s="3377"/>
      <c r="Q10" s="530" t="str">
        <f t="shared" si="6"/>
        <v>土地使用年限（年）</v>
      </c>
      <c r="R10" s="664" t="s">
        <v>14</v>
      </c>
      <c r="S10" s="665">
        <f t="shared" si="0"/>
        <v>134</v>
      </c>
      <c r="T10" s="664" t="s">
        <v>14</v>
      </c>
      <c r="U10" s="665">
        <f t="shared" si="1"/>
        <v>134</v>
      </c>
      <c r="V10" s="664" t="s">
        <v>14</v>
      </c>
      <c r="W10" s="665">
        <f t="shared" si="2"/>
        <v>134</v>
      </c>
      <c r="X10" s="666"/>
      <c r="Y10" s="3277"/>
      <c r="Z10" s="50" t="str">
        <f t="shared" si="7"/>
        <v>土地使用年限（年）</v>
      </c>
      <c r="AA10" s="50">
        <f t="shared" si="3"/>
        <v>0.74626865671641796</v>
      </c>
      <c r="AB10" s="50">
        <f t="shared" si="4"/>
        <v>0.74626865671641796</v>
      </c>
      <c r="AC10" s="50">
        <f t="shared" si="5"/>
        <v>0.74626865671641796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77"/>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77"/>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77"/>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77"/>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8" t="s">
        <v>1691</v>
      </c>
      <c r="Q15" s="1262" t="str">
        <f t="shared" si="6"/>
        <v>产业集聚程度</v>
      </c>
      <c r="R15" s="667" t="s">
        <v>14</v>
      </c>
      <c r="S15" s="668">
        <f t="shared" si="0"/>
        <v>100</v>
      </c>
      <c r="T15" s="667" t="s">
        <v>14</v>
      </c>
      <c r="U15" s="668">
        <f t="shared" si="1"/>
        <v>100</v>
      </c>
      <c r="V15" s="667" t="s">
        <v>14</v>
      </c>
      <c r="W15" s="668">
        <f t="shared" si="2"/>
        <v>100</v>
      </c>
      <c r="X15" s="1264"/>
      <c r="Y15" s="3378"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79"/>
      <c r="Q16" s="1262"/>
      <c r="R16" s="667"/>
      <c r="S16" s="668"/>
      <c r="T16" s="667"/>
      <c r="U16" s="668"/>
      <c r="V16" s="667"/>
      <c r="W16" s="668"/>
      <c r="X16" s="1264"/>
      <c r="Y16" s="3379"/>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9"/>
      <c r="Q17" s="1262" t="str">
        <f>B17</f>
        <v>交通便捷度</v>
      </c>
      <c r="R17" s="667" t="s">
        <v>14</v>
      </c>
      <c r="S17" s="668">
        <f>F17</f>
        <v>100</v>
      </c>
      <c r="T17" s="667" t="s">
        <v>14</v>
      </c>
      <c r="U17" s="668">
        <f>H17</f>
        <v>100</v>
      </c>
      <c r="V17" s="667" t="s">
        <v>14</v>
      </c>
      <c r="W17" s="668">
        <f>J17</f>
        <v>100</v>
      </c>
      <c r="X17" s="1264"/>
      <c r="Y17" s="3379"/>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79"/>
      <c r="Q18" s="1262"/>
      <c r="R18" s="667"/>
      <c r="S18" s="668"/>
      <c r="T18" s="667"/>
      <c r="U18" s="668"/>
      <c r="V18" s="667"/>
      <c r="W18" s="668"/>
      <c r="X18" s="1264"/>
      <c r="Y18" s="3379"/>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9"/>
      <c r="Q19" s="1262" t="str">
        <f t="shared" ref="Q19:Q33" si="8">B19</f>
        <v>区域土地利用方向</v>
      </c>
      <c r="R19" s="667" t="s">
        <v>14</v>
      </c>
      <c r="S19" s="668">
        <f>F19</f>
        <v>100</v>
      </c>
      <c r="T19" s="667" t="s">
        <v>14</v>
      </c>
      <c r="U19" s="668">
        <f>H19</f>
        <v>100</v>
      </c>
      <c r="V19" s="667" t="s">
        <v>14</v>
      </c>
      <c r="W19" s="668">
        <f>J19</f>
        <v>100</v>
      </c>
      <c r="X19" s="1264"/>
      <c r="Y19" s="3379"/>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79"/>
      <c r="Q20" s="1262"/>
      <c r="R20" s="667"/>
      <c r="S20" s="668"/>
      <c r="T20" s="667"/>
      <c r="U20" s="668"/>
      <c r="V20" s="667"/>
      <c r="W20" s="668"/>
      <c r="X20" s="1264"/>
      <c r="Y20" s="3379"/>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9"/>
      <c r="Q21" s="1262" t="str">
        <f t="shared" si="8"/>
        <v>环境状况</v>
      </c>
      <c r="R21" s="667" t="s">
        <v>14</v>
      </c>
      <c r="S21" s="668">
        <f>F21</f>
        <v>100</v>
      </c>
      <c r="T21" s="667" t="s">
        <v>14</v>
      </c>
      <c r="U21" s="668">
        <f>H21</f>
        <v>100</v>
      </c>
      <c r="V21" s="667" t="s">
        <v>14</v>
      </c>
      <c r="W21" s="668">
        <f>J21</f>
        <v>100</v>
      </c>
      <c r="X21" s="1264"/>
      <c r="Y21" s="3379"/>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79"/>
      <c r="Q22" s="1262"/>
      <c r="R22" s="667"/>
      <c r="S22" s="668"/>
      <c r="T22" s="667"/>
      <c r="U22" s="668"/>
      <c r="V22" s="667"/>
      <c r="W22" s="668"/>
      <c r="X22" s="1264"/>
      <c r="Y22" s="3379"/>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9"/>
      <c r="Q23" s="530" t="str">
        <f t="shared" si="8"/>
        <v>公共配套设施</v>
      </c>
      <c r="R23" s="664" t="s">
        <v>14</v>
      </c>
      <c r="S23" s="665">
        <f>F23</f>
        <v>100</v>
      </c>
      <c r="T23" s="664" t="s">
        <v>14</v>
      </c>
      <c r="U23" s="665">
        <f>H23</f>
        <v>100</v>
      </c>
      <c r="V23" s="664" t="s">
        <v>14</v>
      </c>
      <c r="W23" s="665">
        <f>J23</f>
        <v>100</v>
      </c>
      <c r="X23" s="666"/>
      <c r="Y23" s="3379"/>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79"/>
      <c r="Q24" s="530"/>
      <c r="R24" s="664"/>
      <c r="S24" s="665"/>
      <c r="T24" s="664"/>
      <c r="U24" s="665"/>
      <c r="V24" s="664"/>
      <c r="W24" s="665"/>
      <c r="X24" s="666"/>
      <c r="Y24" s="3379"/>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9"/>
      <c r="Q25" s="530" t="str">
        <f t="shared" ref="Q25" si="9">B25</f>
        <v>基础设施水平</v>
      </c>
      <c r="R25" s="664" t="s">
        <v>14</v>
      </c>
      <c r="S25" s="665">
        <f>F25</f>
        <v>100</v>
      </c>
      <c r="T25" s="664" t="s">
        <v>14</v>
      </c>
      <c r="U25" s="665">
        <f>H25</f>
        <v>100</v>
      </c>
      <c r="V25" s="664" t="s">
        <v>14</v>
      </c>
      <c r="W25" s="665">
        <f>J25</f>
        <v>100</v>
      </c>
      <c r="X25" s="666"/>
      <c r="Y25" s="3379"/>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79"/>
      <c r="Q26" s="530"/>
      <c r="R26" s="664"/>
      <c r="S26" s="665"/>
      <c r="T26" s="664"/>
      <c r="U26" s="665"/>
      <c r="V26" s="664"/>
      <c r="W26" s="665"/>
      <c r="X26" s="666"/>
      <c r="Y26" s="337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9"/>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79"/>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9"/>
      <c r="Q28" s="1262" t="str">
        <f t="shared" si="8"/>
        <v>毗邻道路的类型与等级</v>
      </c>
      <c r="R28" s="667" t="s">
        <v>14</v>
      </c>
      <c r="S28" s="668">
        <f t="shared" si="10"/>
        <v>100</v>
      </c>
      <c r="T28" s="667" t="s">
        <v>14</v>
      </c>
      <c r="U28" s="668">
        <f t="shared" si="11"/>
        <v>100</v>
      </c>
      <c r="V28" s="667" t="s">
        <v>14</v>
      </c>
      <c r="W28" s="668">
        <f t="shared" si="12"/>
        <v>100</v>
      </c>
      <c r="X28" s="1264"/>
      <c r="Y28" s="3379"/>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79"/>
      <c r="Q29" s="1262"/>
      <c r="R29" s="667"/>
      <c r="S29" s="668"/>
      <c r="T29" s="667"/>
      <c r="U29" s="668"/>
      <c r="V29" s="667"/>
      <c r="W29" s="668"/>
      <c r="X29" s="1264"/>
      <c r="Y29" s="3379"/>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9"/>
      <c r="Q30" s="1262" t="str">
        <f t="shared" si="8"/>
        <v>土地级别</v>
      </c>
      <c r="R30" s="667" t="s">
        <v>14</v>
      </c>
      <c r="S30" s="668">
        <f t="shared" si="10"/>
        <v>100</v>
      </c>
      <c r="T30" s="667" t="s">
        <v>14</v>
      </c>
      <c r="U30" s="668">
        <f t="shared" si="11"/>
        <v>100</v>
      </c>
      <c r="V30" s="667" t="s">
        <v>14</v>
      </c>
      <c r="W30" s="668">
        <f t="shared" si="12"/>
        <v>100</v>
      </c>
      <c r="X30" s="1264"/>
      <c r="Y30" s="3379"/>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9"/>
      <c r="Q31" s="1262">
        <f t="shared" si="8"/>
        <v>111</v>
      </c>
      <c r="R31" s="667" t="s">
        <v>14</v>
      </c>
      <c r="S31" s="668">
        <f t="shared" si="10"/>
        <v>100</v>
      </c>
      <c r="T31" s="667" t="s">
        <v>14</v>
      </c>
      <c r="U31" s="668">
        <f t="shared" si="11"/>
        <v>100</v>
      </c>
      <c r="V31" s="667" t="s">
        <v>14</v>
      </c>
      <c r="W31" s="668">
        <f t="shared" si="12"/>
        <v>100</v>
      </c>
      <c r="X31" s="1264"/>
      <c r="Y31" s="3379"/>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380" t="s">
        <v>1696</v>
      </c>
      <c r="Q32" s="1262">
        <f t="shared" si="8"/>
        <v>111</v>
      </c>
      <c r="R32" s="667" t="s">
        <v>14</v>
      </c>
      <c r="S32" s="668">
        <f t="shared" si="10"/>
        <v>100</v>
      </c>
      <c r="T32" s="667" t="s">
        <v>14</v>
      </c>
      <c r="U32" s="668">
        <f t="shared" si="11"/>
        <v>100</v>
      </c>
      <c r="V32" s="667" t="s">
        <v>14</v>
      </c>
      <c r="W32" s="668">
        <f t="shared" si="12"/>
        <v>100</v>
      </c>
      <c r="X32" s="1264"/>
      <c r="Y32" s="3381"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1"/>
      <c r="Q33" s="1262">
        <f t="shared" si="8"/>
        <v>111</v>
      </c>
      <c r="R33" s="669" t="s">
        <v>14</v>
      </c>
      <c r="S33" s="670">
        <f t="shared" si="10"/>
        <v>100</v>
      </c>
      <c r="T33" s="669" t="s">
        <v>14</v>
      </c>
      <c r="U33" s="670">
        <f t="shared" si="11"/>
        <v>100</v>
      </c>
      <c r="V33" s="669" t="s">
        <v>14</v>
      </c>
      <c r="W33" s="670">
        <f t="shared" si="12"/>
        <v>100</v>
      </c>
      <c r="X33" s="671"/>
      <c r="Y33" s="3381"/>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1"/>
      <c r="Q34" s="1262" t="str">
        <f>B34</f>
        <v>宗地面积</v>
      </c>
      <c r="R34" s="667" t="s">
        <v>14</v>
      </c>
      <c r="S34" s="668" t="e">
        <f t="shared" si="10"/>
        <v>#N/A</v>
      </c>
      <c r="T34" s="667" t="s">
        <v>14</v>
      </c>
      <c r="U34" s="668" t="e">
        <f t="shared" si="11"/>
        <v>#N/A</v>
      </c>
      <c r="V34" s="667" t="s">
        <v>14</v>
      </c>
      <c r="W34" s="668" t="e">
        <f t="shared" si="12"/>
        <v>#N/A</v>
      </c>
      <c r="X34" s="1264"/>
      <c r="Y34" s="338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1"/>
      <c r="Q35" s="1262" t="str">
        <f t="shared" ref="Q35:Q40" si="14">B35</f>
        <v>宗地形状</v>
      </c>
      <c r="R35" s="667" t="s">
        <v>14</v>
      </c>
      <c r="S35" s="668">
        <f t="shared" si="10"/>
        <v>100</v>
      </c>
      <c r="T35" s="667" t="s">
        <v>14</v>
      </c>
      <c r="U35" s="668">
        <f t="shared" si="11"/>
        <v>100</v>
      </c>
      <c r="V35" s="667" t="s">
        <v>14</v>
      </c>
      <c r="W35" s="668">
        <f t="shared" si="12"/>
        <v>100</v>
      </c>
      <c r="X35" s="1264"/>
      <c r="Y35" s="338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1"/>
      <c r="Q36" s="1262"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1" t="s">
        <v>1696</v>
      </c>
      <c r="Q37" s="1262" t="str">
        <f t="shared" si="14"/>
        <v>工程地质条件</v>
      </c>
      <c r="R37" s="667" t="s">
        <v>14</v>
      </c>
      <c r="S37" s="668">
        <f t="shared" si="10"/>
        <v>100</v>
      </c>
      <c r="T37" s="667" t="s">
        <v>14</v>
      </c>
      <c r="U37" s="668">
        <f t="shared" si="11"/>
        <v>100</v>
      </c>
      <c r="V37" s="667" t="s">
        <v>14</v>
      </c>
      <c r="W37" s="668">
        <f t="shared" si="12"/>
        <v>100</v>
      </c>
      <c r="X37" s="1264"/>
      <c r="Y37" s="3381"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1"/>
      <c r="Q38" s="1262">
        <f t="shared" si="14"/>
        <v>111</v>
      </c>
      <c r="R38" s="667" t="s">
        <v>14</v>
      </c>
      <c r="S38" s="668">
        <f t="shared" si="10"/>
        <v>100</v>
      </c>
      <c r="T38" s="667" t="s">
        <v>14</v>
      </c>
      <c r="U38" s="668">
        <f t="shared" si="11"/>
        <v>100</v>
      </c>
      <c r="V38" s="667" t="s">
        <v>14</v>
      </c>
      <c r="W38" s="668">
        <f t="shared" si="12"/>
        <v>100</v>
      </c>
      <c r="X38" s="1264"/>
      <c r="Y38" s="3381"/>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1"/>
      <c r="Q39" s="1262">
        <f t="shared" si="14"/>
        <v>111</v>
      </c>
      <c r="R39" s="667" t="s">
        <v>14</v>
      </c>
      <c r="S39" s="668">
        <f t="shared" si="10"/>
        <v>100</v>
      </c>
      <c r="T39" s="667" t="s">
        <v>14</v>
      </c>
      <c r="U39" s="668">
        <f t="shared" si="11"/>
        <v>100</v>
      </c>
      <c r="V39" s="667" t="s">
        <v>14</v>
      </c>
      <c r="W39" s="668">
        <f t="shared" si="12"/>
        <v>100</v>
      </c>
      <c r="X39" s="1264"/>
      <c r="Y39" s="3381"/>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1"/>
      <c r="Q40" s="1262">
        <f t="shared" si="14"/>
        <v>111</v>
      </c>
      <c r="R40" s="669" t="s">
        <v>14</v>
      </c>
      <c r="S40" s="670">
        <f t="shared" si="10"/>
        <v>100</v>
      </c>
      <c r="T40" s="669" t="s">
        <v>14</v>
      </c>
      <c r="U40" s="670">
        <f t="shared" si="11"/>
        <v>100</v>
      </c>
      <c r="V40" s="669" t="s">
        <v>14</v>
      </c>
      <c r="W40" s="670">
        <f t="shared" si="12"/>
        <v>100</v>
      </c>
      <c r="X40" s="671"/>
      <c r="Y40" s="3381"/>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4"/>
      <c r="M41" s="2487"/>
      <c r="N41" s="2487"/>
      <c r="O41" s="2487"/>
      <c r="P41" s="3377" t="str">
        <f>A41</f>
        <v>成交单价</v>
      </c>
      <c r="Q41" s="3377"/>
      <c r="R41" s="3382">
        <f>E41</f>
        <v>0</v>
      </c>
      <c r="S41" s="3382"/>
      <c r="T41" s="3382">
        <f>G41</f>
        <v>0</v>
      </c>
      <c r="U41" s="3382"/>
      <c r="V41" s="3382">
        <f>I41</f>
        <v>0</v>
      </c>
      <c r="W41" s="3382"/>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77" t="str">
        <f>A42</f>
        <v>比较价值（元/平方米）</v>
      </c>
      <c r="Q42" s="3377"/>
      <c r="R42" s="3370" t="e">
        <f>ROUND(PRODUCT(R41,AA7:AA40),0)</f>
        <v>#DIV/0!</v>
      </c>
      <c r="S42" s="3370"/>
      <c r="T42" s="3370" t="e">
        <f>ROUND(PRODUCT(T41,AB7:AB40),0)</f>
        <v>#DIV/0!</v>
      </c>
      <c r="U42" s="3370"/>
      <c r="V42" s="3370" t="e">
        <f>ROUND(PRODUCT(V41,AC7:AC40),0)</f>
        <v>#DIV/0!</v>
      </c>
      <c r="W42" s="3370"/>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1" t="str">
        <f>A43</f>
        <v>估价对象XX用房的比较价值（楼面单价，元/平方米）</v>
      </c>
      <c r="Q43" s="3372"/>
      <c r="R43" s="3373" t="e">
        <f>ROUND(IF(D42="简单平均",AVERAGE(R42:W42),R42*F42+T42*H42+V42*J42),0)</f>
        <v>#DIV/0!</v>
      </c>
      <c r="S43" s="3373"/>
      <c r="T43" s="3373"/>
      <c r="U43" s="3373"/>
      <c r="V43" s="3373"/>
      <c r="W43" s="337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0" t="s">
        <v>1883</v>
      </c>
      <c r="D50" s="1831" t="s">
        <v>1884</v>
      </c>
      <c r="E50" s="606" t="s">
        <v>1885</v>
      </c>
      <c r="F50" s="607" t="s">
        <v>1886</v>
      </c>
      <c r="G50" s="3374" t="s">
        <v>1887</v>
      </c>
      <c r="H50" s="3375"/>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28883.19</v>
      </c>
      <c r="F51" s="611" t="e">
        <f t="shared" ref="F51:F60" si="15">ROUND(B51*E51/10000,0)</f>
        <v>#DIV/0!</v>
      </c>
      <c r="G51" s="3376"/>
      <c r="H51" s="337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三级</v>
      </c>
      <c r="I52" s="727">
        <f>SUMIF(修正!A57:A68,H52,修正!B57:B68)</f>
        <v>0.6</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三级</v>
      </c>
      <c r="I53" s="727">
        <f>SUMIF(修正!A57:A68,H53,修正!C57:C68)</f>
        <v>0.3</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三级</v>
      </c>
      <c r="I54" s="727">
        <f>SUMIF(修正!A57:A68,H54,修正!D57:D68)</f>
        <v>0.25</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4" t="s">
        <v>1896</v>
      </c>
      <c r="H56" s="834" t="str">
        <f>项目基本情况!C37</f>
        <v>三级</v>
      </c>
      <c r="I56" s="727">
        <f>SUMIF(修正!A57:A68,H56,修正!E57:E68)</f>
        <v>0.25</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6564.97</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0</v>
      </c>
      <c r="F59" s="611" t="e">
        <f t="shared" si="15"/>
        <v>#DIV/0!</v>
      </c>
      <c r="G59" s="1834" t="s">
        <v>1892</v>
      </c>
      <c r="H59" s="834" t="str">
        <f>项目基本情况!B37</f>
        <v>三级</v>
      </c>
      <c r="I59" s="727">
        <f>SUMIF(修正!A57:A68,H59,修正!G57:G68)</f>
        <v>0.15</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0.15</v>
      </c>
      <c r="D60" s="891">
        <v>0.25</v>
      </c>
      <c r="E60" s="209">
        <f>'数据-汇总表'!E15</f>
        <v>0</v>
      </c>
      <c r="F60" s="611" t="e">
        <f t="shared" si="15"/>
        <v>#DIV/0!</v>
      </c>
      <c r="G60" s="1835" t="s">
        <v>1896</v>
      </c>
      <c r="H60" s="844" t="str">
        <f>项目基本情况!C37</f>
        <v>三级</v>
      </c>
      <c r="I60" s="727">
        <f>SUMIF(修正!A57:A68,H60,修正!G57:G68)</f>
        <v>0.15</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f>IF(B41="楼面地价",SUM(E51:E60),'数据-汇总表'!D3)</f>
        <v>8274.56</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2024-8-1</v>
      </c>
      <c r="D63" s="656">
        <f>EDATE(C63,-3)</f>
        <v>45413</v>
      </c>
      <c r="E63" s="656">
        <f>EDATE(D63,-3)</f>
        <v>45323</v>
      </c>
      <c r="F63" s="656">
        <f t="shared" ref="F63:O63" si="18">EDATE(E63,-3)</f>
        <v>45231</v>
      </c>
      <c r="G63" s="656">
        <f t="shared" si="18"/>
        <v>45139</v>
      </c>
      <c r="H63" s="656">
        <f t="shared" si="18"/>
        <v>45047</v>
      </c>
      <c r="I63" s="656">
        <f t="shared" si="18"/>
        <v>44958</v>
      </c>
      <c r="J63" s="656">
        <f t="shared" si="18"/>
        <v>44866</v>
      </c>
      <c r="K63" s="656">
        <f t="shared" si="18"/>
        <v>44774</v>
      </c>
      <c r="L63" s="656">
        <f t="shared" si="18"/>
        <v>44682</v>
      </c>
      <c r="M63" s="656">
        <f t="shared" si="18"/>
        <v>44593</v>
      </c>
      <c r="N63" s="656">
        <f t="shared" si="18"/>
        <v>44501</v>
      </c>
      <c r="O63" s="656">
        <f t="shared" si="18"/>
        <v>44409</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29" t="s">
        <v>1904</v>
      </c>
      <c r="B65" s="1046"/>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8"/>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0" priority="13" stopIfTrue="1">
      <formula>$F$46="超过30%"</formula>
    </cfRule>
  </conditionalFormatting>
  <conditionalFormatting sqref="E47">
    <cfRule type="expression" dxfId="29" priority="53" stopIfTrue="1">
      <formula>#REF!+$F$47="超过20%"</formula>
    </cfRule>
  </conditionalFormatting>
  <conditionalFormatting sqref="E48">
    <cfRule type="expression" dxfId="28" priority="10" stopIfTrue="1">
      <formula>$F$48="超过30%"</formula>
    </cfRule>
  </conditionalFormatting>
  <conditionalFormatting sqref="F7:F40 H7:H40 J7:J40">
    <cfRule type="cellIs" dxfId="27" priority="1" operator="notEqual">
      <formula>100</formula>
    </cfRule>
  </conditionalFormatting>
  <conditionalFormatting sqref="F42">
    <cfRule type="expression" dxfId="26" priority="4">
      <formula>$D$42="简单平均"</formula>
    </cfRule>
  </conditionalFormatting>
  <conditionalFormatting sqref="F46:F48 H46:H48 J46:J48">
    <cfRule type="containsText" dxfId="25" priority="14" stopIfTrue="1" operator="containsText" text="超过">
      <formula>NOT(ISERROR(SEARCH("超过",F46)))</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G48">
    <cfRule type="expression" dxfId="22" priority="12" stopIfTrue="1">
      <formula>$H$48="超过30%"</formula>
    </cfRule>
  </conditionalFormatting>
  <conditionalFormatting sqref="H42">
    <cfRule type="expression" dxfId="21" priority="3">
      <formula>$D$42="简单平均"</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J42">
    <cfRule type="expression" dxfId="1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1" t="s">
        <v>2084</v>
      </c>
      <c r="D1" s="3472"/>
      <c r="E1" s="3472"/>
      <c r="F1" s="3472"/>
      <c r="G1" s="3472"/>
      <c r="H1" s="3472"/>
      <c r="I1" s="3472"/>
      <c r="J1" s="3472"/>
      <c r="K1" s="3472"/>
      <c r="L1" s="3472"/>
      <c r="M1" s="3472"/>
      <c r="N1" s="3472"/>
      <c r="O1" s="3472"/>
      <c r="P1" s="3472"/>
      <c r="Q1" s="3472"/>
      <c r="R1" s="3472"/>
      <c r="S1" s="3473"/>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19"/>
      <c r="G3" s="1219"/>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3"/>
      <c r="G4" s="1223"/>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2" thickBot="1">
      <c r="A20" s="632" t="s">
        <v>2096</v>
      </c>
      <c r="B20" s="286" t="e">
        <f ca="1">IF(D20="——",S22,S22-F20)</f>
        <v>#REF!</v>
      </c>
      <c r="C20" s="151"/>
      <c r="D20" s="1988"/>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8" t="s">
        <v>27</v>
      </c>
      <c r="D22" s="3469"/>
      <c r="E22" s="3469"/>
      <c r="F22" s="3469"/>
      <c r="G22" s="3469"/>
      <c r="H22" s="3469"/>
      <c r="I22" s="3469"/>
      <c r="J22" s="3469"/>
      <c r="K22" s="3469"/>
      <c r="L22" s="3469"/>
      <c r="M22" s="3469"/>
      <c r="N22" s="3469"/>
      <c r="O22" s="3469"/>
      <c r="P22" s="3469"/>
      <c r="Q22" s="347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4"/>
      <c r="G1" s="2544"/>
      <c r="H1" s="2544"/>
      <c r="I1" s="2544"/>
      <c r="J1" s="2544"/>
      <c r="K1" s="2544"/>
      <c r="L1" s="2544"/>
      <c r="M1" s="2544"/>
      <c r="N1" s="2544"/>
      <c r="O1" s="2544"/>
      <c r="P1" s="2544"/>
    </row>
    <row r="2" spans="1:16" ht="15.6">
      <c r="A2" s="1983" t="s">
        <v>2073</v>
      </c>
      <c r="B2" s="2387">
        <f ca="1">SUMIF(B6:B13,"&lt;&gt;#ref!",B6:B13)</f>
        <v>8306</v>
      </c>
      <c r="C2" s="1983" t="s">
        <v>2074</v>
      </c>
      <c r="D2" s="1983" t="s">
        <v>2075</v>
      </c>
      <c r="E2" s="2397">
        <f ca="1">SUMIF(E6:E13,"&lt;&gt;#ref!",E6:E13)</f>
        <v>10210.14</v>
      </c>
      <c r="F2" s="2544"/>
      <c r="G2" s="2544"/>
      <c r="H2" s="2544"/>
      <c r="I2" s="2544"/>
      <c r="J2" s="2544"/>
      <c r="K2" s="2544"/>
      <c r="L2" s="2544"/>
      <c r="M2" s="2544"/>
      <c r="N2" s="2544"/>
      <c r="O2" s="2544"/>
      <c r="P2" s="2544"/>
    </row>
    <row r="3" spans="1:16" ht="15.6">
      <c r="A3" s="1983" t="s">
        <v>2076</v>
      </c>
      <c r="B3" s="2387">
        <f ca="1">ROUND(B2*10000/E2,0)</f>
        <v>8135</v>
      </c>
      <c r="C3" s="1983"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3" t="s">
        <v>2077</v>
      </c>
      <c r="B5" s="2395" t="s">
        <v>2078</v>
      </c>
      <c r="C5" s="1984"/>
      <c r="D5" s="2544"/>
      <c r="E5" s="2396" t="s">
        <v>2079</v>
      </c>
      <c r="F5" s="2544"/>
      <c r="G5" s="2544"/>
      <c r="H5" s="2544"/>
      <c r="I5" s="2544"/>
      <c r="J5" s="2544"/>
      <c r="K5" s="2544"/>
      <c r="L5" s="2544"/>
      <c r="M5" s="2544"/>
      <c r="N5" s="2544"/>
      <c r="O5" s="2544"/>
      <c r="P5" s="2544"/>
    </row>
    <row r="6" spans="1:16" ht="15.6">
      <c r="A6" s="2394" t="s">
        <v>2080</v>
      </c>
      <c r="B6" s="2387">
        <f ca="1">SUMIF(INDIRECT("'"&amp;A6&amp;"'"&amp;"!A:A"),"总价",INDIRECT("'"&amp;A6&amp;"'"&amp;"!B:B"))</f>
        <v>8306</v>
      </c>
      <c r="C6" s="1983" t="s">
        <v>2074</v>
      </c>
      <c r="D6" s="2544"/>
      <c r="E6" s="2397">
        <f ca="1">SUMIF(INDIRECT("'"&amp;A6&amp;"'"&amp;"!C:C"),"建筑面积",INDIRECT("'"&amp;A6&amp;"'"&amp;"!D:D"))</f>
        <v>10210.14</v>
      </c>
      <c r="F6" s="2544"/>
      <c r="G6" s="2544"/>
      <c r="H6" s="2544"/>
      <c r="I6" s="2544"/>
      <c r="J6" s="2544"/>
      <c r="K6" s="2544"/>
      <c r="L6" s="2544"/>
      <c r="M6" s="2544"/>
      <c r="N6" s="2544"/>
      <c r="O6" s="2544"/>
      <c r="P6" s="2544"/>
    </row>
    <row r="7" spans="1:16" ht="15.6">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6">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6">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6">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6">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6">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6">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3" t="s">
        <v>2607</v>
      </c>
      <c r="B20" s="3478" t="s">
        <v>2628</v>
      </c>
      <c r="C20" s="2842" t="s">
        <v>2439</v>
      </c>
      <c r="D20" s="2843"/>
      <c r="E20" s="2844">
        <v>1</v>
      </c>
      <c r="F20" s="2845" t="s">
        <v>2440</v>
      </c>
      <c r="G20" s="2845"/>
    </row>
    <row r="21" spans="1:13" ht="19.5" customHeight="1">
      <c r="A21" s="3484"/>
      <c r="B21" s="3477"/>
      <c r="C21" s="2846" t="s">
        <v>2441</v>
      </c>
      <c r="D21" s="2847"/>
      <c r="E21" s="2848">
        <v>1</v>
      </c>
      <c r="F21" s="2845" t="s">
        <v>2442</v>
      </c>
      <c r="G21" s="2845"/>
    </row>
    <row r="22" spans="1:13" ht="19.5" customHeight="1">
      <c r="A22" s="3484"/>
      <c r="B22" s="3477"/>
      <c r="C22" s="2846" t="s">
        <v>2443</v>
      </c>
      <c r="D22" s="2847"/>
      <c r="E22" s="2848">
        <v>0.9</v>
      </c>
      <c r="F22" s="2845" t="s">
        <v>2444</v>
      </c>
      <c r="G22" s="2845"/>
    </row>
    <row r="23" spans="1:13" ht="19.5" customHeight="1">
      <c r="A23" s="3484"/>
      <c r="B23" s="3477"/>
      <c r="C23" s="2846" t="s">
        <v>2445</v>
      </c>
      <c r="D23" s="2847"/>
      <c r="E23" s="2848">
        <v>0.9</v>
      </c>
      <c r="F23" s="2845" t="s">
        <v>2446</v>
      </c>
      <c r="G23" s="2845"/>
    </row>
    <row r="24" spans="1:13" ht="19.5" customHeight="1">
      <c r="A24" s="3484"/>
      <c r="B24" s="3477"/>
      <c r="C24" s="2846" t="s">
        <v>2447</v>
      </c>
      <c r="D24" s="2847"/>
      <c r="E24" s="2848">
        <v>0.8</v>
      </c>
      <c r="F24" s="2845" t="s">
        <v>2448</v>
      </c>
      <c r="G24" s="2845"/>
    </row>
    <row r="25" spans="1:13" ht="19.5" customHeight="1" thickBot="1">
      <c r="A25" s="3485"/>
      <c r="B25" s="3479"/>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80" t="s">
        <v>2631</v>
      </c>
      <c r="B27" s="3478" t="s">
        <v>2612</v>
      </c>
      <c r="C27" s="2842" t="s">
        <v>2452</v>
      </c>
      <c r="D27" s="2843"/>
      <c r="E27" s="2844">
        <v>1</v>
      </c>
      <c r="F27" s="2845" t="s">
        <v>2453</v>
      </c>
      <c r="G27" s="2845"/>
    </row>
    <row r="28" spans="1:13" ht="19.5" customHeight="1">
      <c r="A28" s="3481"/>
      <c r="B28" s="3477"/>
      <c r="C28" s="2846" t="s">
        <v>2454</v>
      </c>
      <c r="D28" s="2847"/>
      <c r="E28" s="2848">
        <v>1</v>
      </c>
      <c r="F28" s="2845" t="s">
        <v>2455</v>
      </c>
      <c r="G28" s="2845"/>
    </row>
    <row r="29" spans="1:13" ht="19.5" customHeight="1">
      <c r="A29" s="3481"/>
      <c r="B29" s="3477"/>
      <c r="C29" s="2846" t="s">
        <v>2456</v>
      </c>
      <c r="D29" s="2847"/>
      <c r="E29" s="2848">
        <v>0.8</v>
      </c>
      <c r="F29" s="2845" t="s">
        <v>2457</v>
      </c>
      <c r="G29" s="2845"/>
    </row>
    <row r="30" spans="1:13" ht="19.5" customHeight="1">
      <c r="A30" s="3481"/>
      <c r="B30" s="3477"/>
      <c r="C30" s="2846" t="s">
        <v>2458</v>
      </c>
      <c r="D30" s="2847"/>
      <c r="E30" s="2848">
        <v>0.8</v>
      </c>
      <c r="F30" s="2845" t="s">
        <v>2459</v>
      </c>
      <c r="G30" s="2845"/>
    </row>
    <row r="31" spans="1:13" ht="19.5" customHeight="1">
      <c r="A31" s="3481"/>
      <c r="B31" s="3477"/>
      <c r="C31" s="2846" t="s">
        <v>2460</v>
      </c>
      <c r="D31" s="2847"/>
      <c r="E31" s="2848">
        <v>0.8</v>
      </c>
      <c r="F31" s="2845" t="s">
        <v>2461</v>
      </c>
      <c r="G31" s="2845"/>
    </row>
    <row r="32" spans="1:13" ht="19.5" customHeight="1">
      <c r="A32" s="3481"/>
      <c r="B32" s="3477"/>
      <c r="C32" s="2846" t="s">
        <v>2462</v>
      </c>
      <c r="D32" s="2847"/>
      <c r="E32" s="2848">
        <v>0.7</v>
      </c>
      <c r="F32" s="2845" t="s">
        <v>2463</v>
      </c>
      <c r="G32" s="2845"/>
    </row>
    <row r="33" spans="1:7" ht="19.5" customHeight="1">
      <c r="A33" s="3481"/>
      <c r="B33" s="3477"/>
      <c r="C33" s="2846" t="s">
        <v>2464</v>
      </c>
      <c r="D33" s="2847"/>
      <c r="E33" s="2848">
        <v>0.8</v>
      </c>
      <c r="F33" s="2845" t="s">
        <v>2465</v>
      </c>
      <c r="G33" s="2845"/>
    </row>
    <row r="34" spans="1:7" ht="19.5" customHeight="1">
      <c r="A34" s="3481"/>
      <c r="B34" s="3477"/>
      <c r="C34" s="2846" t="s">
        <v>2466</v>
      </c>
      <c r="D34" s="2847"/>
      <c r="E34" s="2848">
        <v>0.6</v>
      </c>
      <c r="F34" s="2845" t="s">
        <v>2467</v>
      </c>
      <c r="G34" s="2845"/>
    </row>
    <row r="35" spans="1:7" ht="19.5" customHeight="1">
      <c r="A35" s="3481"/>
      <c r="B35" s="3477"/>
      <c r="C35" s="2846" t="s">
        <v>2468</v>
      </c>
      <c r="D35" s="2847"/>
      <c r="E35" s="2848">
        <v>0.2</v>
      </c>
      <c r="F35" s="2845" t="s">
        <v>2469</v>
      </c>
      <c r="G35" s="2845"/>
    </row>
    <row r="36" spans="1:7" ht="19.5" customHeight="1">
      <c r="A36" s="3481"/>
      <c r="B36" s="3477"/>
      <c r="C36" s="2846" t="s">
        <v>2470</v>
      </c>
      <c r="D36" s="2847"/>
      <c r="E36" s="2848">
        <v>0.2</v>
      </c>
      <c r="F36" s="2845" t="s">
        <v>2471</v>
      </c>
      <c r="G36" s="2845"/>
    </row>
    <row r="37" spans="1:7" ht="19.5" customHeight="1">
      <c r="A37" s="3481"/>
      <c r="B37" s="3475" t="s">
        <v>2632</v>
      </c>
      <c r="C37" s="2846" t="s">
        <v>2472</v>
      </c>
      <c r="D37" s="2847"/>
      <c r="E37" s="2848">
        <v>0.6</v>
      </c>
      <c r="F37" s="2845" t="s">
        <v>2473</v>
      </c>
      <c r="G37" s="2845"/>
    </row>
    <row r="38" spans="1:7" ht="19.5" customHeight="1">
      <c r="A38" s="3481"/>
      <c r="B38" s="3477"/>
      <c r="C38" s="2846" t="s">
        <v>2474</v>
      </c>
      <c r="D38" s="2847"/>
      <c r="E38" s="2848">
        <v>0.6</v>
      </c>
      <c r="F38" s="2845" t="s">
        <v>2475</v>
      </c>
      <c r="G38" s="2845"/>
    </row>
    <row r="39" spans="1:7" ht="19.5" customHeight="1" thickBot="1">
      <c r="A39" s="3482"/>
      <c r="B39" s="3479"/>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3" t="s">
        <v>2610</v>
      </c>
      <c r="B41" s="3478" t="s">
        <v>2634</v>
      </c>
      <c r="C41" s="2842" t="s">
        <v>2479</v>
      </c>
      <c r="D41" s="2843"/>
      <c r="E41" s="2844">
        <v>1</v>
      </c>
      <c r="F41" s="2845" t="s">
        <v>2480</v>
      </c>
      <c r="G41" s="2845"/>
    </row>
    <row r="42" spans="1:7" ht="19.5" customHeight="1">
      <c r="A42" s="3484"/>
      <c r="B42" s="3477"/>
      <c r="C42" s="2846" t="s">
        <v>2481</v>
      </c>
      <c r="D42" s="2847"/>
      <c r="E42" s="2848">
        <v>1</v>
      </c>
      <c r="F42" s="2845" t="s">
        <v>2482</v>
      </c>
      <c r="G42" s="2845"/>
    </row>
    <row r="43" spans="1:7" ht="19.5" customHeight="1">
      <c r="A43" s="3484"/>
      <c r="B43" s="3476"/>
      <c r="C43" s="2846" t="s">
        <v>2483</v>
      </c>
      <c r="D43" s="2847"/>
      <c r="E43" s="2848">
        <v>1.5</v>
      </c>
      <c r="F43" s="2845" t="s">
        <v>2484</v>
      </c>
      <c r="G43" s="2845"/>
    </row>
    <row r="44" spans="1:7" ht="19.5" customHeight="1">
      <c r="A44" s="3484"/>
      <c r="B44" s="2857" t="s">
        <v>2635</v>
      </c>
      <c r="C44" s="2846" t="s">
        <v>2636</v>
      </c>
      <c r="D44" s="2847"/>
      <c r="E44" s="2848">
        <v>2</v>
      </c>
      <c r="F44" s="2845" t="s">
        <v>2485</v>
      </c>
      <c r="G44" s="2845"/>
    </row>
    <row r="45" spans="1:7" ht="19.5" customHeight="1">
      <c r="A45" s="3484"/>
      <c r="B45" s="3475" t="s">
        <v>2637</v>
      </c>
      <c r="C45" s="2846" t="s">
        <v>2486</v>
      </c>
      <c r="D45" s="2847"/>
      <c r="E45" s="2848">
        <v>1</v>
      </c>
      <c r="F45" s="2845" t="s">
        <v>2487</v>
      </c>
      <c r="G45" s="2845"/>
    </row>
    <row r="46" spans="1:7" ht="19.5" customHeight="1">
      <c r="A46" s="3484"/>
      <c r="B46" s="3477"/>
      <c r="C46" s="2846" t="s">
        <v>2488</v>
      </c>
      <c r="D46" s="2847"/>
      <c r="E46" s="2848">
        <v>1</v>
      </c>
      <c r="F46" s="2845" t="s">
        <v>2489</v>
      </c>
      <c r="G46" s="2845"/>
    </row>
    <row r="47" spans="1:7" ht="19.5" customHeight="1">
      <c r="A47" s="3484"/>
      <c r="B47" s="3477"/>
      <c r="C47" s="2846" t="s">
        <v>2490</v>
      </c>
      <c r="D47" s="2847"/>
      <c r="E47" s="2848">
        <v>1</v>
      </c>
      <c r="F47" s="2845" t="s">
        <v>2491</v>
      </c>
      <c r="G47" s="2845"/>
    </row>
    <row r="48" spans="1:7" ht="19.5" customHeight="1">
      <c r="A48" s="3484"/>
      <c r="B48" s="3477"/>
      <c r="C48" s="2846" t="s">
        <v>2492</v>
      </c>
      <c r="D48" s="2847"/>
      <c r="E48" s="2848">
        <v>1</v>
      </c>
      <c r="F48" s="2845" t="s">
        <v>2493</v>
      </c>
      <c r="G48" s="2845"/>
    </row>
    <row r="49" spans="1:7" ht="19.5" customHeight="1">
      <c r="A49" s="3484"/>
      <c r="B49" s="3477"/>
      <c r="C49" s="2846" t="s">
        <v>2494</v>
      </c>
      <c r="D49" s="2847"/>
      <c r="E49" s="2848">
        <v>1</v>
      </c>
      <c r="F49" s="2845" t="s">
        <v>2495</v>
      </c>
      <c r="G49" s="2845"/>
    </row>
    <row r="50" spans="1:7" ht="19.5" customHeight="1">
      <c r="A50" s="3484"/>
      <c r="B50" s="3477"/>
      <c r="C50" s="2846" t="s">
        <v>2496</v>
      </c>
      <c r="D50" s="2847"/>
      <c r="E50" s="2848">
        <v>1</v>
      </c>
      <c r="F50" s="2845" t="s">
        <v>2497</v>
      </c>
      <c r="G50" s="2845"/>
    </row>
    <row r="51" spans="1:7" ht="19.5" customHeight="1" thickBot="1">
      <c r="A51" s="3485"/>
      <c r="B51" s="3479"/>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5" t="s">
        <v>2651</v>
      </c>
      <c r="C73" s="2831" t="s">
        <v>2652</v>
      </c>
      <c r="D73" s="2831" t="s">
        <v>2653</v>
      </c>
      <c r="E73" s="2857">
        <v>0.2</v>
      </c>
      <c r="F73" s="2857">
        <v>25</v>
      </c>
    </row>
    <row r="74" spans="1:7" ht="24">
      <c r="A74" s="2857">
        <v>2</v>
      </c>
      <c r="B74" s="3477"/>
      <c r="C74" s="2831" t="s">
        <v>2654</v>
      </c>
      <c r="D74" s="2831" t="s">
        <v>2655</v>
      </c>
      <c r="E74" s="2857">
        <v>0.2</v>
      </c>
      <c r="F74" s="2857">
        <v>25</v>
      </c>
    </row>
    <row r="75" spans="1:7" ht="24">
      <c r="A75" s="2857">
        <v>3</v>
      </c>
      <c r="B75" s="3477"/>
      <c r="C75" s="2831" t="s">
        <v>2656</v>
      </c>
      <c r="D75" s="2831" t="s">
        <v>2657</v>
      </c>
      <c r="E75" s="2857">
        <v>0.2</v>
      </c>
      <c r="F75" s="2857">
        <v>25</v>
      </c>
    </row>
    <row r="76" spans="1:7" ht="14.4">
      <c r="A76" s="2857">
        <v>4</v>
      </c>
      <c r="B76" s="3477"/>
      <c r="C76" s="2831" t="s">
        <v>2658</v>
      </c>
      <c r="D76" s="2831" t="s">
        <v>2659</v>
      </c>
      <c r="E76" s="2857">
        <v>0.15</v>
      </c>
      <c r="F76" s="2857">
        <v>20</v>
      </c>
    </row>
    <row r="77" spans="1:7" ht="24">
      <c r="A77" s="2857">
        <v>5</v>
      </c>
      <c r="B77" s="3477"/>
      <c r="C77" s="2831" t="s">
        <v>2660</v>
      </c>
      <c r="D77" s="2831" t="s">
        <v>2661</v>
      </c>
      <c r="E77" s="2857">
        <v>0.15</v>
      </c>
      <c r="F77" s="2857">
        <v>20</v>
      </c>
    </row>
    <row r="78" spans="1:7" ht="24">
      <c r="A78" s="2857">
        <v>6</v>
      </c>
      <c r="B78" s="3477"/>
      <c r="C78" s="2831" t="s">
        <v>2662</v>
      </c>
      <c r="D78" s="2831" t="s">
        <v>2663</v>
      </c>
      <c r="E78" s="2857">
        <v>0.15</v>
      </c>
      <c r="F78" s="2857">
        <v>20</v>
      </c>
    </row>
    <row r="79" spans="1:7" ht="24">
      <c r="A79" s="2857">
        <v>7</v>
      </c>
      <c r="B79" s="3477"/>
      <c r="C79" s="2831" t="s">
        <v>2664</v>
      </c>
      <c r="D79" s="2831" t="s">
        <v>2665</v>
      </c>
      <c r="E79" s="2857">
        <v>0.15</v>
      </c>
      <c r="F79" s="2857">
        <v>20</v>
      </c>
    </row>
    <row r="80" spans="1:7" ht="24">
      <c r="A80" s="2857">
        <v>8</v>
      </c>
      <c r="B80" s="3477"/>
      <c r="C80" s="2831" t="s">
        <v>2666</v>
      </c>
      <c r="D80" s="2831" t="s">
        <v>2667</v>
      </c>
      <c r="E80" s="2857">
        <v>0.1</v>
      </c>
      <c r="F80" s="2857">
        <v>15</v>
      </c>
    </row>
    <row r="81" spans="1:6" ht="24">
      <c r="A81" s="2857">
        <v>9</v>
      </c>
      <c r="B81" s="3477"/>
      <c r="C81" s="2831" t="s">
        <v>2668</v>
      </c>
      <c r="D81" s="2831" t="s">
        <v>2669</v>
      </c>
      <c r="E81" s="2857">
        <v>0.1</v>
      </c>
      <c r="F81" s="2857">
        <v>15</v>
      </c>
    </row>
    <row r="82" spans="1:6" ht="24">
      <c r="A82" s="2857">
        <v>10</v>
      </c>
      <c r="B82" s="3477"/>
      <c r="C82" s="2831" t="s">
        <v>2670</v>
      </c>
      <c r="D82" s="2831" t="s">
        <v>2671</v>
      </c>
      <c r="E82" s="2857">
        <v>0.1</v>
      </c>
      <c r="F82" s="2857">
        <v>15</v>
      </c>
    </row>
    <row r="83" spans="1:6" ht="24">
      <c r="A83" s="2857">
        <v>11</v>
      </c>
      <c r="B83" s="3477"/>
      <c r="C83" s="2831" t="s">
        <v>2672</v>
      </c>
      <c r="D83" s="2831" t="s">
        <v>2673</v>
      </c>
      <c r="E83" s="2857">
        <v>0.1</v>
      </c>
      <c r="F83" s="2857">
        <v>15</v>
      </c>
    </row>
    <row r="84" spans="1:6" ht="24">
      <c r="A84" s="2857">
        <v>12</v>
      </c>
      <c r="B84" s="3477"/>
      <c r="C84" s="2831" t="s">
        <v>2674</v>
      </c>
      <c r="D84" s="2831" t="s">
        <v>2675</v>
      </c>
      <c r="E84" s="2857">
        <v>0.1</v>
      </c>
      <c r="F84" s="2857">
        <v>15</v>
      </c>
    </row>
    <row r="85" spans="1:6" ht="24">
      <c r="A85" s="2857">
        <v>13</v>
      </c>
      <c r="B85" s="3477"/>
      <c r="C85" s="2831" t="s">
        <v>2676</v>
      </c>
      <c r="D85" s="2831" t="s">
        <v>2677</v>
      </c>
      <c r="E85" s="2857">
        <v>0.1</v>
      </c>
      <c r="F85" s="2857">
        <v>15</v>
      </c>
    </row>
    <row r="86" spans="1:6" ht="24">
      <c r="A86" s="2857">
        <v>14</v>
      </c>
      <c r="B86" s="3477"/>
      <c r="C86" s="2831" t="s">
        <v>2678</v>
      </c>
      <c r="D86" s="2831" t="s">
        <v>2679</v>
      </c>
      <c r="E86" s="2857">
        <v>0.1</v>
      </c>
      <c r="F86" s="2857">
        <v>15</v>
      </c>
    </row>
    <row r="87" spans="1:6" ht="24">
      <c r="A87" s="2857">
        <v>15</v>
      </c>
      <c r="B87" s="3477"/>
      <c r="C87" s="2831" t="s">
        <v>2680</v>
      </c>
      <c r="D87" s="2831" t="s">
        <v>2681</v>
      </c>
      <c r="E87" s="2857">
        <v>0.1</v>
      </c>
      <c r="F87" s="2857">
        <v>15</v>
      </c>
    </row>
    <row r="88" spans="1:6" ht="24">
      <c r="A88" s="2857">
        <v>16</v>
      </c>
      <c r="B88" s="3477"/>
      <c r="C88" s="2831" t="s">
        <v>2682</v>
      </c>
      <c r="D88" s="2831" t="s">
        <v>2683</v>
      </c>
      <c r="E88" s="2857">
        <v>0.1</v>
      </c>
      <c r="F88" s="2857">
        <v>15</v>
      </c>
    </row>
    <row r="89" spans="1:6" ht="24">
      <c r="A89" s="2857">
        <v>17</v>
      </c>
      <c r="B89" s="3476"/>
      <c r="C89" s="2831" t="s">
        <v>2684</v>
      </c>
      <c r="D89" s="2831" t="s">
        <v>2685</v>
      </c>
      <c r="E89" s="2857">
        <v>0.1</v>
      </c>
      <c r="F89" s="2857">
        <v>15</v>
      </c>
    </row>
    <row r="90" spans="1:6" ht="14.4">
      <c r="A90" s="2857">
        <v>18</v>
      </c>
      <c r="B90" s="3475" t="s">
        <v>2686</v>
      </c>
      <c r="C90" s="2831" t="s">
        <v>2687</v>
      </c>
      <c r="D90" s="2831" t="s">
        <v>2688</v>
      </c>
      <c r="E90" s="2857">
        <v>0.2</v>
      </c>
      <c r="F90" s="2857">
        <v>25</v>
      </c>
    </row>
    <row r="91" spans="1:6" ht="24">
      <c r="A91" s="2857">
        <v>19</v>
      </c>
      <c r="B91" s="3477"/>
      <c r="C91" s="2831" t="s">
        <v>2689</v>
      </c>
      <c r="D91" s="2831" t="s">
        <v>2690</v>
      </c>
      <c r="E91" s="2857">
        <v>0.2</v>
      </c>
      <c r="F91" s="2857">
        <v>25</v>
      </c>
    </row>
    <row r="92" spans="1:6" ht="14.4">
      <c r="A92" s="2857">
        <v>20</v>
      </c>
      <c r="B92" s="3477"/>
      <c r="C92" s="2831" t="s">
        <v>2691</v>
      </c>
      <c r="D92" s="2831" t="s">
        <v>2692</v>
      </c>
      <c r="E92" s="2857">
        <v>0.15</v>
      </c>
      <c r="F92" s="2857">
        <v>20</v>
      </c>
    </row>
    <row r="93" spans="1:6" ht="24">
      <c r="A93" s="2857">
        <v>21</v>
      </c>
      <c r="B93" s="3477"/>
      <c r="C93" s="2831" t="s">
        <v>2693</v>
      </c>
      <c r="D93" s="2831" t="s">
        <v>2694</v>
      </c>
      <c r="E93" s="2857">
        <v>0.15</v>
      </c>
      <c r="F93" s="2857">
        <v>20</v>
      </c>
    </row>
    <row r="94" spans="1:6" ht="24">
      <c r="A94" s="2857">
        <v>22</v>
      </c>
      <c r="B94" s="3477"/>
      <c r="C94" s="2831" t="s">
        <v>2695</v>
      </c>
      <c r="D94" s="2831" t="s">
        <v>2696</v>
      </c>
      <c r="E94" s="2857">
        <v>0.15</v>
      </c>
      <c r="F94" s="2857">
        <v>20</v>
      </c>
    </row>
    <row r="95" spans="1:6" ht="36">
      <c r="A95" s="2857">
        <v>23</v>
      </c>
      <c r="B95" s="3477"/>
      <c r="C95" s="2831" t="s">
        <v>2697</v>
      </c>
      <c r="D95" s="2831" t="s">
        <v>2698</v>
      </c>
      <c r="E95" s="2857">
        <v>0.15</v>
      </c>
      <c r="F95" s="2857">
        <v>20</v>
      </c>
    </row>
    <row r="96" spans="1:6" ht="24">
      <c r="A96" s="2857">
        <v>24</v>
      </c>
      <c r="B96" s="3477"/>
      <c r="C96" s="2831" t="s">
        <v>2699</v>
      </c>
      <c r="D96" s="2831" t="s">
        <v>2700</v>
      </c>
      <c r="E96" s="2857">
        <v>0.1</v>
      </c>
      <c r="F96" s="2857">
        <v>15</v>
      </c>
    </row>
    <row r="97" spans="1:6" ht="24">
      <c r="A97" s="2857">
        <v>25</v>
      </c>
      <c r="B97" s="3477"/>
      <c r="C97" s="2831" t="s">
        <v>2701</v>
      </c>
      <c r="D97" s="2831" t="s">
        <v>2702</v>
      </c>
      <c r="E97" s="2857">
        <v>0.1</v>
      </c>
      <c r="F97" s="2857">
        <v>15</v>
      </c>
    </row>
    <row r="98" spans="1:6" ht="24">
      <c r="A98" s="2857">
        <v>26</v>
      </c>
      <c r="B98" s="3477"/>
      <c r="C98" s="2831" t="s">
        <v>2703</v>
      </c>
      <c r="D98" s="2831" t="s">
        <v>2704</v>
      </c>
      <c r="E98" s="2857">
        <v>0.1</v>
      </c>
      <c r="F98" s="2857">
        <v>15</v>
      </c>
    </row>
    <row r="99" spans="1:6" ht="24">
      <c r="A99" s="2857">
        <v>27</v>
      </c>
      <c r="B99" s="3477"/>
      <c r="C99" s="2831" t="s">
        <v>2705</v>
      </c>
      <c r="D99" s="2831" t="s">
        <v>2706</v>
      </c>
      <c r="E99" s="2857">
        <v>0.1</v>
      </c>
      <c r="F99" s="2857">
        <v>15</v>
      </c>
    </row>
    <row r="100" spans="1:6" ht="24">
      <c r="A100" s="2857">
        <v>28</v>
      </c>
      <c r="B100" s="3477"/>
      <c r="C100" s="2831" t="s">
        <v>2707</v>
      </c>
      <c r="D100" s="2831" t="s">
        <v>2708</v>
      </c>
      <c r="E100" s="2857">
        <v>0.1</v>
      </c>
      <c r="F100" s="2857">
        <v>15</v>
      </c>
    </row>
    <row r="101" spans="1:6" ht="24">
      <c r="A101" s="2857">
        <v>29</v>
      </c>
      <c r="B101" s="3477"/>
      <c r="C101" s="2831" t="s">
        <v>2709</v>
      </c>
      <c r="D101" s="2831" t="s">
        <v>2710</v>
      </c>
      <c r="E101" s="2857">
        <v>0.1</v>
      </c>
      <c r="F101" s="2857">
        <v>15</v>
      </c>
    </row>
    <row r="102" spans="1:6" ht="24">
      <c r="A102" s="2857">
        <v>30</v>
      </c>
      <c r="B102" s="3477"/>
      <c r="C102" s="2831" t="s">
        <v>2711</v>
      </c>
      <c r="D102" s="2831" t="s">
        <v>2712</v>
      </c>
      <c r="E102" s="2857">
        <v>0.1</v>
      </c>
      <c r="F102" s="2857">
        <v>15</v>
      </c>
    </row>
    <row r="103" spans="1:6" ht="24">
      <c r="A103" s="2857">
        <v>31</v>
      </c>
      <c r="B103" s="3477"/>
      <c r="C103" s="2831" t="s">
        <v>2713</v>
      </c>
      <c r="D103" s="2831" t="s">
        <v>2714</v>
      </c>
      <c r="E103" s="2857">
        <v>0.1</v>
      </c>
      <c r="F103" s="2857">
        <v>15</v>
      </c>
    </row>
    <row r="104" spans="1:6" ht="24">
      <c r="A104" s="2857">
        <v>32</v>
      </c>
      <c r="B104" s="3477"/>
      <c r="C104" s="2831" t="s">
        <v>2715</v>
      </c>
      <c r="D104" s="2831" t="s">
        <v>2716</v>
      </c>
      <c r="E104" s="2857">
        <v>0.1</v>
      </c>
      <c r="F104" s="2857">
        <v>15</v>
      </c>
    </row>
    <row r="105" spans="1:6" ht="24">
      <c r="A105" s="2857">
        <v>33</v>
      </c>
      <c r="B105" s="3477"/>
      <c r="C105" s="2831" t="s">
        <v>2717</v>
      </c>
      <c r="D105" s="2831" t="s">
        <v>2718</v>
      </c>
      <c r="E105" s="2857">
        <v>0.1</v>
      </c>
      <c r="F105" s="2857">
        <v>15</v>
      </c>
    </row>
    <row r="106" spans="1:6" ht="24">
      <c r="A106" s="2857">
        <v>34</v>
      </c>
      <c r="B106" s="3476"/>
      <c r="C106" s="2831" t="s">
        <v>2719</v>
      </c>
      <c r="D106" s="2831" t="s">
        <v>2720</v>
      </c>
      <c r="E106" s="2857">
        <v>0.1</v>
      </c>
      <c r="F106" s="2857">
        <v>15</v>
      </c>
    </row>
    <row r="107" spans="1:6" ht="36">
      <c r="A107" s="2857">
        <v>35</v>
      </c>
      <c r="B107" s="3475" t="s">
        <v>2721</v>
      </c>
      <c r="C107" s="2857" t="s">
        <v>2722</v>
      </c>
      <c r="D107" s="2831" t="s">
        <v>2723</v>
      </c>
      <c r="E107" s="2857">
        <v>0.15</v>
      </c>
      <c r="F107" s="2857">
        <v>20</v>
      </c>
    </row>
    <row r="108" spans="1:6" ht="24">
      <c r="A108" s="2857">
        <v>36</v>
      </c>
      <c r="B108" s="3477"/>
      <c r="C108" s="2857" t="s">
        <v>2724</v>
      </c>
      <c r="D108" s="2831" t="s">
        <v>2725</v>
      </c>
      <c r="E108" s="2857">
        <v>0.15</v>
      </c>
      <c r="F108" s="2857">
        <v>20</v>
      </c>
    </row>
    <row r="109" spans="1:6" ht="24">
      <c r="A109" s="2857">
        <v>37</v>
      </c>
      <c r="B109" s="3477"/>
      <c r="C109" s="2857" t="s">
        <v>2726</v>
      </c>
      <c r="D109" s="2831" t="s">
        <v>2727</v>
      </c>
      <c r="E109" s="2857">
        <v>0.15</v>
      </c>
      <c r="F109" s="2857">
        <v>20</v>
      </c>
    </row>
    <row r="110" spans="1:6" ht="24">
      <c r="A110" s="2857">
        <v>38</v>
      </c>
      <c r="B110" s="3477"/>
      <c r="C110" s="2857" t="s">
        <v>2728</v>
      </c>
      <c r="D110" s="2831" t="s">
        <v>2729</v>
      </c>
      <c r="E110" s="2857">
        <v>0.1</v>
      </c>
      <c r="F110" s="2857">
        <v>15</v>
      </c>
    </row>
    <row r="111" spans="1:6" ht="24">
      <c r="A111" s="2857">
        <v>39</v>
      </c>
      <c r="B111" s="3477"/>
      <c r="C111" s="2857" t="s">
        <v>2730</v>
      </c>
      <c r="D111" s="2831" t="s">
        <v>2731</v>
      </c>
      <c r="E111" s="2857">
        <v>0.1</v>
      </c>
      <c r="F111" s="2857">
        <v>15</v>
      </c>
    </row>
    <row r="112" spans="1:6" ht="24">
      <c r="A112" s="2857">
        <v>40</v>
      </c>
      <c r="B112" s="3476"/>
      <c r="C112" s="2857" t="s">
        <v>2732</v>
      </c>
      <c r="D112" s="2831" t="s">
        <v>2733</v>
      </c>
      <c r="E112" s="2857">
        <v>0.1</v>
      </c>
      <c r="F112" s="2857">
        <v>15</v>
      </c>
    </row>
    <row r="113" spans="1:6" ht="24">
      <c r="A113" s="2857">
        <v>41</v>
      </c>
      <c r="B113" s="3474" t="s">
        <v>2734</v>
      </c>
      <c r="C113" s="2857" t="s">
        <v>2735</v>
      </c>
      <c r="D113" s="2831" t="s">
        <v>2736</v>
      </c>
      <c r="E113" s="2857">
        <v>0.1</v>
      </c>
      <c r="F113" s="2857">
        <v>15</v>
      </c>
    </row>
    <row r="114" spans="1:6" ht="24">
      <c r="A114" s="2857">
        <v>42</v>
      </c>
      <c r="B114" s="3474"/>
      <c r="C114" s="2857" t="s">
        <v>2737</v>
      </c>
      <c r="D114" s="2831" t="s">
        <v>2738</v>
      </c>
      <c r="E114" s="2857">
        <v>0.1</v>
      </c>
      <c r="F114" s="2857">
        <v>15</v>
      </c>
    </row>
    <row r="115" spans="1:6" ht="24">
      <c r="A115" s="2857">
        <v>43</v>
      </c>
      <c r="B115" s="3474"/>
      <c r="C115" s="2857" t="s">
        <v>2739</v>
      </c>
      <c r="D115" s="2831" t="s">
        <v>2740</v>
      </c>
      <c r="E115" s="2857">
        <v>0.1</v>
      </c>
      <c r="F115" s="2857">
        <v>15</v>
      </c>
    </row>
    <row r="116" spans="1:6" ht="24">
      <c r="A116" s="2857">
        <v>44</v>
      </c>
      <c r="B116" s="3475" t="s">
        <v>2741</v>
      </c>
      <c r="C116" s="2857" t="s">
        <v>2742</v>
      </c>
      <c r="D116" s="2831" t="s">
        <v>2743</v>
      </c>
      <c r="E116" s="2857">
        <v>0.1</v>
      </c>
      <c r="F116" s="2857">
        <v>15</v>
      </c>
    </row>
    <row r="117" spans="1:6" ht="24">
      <c r="A117" s="2857">
        <v>45</v>
      </c>
      <c r="B117" s="3476"/>
      <c r="C117" s="2831" t="s">
        <v>2744</v>
      </c>
      <c r="D117" s="2831" t="s">
        <v>2745</v>
      </c>
      <c r="E117" s="2857">
        <v>0.1</v>
      </c>
      <c r="F117" s="2857">
        <v>15</v>
      </c>
    </row>
    <row r="118" spans="1:6" ht="24">
      <c r="A118" s="2857">
        <v>46</v>
      </c>
      <c r="B118" s="3475" t="s">
        <v>2746</v>
      </c>
      <c r="C118" s="2857" t="s">
        <v>2747</v>
      </c>
      <c r="D118" s="2831" t="s">
        <v>2748</v>
      </c>
      <c r="E118" s="2857">
        <v>0.1</v>
      </c>
      <c r="F118" s="2857">
        <v>15</v>
      </c>
    </row>
    <row r="119" spans="1:6" ht="24">
      <c r="A119" s="2857">
        <v>47</v>
      </c>
      <c r="B119" s="3476"/>
      <c r="C119" s="2857" t="s">
        <v>2749</v>
      </c>
      <c r="D119" s="2831" t="s">
        <v>2750</v>
      </c>
      <c r="E119" s="2857">
        <v>0.1</v>
      </c>
      <c r="F119" s="2857">
        <v>15</v>
      </c>
    </row>
    <row r="120" spans="1:6" ht="24">
      <c r="A120" s="2857">
        <v>48</v>
      </c>
      <c r="B120" s="3475" t="s">
        <v>2751</v>
      </c>
      <c r="C120" s="2857" t="s">
        <v>2752</v>
      </c>
      <c r="D120" s="2831" t="s">
        <v>2753</v>
      </c>
      <c r="E120" s="2857">
        <v>0.1</v>
      </c>
      <c r="F120" s="2857">
        <v>15</v>
      </c>
    </row>
    <row r="121" spans="1:6" ht="24">
      <c r="A121" s="2857">
        <v>49</v>
      </c>
      <c r="B121" s="3476"/>
      <c r="C121" s="2857" t="s">
        <v>2754</v>
      </c>
      <c r="D121" s="2831" t="s">
        <v>2755</v>
      </c>
      <c r="E121" s="2857">
        <v>0.1</v>
      </c>
      <c r="F121" s="2857">
        <v>15</v>
      </c>
    </row>
    <row r="122" spans="1:6" ht="24">
      <c r="A122" s="2857">
        <v>50</v>
      </c>
      <c r="B122" s="3474" t="s">
        <v>2756</v>
      </c>
      <c r="C122" s="2857" t="s">
        <v>2757</v>
      </c>
      <c r="D122" s="2831" t="s">
        <v>2758</v>
      </c>
      <c r="E122" s="2857">
        <v>0.1</v>
      </c>
      <c r="F122" s="2857">
        <v>15</v>
      </c>
    </row>
    <row r="123" spans="1:6" ht="24">
      <c r="A123" s="2857">
        <v>51</v>
      </c>
      <c r="B123" s="3474"/>
      <c r="C123" s="2857" t="s">
        <v>2759</v>
      </c>
      <c r="D123" s="2831" t="s">
        <v>2760</v>
      </c>
      <c r="E123" s="2857">
        <v>0.1</v>
      </c>
      <c r="F123" s="2857">
        <v>15</v>
      </c>
    </row>
    <row r="124" spans="1:6" ht="24">
      <c r="A124" s="2857">
        <v>52</v>
      </c>
      <c r="B124" s="3474" t="s">
        <v>2761</v>
      </c>
      <c r="C124" s="2857" t="s">
        <v>2762</v>
      </c>
      <c r="D124" s="2831" t="s">
        <v>2763</v>
      </c>
      <c r="E124" s="2857">
        <v>0.1</v>
      </c>
      <c r="F124" s="2857">
        <v>15</v>
      </c>
    </row>
    <row r="125" spans="1:6" ht="24">
      <c r="A125" s="2857">
        <v>53</v>
      </c>
      <c r="B125" s="3474"/>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4" t="s">
        <v>2769</v>
      </c>
      <c r="C127" s="2857" t="s">
        <v>2770</v>
      </c>
      <c r="D127" s="2831" t="s">
        <v>2771</v>
      </c>
      <c r="E127" s="2857">
        <v>0.1</v>
      </c>
      <c r="F127" s="2857">
        <v>15</v>
      </c>
    </row>
    <row r="128" spans="1:6" ht="24">
      <c r="A128" s="2857">
        <v>56</v>
      </c>
      <c r="B128" s="3474"/>
      <c r="C128" s="2857" t="s">
        <v>2772</v>
      </c>
      <c r="D128" s="2831" t="s">
        <v>2773</v>
      </c>
      <c r="E128" s="2857">
        <v>0.1</v>
      </c>
      <c r="F128" s="2857">
        <v>15</v>
      </c>
    </row>
    <row r="129" spans="1:6" ht="24">
      <c r="A129" s="2857">
        <v>57</v>
      </c>
      <c r="B129" s="3474"/>
      <c r="C129" s="2857" t="s">
        <v>2774</v>
      </c>
      <c r="D129" s="2831" t="s">
        <v>2775</v>
      </c>
      <c r="E129" s="2857">
        <v>0.1</v>
      </c>
      <c r="F129" s="2857">
        <v>15</v>
      </c>
    </row>
    <row r="130" spans="1:6" ht="24">
      <c r="A130" s="2857">
        <v>58</v>
      </c>
      <c r="B130" s="3474" t="s">
        <v>2776</v>
      </c>
      <c r="C130" s="2857" t="s">
        <v>2777</v>
      </c>
      <c r="D130" s="2831" t="s">
        <v>2778</v>
      </c>
      <c r="E130" s="2857">
        <v>0.1</v>
      </c>
      <c r="F130" s="2857">
        <v>15</v>
      </c>
    </row>
    <row r="131" spans="1:6" ht="24">
      <c r="A131" s="2857">
        <v>59</v>
      </c>
      <c r="B131" s="3474"/>
      <c r="C131" s="2857" t="s">
        <v>2779</v>
      </c>
      <c r="D131" s="2831" t="s">
        <v>2780</v>
      </c>
      <c r="E131" s="2857">
        <v>0.1</v>
      </c>
      <c r="F131" s="2857">
        <v>15</v>
      </c>
    </row>
    <row r="132" spans="1:6" ht="24">
      <c r="A132" s="2857">
        <v>60</v>
      </c>
      <c r="B132" s="3475" t="s">
        <v>2781</v>
      </c>
      <c r="C132" s="2857" t="s">
        <v>2782</v>
      </c>
      <c r="D132" s="2831" t="s">
        <v>2783</v>
      </c>
      <c r="E132" s="2857">
        <v>0.1</v>
      </c>
      <c r="F132" s="2857">
        <v>15</v>
      </c>
    </row>
    <row r="133" spans="1:6" ht="24">
      <c r="A133" s="2857">
        <v>61</v>
      </c>
      <c r="B133" s="3476"/>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4" t="s">
        <v>2789</v>
      </c>
      <c r="C135" s="2857" t="s">
        <v>2790</v>
      </c>
      <c r="D135" s="2831" t="s">
        <v>2791</v>
      </c>
      <c r="E135" s="2857">
        <v>0.1</v>
      </c>
      <c r="F135" s="2857">
        <v>15</v>
      </c>
    </row>
    <row r="136" spans="1:6" ht="24">
      <c r="A136" s="2857">
        <v>64</v>
      </c>
      <c r="B136" s="3474"/>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0.9415</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0.89559999999999995</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7.399999999999999">
      <c r="A3" s="3187" t="str">
        <f>IF(项目基本情况!B9="房地产市场价值","估价结果一览表（市场价值不需“结果表-1”）","估价结果一览表")</f>
        <v>估价结果一览表</v>
      </c>
      <c r="B3" s="3187"/>
      <c r="C3" s="3187"/>
      <c r="D3" s="3187"/>
      <c r="E3" s="3187"/>
    </row>
    <row r="4" spans="1:5" ht="18" thickBot="1">
      <c r="A4" s="1390"/>
      <c r="B4" s="3185" t="s">
        <v>917</v>
      </c>
      <c r="C4" s="3185"/>
      <c r="D4" s="3185"/>
      <c r="E4" s="1390"/>
    </row>
    <row r="5" spans="1:5" ht="16.2" thickTop="1">
      <c r="B5" s="3183" t="s">
        <v>909</v>
      </c>
      <c r="C5" s="1391" t="s">
        <v>910</v>
      </c>
      <c r="D5" s="797">
        <f ca="1">结果表!H101</f>
        <v>107780</v>
      </c>
    </row>
    <row r="6" spans="1:5" ht="15.6">
      <c r="B6" s="3183"/>
      <c r="C6" s="1391" t="s">
        <v>911</v>
      </c>
      <c r="D6" s="797" t="str">
        <f ca="1">NUMBERSTRING(INT(D5*10000),2)&amp;"元整"</f>
        <v>壹拾亿柒仟柒佰捌拾万元整</v>
      </c>
    </row>
    <row r="7" spans="1:5" ht="15.6">
      <c r="B7" s="3188"/>
      <c r="C7" s="1392" t="s">
        <v>912</v>
      </c>
      <c r="D7" s="798">
        <f ca="1">结果表!H102</f>
        <v>26915</v>
      </c>
    </row>
    <row r="8" spans="1:5" ht="15.6">
      <c r="B8" s="3189" t="str">
        <f>结果表!E103</f>
        <v>2.估价师知悉的法定优先受偿款</v>
      </c>
      <c r="C8" s="1393" t="s">
        <v>913</v>
      </c>
      <c r="D8" s="798">
        <f>结果表!H103</f>
        <v>0</v>
      </c>
    </row>
    <row r="9" spans="1:5" ht="15.6">
      <c r="B9" s="3191"/>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82" t="str">
        <f>结果表!E107</f>
        <v>3.房地产抵押价值</v>
      </c>
      <c r="C13" s="1396" t="s">
        <v>910</v>
      </c>
      <c r="D13" s="800">
        <f ca="1">结果表!H107</f>
        <v>107780</v>
      </c>
    </row>
    <row r="14" spans="1:5" ht="15.6">
      <c r="B14" s="3183"/>
      <c r="C14" s="1391" t="s">
        <v>911</v>
      </c>
      <c r="D14" s="797" t="str">
        <f ca="1">NUMBERSTRING(INT(D13*10000),2)&amp;"元整"</f>
        <v>壹拾亿柒仟柒佰捌拾万元整</v>
      </c>
    </row>
    <row r="15" spans="1:5" ht="15.6">
      <c r="B15" s="3188"/>
      <c r="C15" s="1392" t="s">
        <v>921</v>
      </c>
      <c r="D15" s="806">
        <f ca="1">结果表!H108</f>
        <v>26915</v>
      </c>
    </row>
    <row r="16" spans="1:5" ht="15.6">
      <c r="B16" s="3189" t="str">
        <f>结果表!E109</f>
        <v>——</v>
      </c>
      <c r="C16" s="1396" t="s">
        <v>922</v>
      </c>
      <c r="D16" s="1397" t="str">
        <f>结果表!H109</f>
        <v>——</v>
      </c>
    </row>
    <row r="17" spans="1:5" ht="15.6">
      <c r="B17" s="3190"/>
      <c r="C17" s="1391" t="s">
        <v>923</v>
      </c>
      <c r="D17" s="797" t="e">
        <f>NUMBERSTRING(INT(D16*10000),2)&amp;"元整"</f>
        <v>#VALUE!</v>
      </c>
    </row>
    <row r="18" spans="1:5" ht="15.6">
      <c r="B18" s="3191"/>
      <c r="C18" s="1392" t="s">
        <v>912</v>
      </c>
      <c r="D18" s="806" t="str">
        <f>结果表!H110</f>
        <v>——</v>
      </c>
    </row>
    <row r="19" spans="1:5" ht="15.6">
      <c r="B19" s="3182" t="str">
        <f>结果表!E111</f>
        <v>4.抵押净值</v>
      </c>
      <c r="C19" s="1396" t="s">
        <v>910</v>
      </c>
      <c r="D19" s="798">
        <f ca="1">结果表!H111</f>
        <v>96846</v>
      </c>
    </row>
    <row r="20" spans="1:5" ht="15.6">
      <c r="B20" s="3183"/>
      <c r="C20" s="1391" t="s">
        <v>923</v>
      </c>
      <c r="D20" s="797" t="str">
        <f ca="1">NUMBERSTRING(INT(D19*10000),2)&amp;"元整"</f>
        <v>玖亿陆仟捌佰肆拾陆万元整</v>
      </c>
    </row>
    <row r="21" spans="1:5" ht="16.2" thickBot="1">
      <c r="B21" s="3184"/>
      <c r="C21" s="1398" t="s">
        <v>921</v>
      </c>
      <c r="D21" s="807">
        <f ca="1">结果表!H112</f>
        <v>24184</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54134</v>
      </c>
      <c r="C2" s="2" t="s">
        <v>106</v>
      </c>
      <c r="D2" s="191"/>
      <c r="E2" s="191"/>
      <c r="F2" s="191"/>
      <c r="G2" s="191"/>
    </row>
    <row r="3" spans="1:7" s="192" customFormat="1" ht="18" customHeight="1" thickBot="1">
      <c r="A3" s="195" t="s">
        <v>58</v>
      </c>
      <c r="B3" s="196">
        <f ca="1">ROUND(B2*10000/'数据-汇总表'!E3,0)</f>
        <v>13518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801</v>
      </c>
      <c r="D10" s="795">
        <f>'数据-汇总表'!E6</f>
        <v>40045.229999999996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801</v>
      </c>
      <c r="D19" s="204">
        <f>'数据-汇总表'!E3</f>
        <v>40045.229999999996</v>
      </c>
      <c r="E19" s="203">
        <f>'数据-取费表'!B31</f>
        <v>200</v>
      </c>
      <c r="F19" s="223"/>
      <c r="G19" s="1" t="s">
        <v>436</v>
      </c>
    </row>
    <row r="20" spans="1:7" s="206" customFormat="1" ht="13.5" customHeight="1">
      <c r="A20" s="731" t="s">
        <v>419</v>
      </c>
      <c r="B20" s="202" t="s">
        <v>77</v>
      </c>
      <c r="C20" s="224">
        <f>ROUND((C5+C19)*F20,0)</f>
        <v>642</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1866</v>
      </c>
      <c r="D22" s="227">
        <f ca="1">C26</f>
        <v>8.0000000000000004E-4</v>
      </c>
      <c r="E22" s="228" t="s">
        <v>99</v>
      </c>
      <c r="F22" s="229">
        <f ca="1">'数据-取费表'!B40</f>
        <v>3.3500000000000002E-2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1770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69</v>
      </c>
      <c r="D24" s="230"/>
      <c r="E24" s="230"/>
      <c r="F24" s="231"/>
      <c r="G24" s="232" t="s">
        <v>82</v>
      </c>
    </row>
    <row r="25" spans="1:7" s="206" customFormat="1" ht="24">
      <c r="A25" s="734" t="s">
        <v>348</v>
      </c>
      <c r="B25" s="207" t="s">
        <v>420</v>
      </c>
      <c r="C25" s="1042">
        <f ca="1">ROUND(IF('数据-取费表'!B22&lt;=1,C20*F22*'数据-取费表'!B23/2,C20*(POWER((1+F22),'数据-取费表'!B23/2)-1)),0)</f>
        <v>27</v>
      </c>
      <c r="D25" s="230"/>
      <c r="E25" s="233"/>
      <c r="F25" s="231"/>
      <c r="G25" s="234" t="s">
        <v>83</v>
      </c>
    </row>
    <row r="26" spans="1:7" s="206" customFormat="1">
      <c r="A26" s="734" t="s">
        <v>350</v>
      </c>
      <c r="B26" s="207" t="s">
        <v>422</v>
      </c>
      <c r="C26" s="230">
        <f ca="1">ROUND(IF('数据-取费表'!B22&lt;=1,F21*F22*'数据-取费表'!B23/2,F21*(POWER((1+F22),'数据-取费表'!B23/2)-1)),4)</f>
        <v>8.0000000000000004E-4</v>
      </c>
      <c r="D26" s="230"/>
      <c r="E26" s="233"/>
      <c r="F26" s="231"/>
      <c r="G26" s="235"/>
    </row>
    <row r="27" spans="1:7" s="206" customFormat="1" ht="26.4">
      <c r="A27" s="731" t="s">
        <v>342</v>
      </c>
      <c r="B27" s="236" t="s">
        <v>85</v>
      </c>
      <c r="C27" s="237">
        <f>C28</f>
        <v>2867</v>
      </c>
      <c r="D27" s="227">
        <f>C29</f>
        <v>2.5999999999999999E-3</v>
      </c>
      <c r="E27" s="228" t="s">
        <v>99</v>
      </c>
      <c r="F27" s="238">
        <f>'数据-取费表'!Q16</f>
        <v>0.13</v>
      </c>
      <c r="G27" s="239" t="s">
        <v>431</v>
      </c>
    </row>
    <row r="28" spans="1:7" s="206" customFormat="1" ht="13.5" customHeight="1">
      <c r="A28" s="734" t="s">
        <v>349</v>
      </c>
      <c r="B28" s="240" t="s">
        <v>424</v>
      </c>
      <c r="C28" s="241">
        <f>ROUND((C5+C19+C20)*F27*'数据-取费表'!B21/'数据-取费表'!B20,0)</f>
        <v>2867</v>
      </c>
      <c r="D28" s="227"/>
      <c r="E28" s="228"/>
      <c r="F28" s="238"/>
      <c r="G28" s="239"/>
    </row>
    <row r="29" spans="1:7" s="206" customFormat="1" ht="13.5" customHeight="1">
      <c r="A29" s="734" t="s">
        <v>347</v>
      </c>
      <c r="B29" s="240" t="s">
        <v>425</v>
      </c>
      <c r="C29" s="230">
        <f>ROUND(C21*F27*'数据-取费表'!B21/'数据-取费表'!B20,4)</f>
        <v>2.5999999999999999E-3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29012</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24016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21696</v>
      </c>
      <c r="D34" s="209"/>
      <c r="E34" s="212"/>
      <c r="F34" s="249">
        <f>IF('数据-取费表'!B24=0,1,'数据-取费表'!N16)</f>
        <v>1</v>
      </c>
      <c r="G34" s="211" t="s">
        <v>89</v>
      </c>
    </row>
    <row r="35" spans="1:7" ht="13.5" customHeight="1">
      <c r="A35" s="734" t="s">
        <v>351</v>
      </c>
      <c r="B35" s="207" t="s">
        <v>33</v>
      </c>
      <c r="C35" s="212">
        <f>ROUND(C34*F35,0)</f>
        <v>1085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801</v>
      </c>
      <c r="D37" s="209">
        <f>'数据-汇总表'!E3</f>
        <v>40045.229999999996</v>
      </c>
      <c r="E37" s="241">
        <f>'数据-取费表'!B35</f>
        <v>200</v>
      </c>
      <c r="F37" s="251"/>
      <c r="G37" s="253" t="s">
        <v>92</v>
      </c>
    </row>
    <row r="38" spans="1:7" ht="13.5" customHeight="1">
      <c r="A38" s="734" t="s">
        <v>354</v>
      </c>
      <c r="B38" s="207" t="s">
        <v>36</v>
      </c>
      <c r="C38" s="212">
        <f>ROUND(C34*F38,0)</f>
        <v>434</v>
      </c>
      <c r="D38" s="212"/>
      <c r="E38" s="212"/>
      <c r="F38" s="251">
        <f>'数据-取费表'!B36</f>
        <v>0.02</v>
      </c>
      <c r="G38" s="211" t="s">
        <v>90</v>
      </c>
    </row>
    <row r="39" spans="1:7" s="206" customFormat="1" ht="13.5" customHeight="1">
      <c r="A39" s="731" t="s">
        <v>338</v>
      </c>
      <c r="B39" s="202" t="s">
        <v>77</v>
      </c>
      <c r="C39" s="224">
        <f>ROUND(C33*F20,0)</f>
        <v>720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1040</v>
      </c>
      <c r="D41" s="227">
        <f ca="1">C44</f>
        <v>8.0000000000000004E-4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1010</v>
      </c>
      <c r="D42" s="230"/>
      <c r="E42" s="230"/>
      <c r="F42" s="231"/>
      <c r="G42" s="3414" t="s">
        <v>94</v>
      </c>
    </row>
    <row r="43" spans="1:7" ht="13.5" customHeight="1">
      <c r="A43" s="734" t="s">
        <v>347</v>
      </c>
      <c r="B43" s="207" t="s">
        <v>426</v>
      </c>
      <c r="C43" s="230">
        <f ca="1">ROUND(IF('数据-取费表'!B22&lt;=1,C39*F22*'数据-取费表'!B21/2,C39*(POWER((1+F22),'数据-取费表'!B21/2)-1)),0)</f>
        <v>30</v>
      </c>
      <c r="D43" s="230"/>
      <c r="E43" s="230"/>
      <c r="F43" s="231"/>
      <c r="G43" s="3415"/>
    </row>
    <row r="44" spans="1:7" ht="13.5" customHeight="1">
      <c r="A44" s="734" t="s">
        <v>348</v>
      </c>
      <c r="B44" s="207" t="s">
        <v>428</v>
      </c>
      <c r="C44" s="230">
        <f ca="1">ROUND(IF('数据-取费表'!B22&lt;=1,C40*F22*'数据-取费表'!B21/2,C40*(POWER((1+F22),'数据-取费表'!B21/2)-1)),4)</f>
        <v>8.0000000000000004E-4</v>
      </c>
      <c r="D44" s="230"/>
      <c r="E44" s="230"/>
      <c r="F44" s="231"/>
      <c r="G44" s="3416"/>
    </row>
    <row r="45" spans="1:7" s="206" customFormat="1" ht="13.5" customHeight="1">
      <c r="A45" s="731" t="s">
        <v>341</v>
      </c>
      <c r="B45" s="236" t="s">
        <v>85</v>
      </c>
      <c r="C45" s="237">
        <f>C46</f>
        <v>3216</v>
      </c>
      <c r="D45" s="227">
        <f>C47</f>
        <v>2.5999999999999999E-3</v>
      </c>
      <c r="E45" s="228" t="s">
        <v>102</v>
      </c>
      <c r="F45" s="238"/>
      <c r="G45" s="239" t="s">
        <v>434</v>
      </c>
    </row>
    <row r="46" spans="1:7" s="206" customFormat="1" ht="13.5" customHeight="1">
      <c r="A46" s="734" t="s">
        <v>349</v>
      </c>
      <c r="B46" s="240" t="s">
        <v>427</v>
      </c>
      <c r="C46" s="241">
        <f>ROUND((C33+C39)*F27,0)</f>
        <v>3216</v>
      </c>
      <c r="D46" s="255"/>
      <c r="E46" s="228"/>
      <c r="F46" s="238"/>
      <c r="G46" s="239"/>
    </row>
    <row r="47" spans="1:7" s="206" customFormat="1" ht="13.5" customHeight="1">
      <c r="A47" s="734" t="s">
        <v>347</v>
      </c>
      <c r="B47" s="240" t="s">
        <v>429</v>
      </c>
      <c r="C47" s="230">
        <f>ROUND(C40*F27,4)</f>
        <v>2.5999999999999999E-3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31402</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25122</v>
      </c>
      <c r="D51" s="224"/>
      <c r="E51" s="224"/>
      <c r="F51" s="256"/>
      <c r="G51" s="226" t="s">
        <v>37</v>
      </c>
    </row>
    <row r="52" spans="1:7" s="200" customFormat="1" ht="16.8" thickBot="1">
      <c r="A52" s="257" t="s">
        <v>38</v>
      </c>
      <c r="B52" s="258"/>
      <c r="C52" s="259">
        <f ca="1">C31+C51</f>
        <v>54134</v>
      </c>
      <c r="D52" s="258"/>
      <c r="E52" s="258"/>
      <c r="F52" s="258"/>
      <c r="G52" s="260"/>
    </row>
    <row r="55" spans="1:7" ht="15">
      <c r="B55" s="262" t="s">
        <v>39</v>
      </c>
      <c r="C55" s="263"/>
    </row>
    <row r="56" spans="1:7">
      <c r="B56" s="265" t="s">
        <v>40</v>
      </c>
      <c r="C56" s="266">
        <f ca="1">ROUND(C51/C52,3)</f>
        <v>0.46400000000000002</v>
      </c>
    </row>
    <row r="57" spans="1:7">
      <c r="B57" s="265" t="s">
        <v>41</v>
      </c>
      <c r="C57" s="267">
        <f ca="1">1-C56</f>
        <v>0.53600000000000003</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39BCB-C63D-43E4-AE51-DC98A566D15B}">
  <sheetPr>
    <tabColor rgb="FF92D050"/>
  </sheetPr>
  <dimension ref="A1:AK83"/>
  <sheetViews>
    <sheetView view="pageBreakPreview" topLeftCell="A19" zoomScale="70" zoomScaleNormal="70" zoomScaleSheetLayoutView="70" workbookViewId="0">
      <selection activeCell="K41" sqref="K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21</v>
      </c>
      <c r="D1" s="1270" t="s">
        <v>43</v>
      </c>
      <c r="E1" s="1271" t="s">
        <v>678</v>
      </c>
      <c r="F1" s="999">
        <f ca="1">J53</f>
        <v>25.36</v>
      </c>
      <c r="G1" s="1285">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82231</v>
      </c>
      <c r="C2" s="1288" t="s">
        <v>805</v>
      </c>
      <c r="D2" s="1288"/>
      <c r="E2" s="1294"/>
      <c r="F2" s="1295"/>
      <c r="G2" s="2478"/>
      <c r="H2" s="2468"/>
      <c r="I2" s="2468"/>
      <c r="J2" s="2468"/>
      <c r="K2" s="2469"/>
      <c r="L2" s="2468"/>
      <c r="M2" s="2468"/>
    </row>
    <row r="3" spans="1:37" ht="18" customHeight="1" thickBot="1">
      <c r="A3" s="1296" t="s">
        <v>806</v>
      </c>
      <c r="B3" s="1297">
        <f ca="1">IF(ISERROR(B2*10000/F43),0,ROUND(B2*10000/F43,0))</f>
        <v>30969</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6114</v>
      </c>
      <c r="D5" s="1272" t="s">
        <v>693</v>
      </c>
      <c r="E5" s="1008"/>
      <c r="F5" s="1009"/>
      <c r="G5" s="1291"/>
      <c r="H5" s="291">
        <v>1</v>
      </c>
      <c r="I5" s="292" t="s">
        <v>692</v>
      </c>
      <c r="J5" s="1007">
        <f ca="1">J6+J10+J12</f>
        <v>0</v>
      </c>
      <c r="K5" s="1272" t="s">
        <v>693</v>
      </c>
      <c r="L5" s="1008"/>
      <c r="M5" s="1009"/>
    </row>
    <row r="6" spans="1:37" ht="18" customHeight="1">
      <c r="A6" s="1006" t="s">
        <v>398</v>
      </c>
      <c r="B6" s="3419" t="s">
        <v>694</v>
      </c>
      <c r="C6" s="1011">
        <f ca="1">ROUND(F6*F8*F7*(1-F9)/10000,0)</f>
        <v>6106</v>
      </c>
      <c r="D6" s="147" t="s">
        <v>2109</v>
      </c>
      <c r="E6" s="294" t="s">
        <v>696</v>
      </c>
      <c r="F6" s="295">
        <f ca="1">INDIRECT("'数据-取费表'!u"&amp;$G$1)</f>
        <v>7</v>
      </c>
      <c r="G6" s="1291"/>
      <c r="H6" s="1006" t="s">
        <v>398</v>
      </c>
      <c r="I6" s="3419" t="s">
        <v>694</v>
      </c>
      <c r="J6" s="293">
        <f ca="1">ROUND(M6*M8*M7*(1-M9)/10000,0)</f>
        <v>0</v>
      </c>
      <c r="K6" s="147" t="s">
        <v>2108</v>
      </c>
      <c r="L6" s="294" t="s">
        <v>696</v>
      </c>
      <c r="M6" s="295">
        <f ca="1">INDIRECT("'数据-取费表'!z"&amp;$G$1)</f>
        <v>0</v>
      </c>
    </row>
    <row r="7" spans="1:37" ht="18" customHeight="1">
      <c r="A7" s="1010"/>
      <c r="B7" s="3420"/>
      <c r="C7" s="1012"/>
      <c r="D7" s="299"/>
      <c r="E7" s="1013" t="s">
        <v>697</v>
      </c>
      <c r="F7" s="295">
        <f ca="1">IF(INDIRECT("'数据-取费表'!ah"&amp;$G$1)="",INDIRECT("'数据-取费表'!k"&amp;$G$1),INDIRECT("'数据-取费表'!ah"&amp;$G$1))</f>
        <v>26553.1</v>
      </c>
      <c r="G7" s="1291"/>
      <c r="H7" s="296"/>
      <c r="I7" s="3420"/>
      <c r="J7" s="298"/>
      <c r="K7" s="299"/>
      <c r="L7" s="294" t="s">
        <v>697</v>
      </c>
      <c r="M7" s="295">
        <f ca="1">F7</f>
        <v>26553.1</v>
      </c>
    </row>
    <row r="8" spans="1:37" ht="18" customHeight="1">
      <c r="A8" s="296"/>
      <c r="B8" s="3420"/>
      <c r="C8" s="298"/>
      <c r="D8" s="299"/>
      <c r="E8" s="294" t="s">
        <v>698</v>
      </c>
      <c r="F8" s="295">
        <f ca="1">INDIRECT("'数据-取费表'!ai"&amp;$G$1)</f>
        <v>365</v>
      </c>
      <c r="G8" s="1291"/>
      <c r="H8" s="296"/>
      <c r="I8" s="3420"/>
      <c r="J8" s="298"/>
      <c r="K8" s="299"/>
      <c r="L8" s="294" t="s">
        <v>698</v>
      </c>
      <c r="M8" s="295">
        <f ca="1">INDIRECT("'数据-取费表'!ai"&amp;$G$1)</f>
        <v>365</v>
      </c>
    </row>
    <row r="9" spans="1:37" ht="18" customHeight="1">
      <c r="A9" s="296"/>
      <c r="B9" s="3421"/>
      <c r="C9" s="298"/>
      <c r="D9" s="299"/>
      <c r="E9" s="294" t="s">
        <v>699</v>
      </c>
      <c r="F9" s="304">
        <f ca="1">INDIRECT("'数据-取费表'!w"&amp;$G$1)</f>
        <v>0.1</v>
      </c>
      <c r="G9" s="1291"/>
      <c r="H9" s="296"/>
      <c r="I9" s="3421"/>
      <c r="J9" s="298"/>
      <c r="K9" s="299"/>
      <c r="L9" s="305" t="s">
        <v>699</v>
      </c>
      <c r="M9" s="306">
        <f ca="1">INDIRECT("'数据-取费表'!ab"&amp;$G$1)</f>
        <v>0</v>
      </c>
    </row>
    <row r="10" spans="1:37" ht="18" customHeight="1">
      <c r="A10" s="1006" t="s">
        <v>402</v>
      </c>
      <c r="B10" s="1273" t="s">
        <v>700</v>
      </c>
      <c r="C10" s="308">
        <f ca="1">ROUND(IF(F10="押一",C6/12*F11,IF(F10="押二",C6/12*2*F11,IF(F10="押三",C6/12*3*F11,C11*F11))),0)</f>
        <v>8</v>
      </c>
      <c r="D10" s="150" t="s">
        <v>2116</v>
      </c>
      <c r="E10" s="305" t="s">
        <v>701</v>
      </c>
      <c r="F10" s="1053" t="s">
        <v>3424</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17195</v>
      </c>
      <c r="D13" s="1018" t="s">
        <v>705</v>
      </c>
      <c r="E13" s="1018" t="s">
        <v>706</v>
      </c>
      <c r="F13" s="1019">
        <f ca="1">INDIRECT("'数据-取费表'!y"&amp;$G$1)</f>
        <v>0.8</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14604</v>
      </c>
      <c r="D14" s="1256" t="s">
        <v>708</v>
      </c>
      <c r="E14" s="1254"/>
      <c r="F14" s="311"/>
      <c r="G14" s="1291"/>
      <c r="H14" s="928" t="s">
        <v>398</v>
      </c>
      <c r="I14" s="294" t="s">
        <v>709</v>
      </c>
      <c r="J14" s="21">
        <f ca="1">C29</f>
        <v>21494</v>
      </c>
      <c r="K14" s="12"/>
      <c r="L14" s="759"/>
      <c r="M14" s="760"/>
    </row>
    <row r="15" spans="1:37" s="1303" customFormat="1" ht="18" customHeight="1" thickBot="1">
      <c r="A15" s="928" t="s">
        <v>399</v>
      </c>
      <c r="B15" s="294" t="s">
        <v>710</v>
      </c>
      <c r="C15" s="21">
        <f ca="1">ROUND(C14*F15,0)</f>
        <v>730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121</v>
      </c>
      <c r="K16" s="1024" t="s">
        <v>715</v>
      </c>
      <c r="L16" s="1025"/>
      <c r="M16" s="1009"/>
    </row>
    <row r="17" spans="1:37" s="1303" customFormat="1" ht="18" customHeight="1">
      <c r="A17" s="928" t="s">
        <v>681</v>
      </c>
      <c r="B17" s="294" t="s">
        <v>716</v>
      </c>
      <c r="C17" s="21">
        <f ca="1">ROUND(F17*(F43+INDIRECT("'数据-取费表'!S"&amp;$G$1))/10000,0)</f>
        <v>531</v>
      </c>
      <c r="D17" s="294" t="s">
        <v>717</v>
      </c>
      <c r="E17" s="294" t="s">
        <v>718</v>
      </c>
      <c r="F17" s="23">
        <f>'数据-取费表'!B35</f>
        <v>200</v>
      </c>
      <c r="G17" s="1302"/>
      <c r="H17" s="928" t="s">
        <v>398</v>
      </c>
      <c r="I17" s="294" t="s">
        <v>719</v>
      </c>
      <c r="J17" s="2139">
        <f ca="1">ROUND(IF(AND(项目基本情况!B11="自然人",项目基本情况!B10="北京市"),J6*M17/(1+'数据-取费表'!C42),J18+J19+J20),2)</f>
        <v>13.17</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292</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16157</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485</v>
      </c>
      <c r="D20" s="315" t="s">
        <v>729</v>
      </c>
      <c r="E20" s="294" t="s">
        <v>712</v>
      </c>
      <c r="F20" s="314">
        <f>'数据-取费表'!B37</f>
        <v>0.03</v>
      </c>
      <c r="G20" s="1302"/>
      <c r="H20" s="928" t="s">
        <v>680</v>
      </c>
      <c r="I20" s="147" t="s">
        <v>730</v>
      </c>
      <c r="J20" s="22">
        <f ca="1">ROUND(M20*M21/10000,2)</f>
        <v>13.17</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5486.68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107.47</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699</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ROUND(J13*M23,2)</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2"/>
      <c r="H24" s="1026" t="s">
        <v>683</v>
      </c>
      <c r="I24" s="1027" t="s">
        <v>728</v>
      </c>
      <c r="J24" s="1028">
        <f ca="1">ROUND(J5*M24,2)</f>
        <v>0</v>
      </c>
      <c r="K24" s="1029" t="s">
        <v>748</v>
      </c>
      <c r="L24" s="1027" t="s">
        <v>712</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-121</v>
      </c>
      <c r="K25" s="1032" t="s">
        <v>753</v>
      </c>
      <c r="L25" s="1033"/>
      <c r="M25" s="1034"/>
    </row>
    <row r="26" spans="1:37">
      <c r="A26" s="928" t="s">
        <v>397</v>
      </c>
      <c r="B26" s="294" t="s">
        <v>754</v>
      </c>
      <c r="C26" s="21">
        <f ca="1">ROUND((C19+C20)*F26,0)</f>
        <v>2496</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21494</v>
      </c>
      <c r="D29" s="1029"/>
      <c r="E29" s="1027"/>
      <c r="F29" s="1030"/>
      <c r="G29" s="1302"/>
      <c r="H29" s="325" t="s">
        <v>396</v>
      </c>
      <c r="I29" s="326" t="s">
        <v>768</v>
      </c>
      <c r="J29" s="327">
        <f ca="1">ROUND(J26/(1+F40)^F41,0)</f>
        <v>0</v>
      </c>
      <c r="K29" s="328" t="s">
        <v>769</v>
      </c>
      <c r="L29" s="329"/>
      <c r="M29" s="330">
        <f ca="1">INDIRECT("'数据-取费表'!k"&amp;$G$1)</f>
        <v>26553.1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1192</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1036.6500000000001</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IF(项目基本情况!B11="自然人","——",ROUND(C6*F32/(1+'数据-取费表'!C42),2))</f>
        <v>325.64999999999998</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697.83</v>
      </c>
      <c r="D33" s="1277" t="s">
        <v>3336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IF(项目基本情况!B11="自然人","——",ROUND(F34*F35/10000,2))</f>
        <v>13.17</v>
      </c>
      <c r="D34" s="316" t="s">
        <v>731</v>
      </c>
      <c r="E34" s="294" t="s">
        <v>732</v>
      </c>
      <c r="F34" s="317">
        <f>'数据-取费表'!B52</f>
        <v>24</v>
      </c>
      <c r="G34" s="1291"/>
      <c r="H34" s="2470"/>
      <c r="I34" s="1304"/>
      <c r="J34" s="1305"/>
      <c r="K34" s="2475"/>
      <c r="L34" s="2476"/>
      <c r="M34" s="2476"/>
    </row>
    <row r="35" spans="1:18" ht="18" customHeight="1">
      <c r="A35" s="1040"/>
      <c r="B35" s="1038"/>
      <c r="C35" s="26"/>
      <c r="D35" s="319"/>
      <c r="E35" s="294" t="s">
        <v>736</v>
      </c>
      <c r="F35" s="295">
        <f ca="1">INDIRECT("'数据-取费表'!r"&amp;$G$1)</f>
        <v>5486.68</v>
      </c>
      <c r="G35" s="1291"/>
      <c r="H35" s="2470"/>
      <c r="I35" s="1304"/>
      <c r="J35" s="1305"/>
      <c r="K35" s="2474"/>
      <c r="L35" s="2473"/>
      <c r="M35" s="2473"/>
    </row>
    <row r="36" spans="1:18" ht="18" customHeight="1">
      <c r="A36" s="1039" t="s">
        <v>402</v>
      </c>
      <c r="B36" s="294" t="s">
        <v>738</v>
      </c>
      <c r="C36" s="21">
        <f ca="1">ROUND(C29*F36,2)</f>
        <v>107.47</v>
      </c>
      <c r="D36" s="1255" t="s">
        <v>771</v>
      </c>
      <c r="E36" s="294" t="s">
        <v>712</v>
      </c>
      <c r="F36" s="320">
        <f ca="1">INDIRECT("'数据-取费表'!Ak"&amp;$G$1)</f>
        <v>5.0000000000000001E-3</v>
      </c>
      <c r="G36" s="1291"/>
      <c r="H36" s="2473"/>
      <c r="I36" s="1304"/>
      <c r="J36" s="1305"/>
      <c r="K36" s="2330"/>
      <c r="L36" s="2473"/>
      <c r="M36" s="2473"/>
    </row>
    <row r="37" spans="1:18" ht="18" customHeight="1">
      <c r="A37" s="928" t="s">
        <v>437</v>
      </c>
      <c r="B37" s="294" t="s">
        <v>742</v>
      </c>
      <c r="C37" s="21">
        <f ca="1">ROUND(C13*F37,2)</f>
        <v>17.2</v>
      </c>
      <c r="D37" s="1255" t="s">
        <v>743</v>
      </c>
      <c r="E37" s="294" t="s">
        <v>712</v>
      </c>
      <c r="F37" s="321">
        <f ca="1">INDIRECT("'数据-取费表'!Al"&amp;$G$1)</f>
        <v>1E-3</v>
      </c>
      <c r="G37" s="1291"/>
      <c r="H37" s="2473"/>
      <c r="I37" s="1304"/>
      <c r="J37" s="1305"/>
      <c r="K37" s="2330"/>
      <c r="L37" s="2473"/>
      <c r="M37" s="2473"/>
    </row>
    <row r="38" spans="1:18" ht="18" customHeight="1" thickBot="1">
      <c r="A38" s="1026" t="s">
        <v>683</v>
      </c>
      <c r="B38" s="1027" t="s">
        <v>728</v>
      </c>
      <c r="C38" s="1028">
        <f ca="1">ROUND(C5*F38,2)</f>
        <v>30.57</v>
      </c>
      <c r="D38" s="1029" t="s">
        <v>748</v>
      </c>
      <c r="E38" s="1027" t="s">
        <v>712</v>
      </c>
      <c r="F38" s="1023">
        <f ca="1">INDIRECT("'数据-取费表'!Am"&amp;$G$1)</f>
        <v>5.0000000000000001E-3</v>
      </c>
      <c r="G38" s="1291"/>
      <c r="H38" s="2473"/>
      <c r="I38" s="1304"/>
      <c r="J38" s="1305"/>
      <c r="K38" s="2471"/>
      <c r="L38" s="2473"/>
      <c r="M38" s="2473"/>
    </row>
    <row r="39" spans="1:18" ht="24.6" customHeight="1" thickTop="1">
      <c r="A39" s="1016" t="s">
        <v>394</v>
      </c>
      <c r="B39" s="1031" t="s">
        <v>752</v>
      </c>
      <c r="C39" s="302">
        <f ca="1">C5-C30</f>
        <v>4922</v>
      </c>
      <c r="D39" s="1032" t="s">
        <v>753</v>
      </c>
      <c r="E39" s="1033"/>
      <c r="F39" s="1034"/>
      <c r="G39" s="1291"/>
      <c r="H39" s="2473"/>
      <c r="I39" s="1304">
        <f ca="1">C39/C5</f>
        <v>0.80503761858030753</v>
      </c>
      <c r="J39" s="1305"/>
      <c r="K39" s="2471"/>
      <c r="L39" s="2473"/>
      <c r="M39" s="2473"/>
    </row>
    <row r="40" spans="1:18" ht="18" customHeight="1">
      <c r="A40" s="291" t="s">
        <v>395</v>
      </c>
      <c r="B40" s="292" t="s">
        <v>774</v>
      </c>
      <c r="C40" s="293">
        <f ca="1">ROUND(C39*(1-((1+F42)/(1+F40))^F41)/(F40-F42),0)</f>
        <v>80857</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25.36</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30451</v>
      </c>
      <c r="D43" s="328" t="s">
        <v>777</v>
      </c>
      <c r="E43" s="329" t="s">
        <v>778</v>
      </c>
      <c r="F43" s="330">
        <f ca="1">INDIRECT("'数据-取费表'!k"&amp;$G$1)</f>
        <v>26553.1</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8" thickBot="1">
      <c r="A46" s="1310" t="s">
        <v>809</v>
      </c>
      <c r="C46" s="1311">
        <f ca="1">C68-C40</f>
        <v>-82721</v>
      </c>
      <c r="D46" s="1312" t="str">
        <f>C2</f>
        <v>万元</v>
      </c>
      <c r="E46" s="1306"/>
      <c r="F46" s="1306"/>
      <c r="I46" s="1313" t="s">
        <v>810</v>
      </c>
      <c r="J46" s="1314"/>
      <c r="K46" s="1315"/>
      <c r="L46" s="1316">
        <f ca="1">IF(M47="住宅",0,IF(L48&gt;J51,L60,J60))</f>
        <v>1374</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3425</v>
      </c>
      <c r="K47" s="1322" t="s">
        <v>816</v>
      </c>
      <c r="L47" s="1323">
        <f ca="1">INDIRECT("'数据-取费表'!d"&amp;$G$1)</f>
        <v>50</v>
      </c>
      <c r="M47" s="1287" t="str">
        <f>IF(ISNUMBER(FIND("住宅",C1)),"住宅","非住宅")</f>
        <v>非住宅</v>
      </c>
      <c r="O47" s="1324" t="s">
        <v>403</v>
      </c>
      <c r="P47" s="1325" t="s">
        <v>817</v>
      </c>
      <c r="Q47" s="1326">
        <f ca="1">C40+J29</f>
        <v>80857</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3426</v>
      </c>
      <c r="K48" s="1329" t="s">
        <v>820</v>
      </c>
      <c r="L48" s="1330">
        <f ca="1">INDIRECT("'数据-取费表'!f"&amp;$G$1)</f>
        <v>25.36</v>
      </c>
      <c r="O48" s="1324" t="s">
        <v>404</v>
      </c>
      <c r="P48" s="1325" t="s">
        <v>821</v>
      </c>
      <c r="Q48" s="1326">
        <f ca="1">J60</f>
        <v>1374</v>
      </c>
      <c r="R48" s="1326" t="s">
        <v>822</v>
      </c>
    </row>
    <row r="49" spans="1:18" s="1291" customFormat="1" ht="13.8" thickBot="1">
      <c r="A49" s="921" t="s">
        <v>439</v>
      </c>
      <c r="B49" s="1278" t="s">
        <v>779</v>
      </c>
      <c r="C49" s="1051">
        <f ca="1">ROUND(F49*F51*F50*(1-F52)/10000,0)</f>
        <v>0</v>
      </c>
      <c r="D49" s="992" t="s">
        <v>2108</v>
      </c>
      <c r="E49" s="1279" t="s">
        <v>780</v>
      </c>
      <c r="F49" s="997"/>
      <c r="H49" s="682"/>
      <c r="I49" s="1327" t="s">
        <v>823</v>
      </c>
      <c r="J49" s="1331">
        <v>1998</v>
      </c>
      <c r="K49" s="1329" t="s">
        <v>824</v>
      </c>
      <c r="L49" s="1332"/>
      <c r="O49" s="1333" t="s">
        <v>405</v>
      </c>
      <c r="P49" s="1325" t="s">
        <v>825</v>
      </c>
      <c r="Q49" s="1326">
        <f ca="1">C29</f>
        <v>21494</v>
      </c>
      <c r="R49" s="1326" t="s">
        <v>818</v>
      </c>
    </row>
    <row r="50" spans="1:18" s="1291" customFormat="1" ht="13.8" thickBot="1">
      <c r="A50" s="922"/>
      <c r="B50" s="925"/>
      <c r="C50" s="1055"/>
      <c r="D50" s="899"/>
      <c r="E50" s="993" t="s">
        <v>697</v>
      </c>
      <c r="F50" s="994">
        <f ca="1">F7</f>
        <v>26553.1</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34</v>
      </c>
      <c r="K51" s="1338" t="s">
        <v>830</v>
      </c>
      <c r="L51" s="1339">
        <f ca="1">ROUND(-PV(INDIRECT("'数据-取费表'!h"&amp;$G$1),J51,(C39-C13*C76),0),0)</f>
        <v>60211</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25.36</v>
      </c>
      <c r="R52" s="1326" t="s">
        <v>835</v>
      </c>
    </row>
    <row r="53" spans="1:18" s="1291" customFormat="1" ht="36.6"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25.36</v>
      </c>
      <c r="K53" s="3417" t="s">
        <v>837</v>
      </c>
      <c r="L53" s="3418"/>
      <c r="O53" s="1324" t="s">
        <v>409</v>
      </c>
      <c r="P53" s="1325" t="s">
        <v>838</v>
      </c>
      <c r="Q53" s="1326">
        <f ca="1">Q47+Q48</f>
        <v>82231</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0.14399999999999999</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17195</v>
      </c>
      <c r="D56" s="1351"/>
      <c r="E56" s="1352"/>
      <c r="F56" s="1344"/>
      <c r="I56" s="1353" t="s">
        <v>842</v>
      </c>
      <c r="J56" s="1354" t="s">
        <v>3427</v>
      </c>
      <c r="K56" s="1327" t="s">
        <v>843</v>
      </c>
      <c r="L56" s="1330" t="str">
        <f ca="1">IF(L48&lt;J51,"——",L48-J53)</f>
        <v>——</v>
      </c>
      <c r="O56" s="1324" t="s">
        <v>403</v>
      </c>
      <c r="P56" s="1325" t="s">
        <v>817</v>
      </c>
      <c r="Q56" s="1326">
        <f ca="1">C40+J29</f>
        <v>80857</v>
      </c>
      <c r="R56" s="1326" t="s">
        <v>818</v>
      </c>
    </row>
    <row r="57" spans="1:18" s="1291" customFormat="1" ht="24.6" thickBot="1">
      <c r="A57" s="1355"/>
      <c r="B57" s="896" t="s">
        <v>767</v>
      </c>
      <c r="C57" s="230">
        <f ca="1">C29</f>
        <v>21494</v>
      </c>
      <c r="D57" s="1356"/>
      <c r="E57" s="1357"/>
      <c r="F57" s="1358"/>
      <c r="I57" s="1359" t="s">
        <v>844</v>
      </c>
      <c r="J57" s="1360">
        <f ca="1">IF(OR(M47="住宅",J51&lt;L48,J56="是"),"——",J51-L48)</f>
        <v>8.64</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138</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13</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8598</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1374</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727</v>
      </c>
      <c r="C61" s="21">
        <f ca="1">IF(项目基本情况!B11="自然人","——",IF(D61="按租金收入计税",ROUND(C49*F61/(1+'数据-取费表'!C42),2),IF(D61="按房产原值计税",ROUND(C57*F61*0.7,2),INDIRECT("'数据-取费表'!Aj"&amp;$G$1))))</f>
        <v>0</v>
      </c>
      <c r="D61" s="1277" t="s">
        <v>3336</v>
      </c>
      <c r="E61" s="896"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730</v>
      </c>
      <c r="C62" s="22">
        <f ca="1">IF(项目基本情况!B11="自然人","——",ROUND(F62*F63/10000,2))</f>
        <v>13.17</v>
      </c>
      <c r="D62" s="911" t="s">
        <v>731</v>
      </c>
      <c r="E62" s="896" t="s">
        <v>732</v>
      </c>
      <c r="F62" s="317">
        <f t="shared" si="0"/>
        <v>24</v>
      </c>
      <c r="I62" s="1366" t="s">
        <v>858</v>
      </c>
      <c r="J62" s="610" t="s">
        <v>859</v>
      </c>
      <c r="K62" s="610" t="s">
        <v>860</v>
      </c>
      <c r="L62" s="610" t="s">
        <v>861</v>
      </c>
      <c r="M62" s="1367" t="s">
        <v>862</v>
      </c>
      <c r="O62" s="1324" t="s">
        <v>409</v>
      </c>
      <c r="P62" s="1325" t="s">
        <v>838</v>
      </c>
      <c r="Q62" s="1326">
        <f ca="1">Q56+Q57</f>
        <v>80857</v>
      </c>
      <c r="R62" s="1326" t="s">
        <v>410</v>
      </c>
    </row>
    <row r="63" spans="1:18" s="1291" customFormat="1" ht="13.8" thickBot="1">
      <c r="A63" s="318"/>
      <c r="B63" s="902"/>
      <c r="C63" s="26"/>
      <c r="D63" s="912"/>
      <c r="E63" s="896" t="s">
        <v>736</v>
      </c>
      <c r="F63" s="295">
        <f t="shared" ca="1" si="0"/>
        <v>5486.68</v>
      </c>
      <c r="I63" s="1366" t="s">
        <v>864</v>
      </c>
      <c r="J63" s="610">
        <v>70</v>
      </c>
      <c r="K63" s="610">
        <v>50</v>
      </c>
      <c r="L63" s="610">
        <v>80</v>
      </c>
      <c r="M63" s="1368">
        <v>0.02</v>
      </c>
      <c r="O63" s="1309" t="s">
        <v>865</v>
      </c>
      <c r="P63" s="1288"/>
      <c r="Q63" s="1288"/>
      <c r="R63" s="1288"/>
    </row>
    <row r="64" spans="1:18" s="1291" customFormat="1" ht="13.8" thickBot="1">
      <c r="A64" s="928" t="s">
        <v>402</v>
      </c>
      <c r="B64" s="896" t="s">
        <v>738</v>
      </c>
      <c r="C64" s="21">
        <f ca="1">ROUND(C57*F64,2)</f>
        <v>107.47</v>
      </c>
      <c r="D64" s="910" t="s">
        <v>771</v>
      </c>
      <c r="E64" s="896" t="s">
        <v>712</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17.2</v>
      </c>
      <c r="D65" s="910" t="s">
        <v>743</v>
      </c>
      <c r="E65" s="896" t="s">
        <v>712</v>
      </c>
      <c r="F65" s="321">
        <f t="shared" ca="1" si="0"/>
        <v>1E-3</v>
      </c>
      <c r="I65" s="1366" t="s">
        <v>867</v>
      </c>
      <c r="J65" s="610">
        <v>40</v>
      </c>
      <c r="K65" s="610">
        <v>30</v>
      </c>
      <c r="L65" s="610">
        <v>50</v>
      </c>
      <c r="M65" s="1368">
        <v>0.02</v>
      </c>
      <c r="O65" s="1324" t="s">
        <v>403</v>
      </c>
      <c r="P65" s="1325" t="s">
        <v>817</v>
      </c>
      <c r="Q65" s="1326">
        <f ca="1">C40+J29</f>
        <v>80857</v>
      </c>
      <c r="R65" s="1326" t="s">
        <v>818</v>
      </c>
    </row>
    <row r="66" spans="1:18" s="1291" customFormat="1" ht="16.2" thickBot="1">
      <c r="A66" s="928" t="s">
        <v>793</v>
      </c>
      <c r="B66" s="896" t="s">
        <v>728</v>
      </c>
      <c r="C66" s="21">
        <f ca="1">ROUND(C48*F66,2)</f>
        <v>0</v>
      </c>
      <c r="D66" s="910" t="s">
        <v>748</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-138</v>
      </c>
      <c r="D67" s="909" t="s">
        <v>753</v>
      </c>
      <c r="E67" s="914"/>
      <c r="F67" s="915"/>
      <c r="O67" s="1333" t="s">
        <v>405</v>
      </c>
      <c r="P67" s="1325" t="s">
        <v>850</v>
      </c>
      <c r="Q67" s="1369">
        <f ca="1">L51</f>
        <v>60211</v>
      </c>
      <c r="R67" s="1326" t="s">
        <v>870</v>
      </c>
    </row>
    <row r="68" spans="1:18" s="1291" customFormat="1" ht="16.2" thickBot="1">
      <c r="A68" s="893" t="s">
        <v>395</v>
      </c>
      <c r="B68" s="894" t="s">
        <v>774</v>
      </c>
      <c r="C68" s="293">
        <f ca="1">ROUND(C67*(1-((1+F70)/(1+F68))^F69)/(F68-F70),0)</f>
        <v>-1864</v>
      </c>
      <c r="D68" s="911" t="s">
        <v>758</v>
      </c>
      <c r="E68" s="896" t="s">
        <v>759</v>
      </c>
      <c r="F68" s="304">
        <f ca="1">F40</f>
        <v>5.5E-2</v>
      </c>
      <c r="O68" s="1333" t="s">
        <v>406</v>
      </c>
      <c r="P68" s="1370" t="s">
        <v>871</v>
      </c>
      <c r="Q68" s="1326">
        <f ca="1">ROUND(Q69-Q70*Q71,0)</f>
        <v>3718</v>
      </c>
      <c r="R68" s="1326" t="s">
        <v>414</v>
      </c>
    </row>
    <row r="69" spans="1:18" s="1291" customFormat="1" ht="13.8" thickBot="1">
      <c r="A69" s="897"/>
      <c r="B69" s="898"/>
      <c r="C69" s="298"/>
      <c r="D69" s="916" t="s">
        <v>762</v>
      </c>
      <c r="E69" s="896" t="s">
        <v>763</v>
      </c>
      <c r="F69" s="324">
        <f ca="1">F41</f>
        <v>25.36</v>
      </c>
      <c r="O69" s="1333" t="s">
        <v>411</v>
      </c>
      <c r="P69" s="1370" t="s">
        <v>872</v>
      </c>
      <c r="Q69" s="1326">
        <f ca="1">C39</f>
        <v>4922</v>
      </c>
      <c r="R69" s="1326" t="s">
        <v>818</v>
      </c>
    </row>
    <row r="70" spans="1:18" s="1291" customFormat="1" ht="13.8" thickBot="1">
      <c r="A70" s="900"/>
      <c r="B70" s="901"/>
      <c r="C70" s="302"/>
      <c r="D70" s="912"/>
      <c r="E70" s="896" t="s">
        <v>766</v>
      </c>
      <c r="F70" s="991"/>
      <c r="O70" s="1333" t="s">
        <v>412</v>
      </c>
      <c r="P70" s="1370" t="s">
        <v>873</v>
      </c>
      <c r="Q70" s="1326">
        <f ca="1">C13</f>
        <v>17195</v>
      </c>
      <c r="R70" s="1326" t="s">
        <v>818</v>
      </c>
    </row>
    <row r="71" spans="1:18" s="1291" customFormat="1" ht="13.8" thickBot="1">
      <c r="A71" s="917" t="s">
        <v>396</v>
      </c>
      <c r="B71" s="918" t="s">
        <v>776</v>
      </c>
      <c r="C71" s="327">
        <f ca="1">ROUND(C68*10000/F71,0)</f>
        <v>-702</v>
      </c>
      <c r="D71" s="919" t="s">
        <v>777</v>
      </c>
      <c r="E71" s="920" t="s">
        <v>778</v>
      </c>
      <c r="F71" s="330">
        <f ca="1">F43</f>
        <v>26553.1</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1204</v>
      </c>
      <c r="D75" s="1291"/>
      <c r="E75" s="1291"/>
      <c r="F75" s="1291"/>
      <c r="K75" s="1308"/>
      <c r="L75" s="1291"/>
      <c r="O75" s="1324" t="s">
        <v>409</v>
      </c>
      <c r="P75" s="1325" t="s">
        <v>838</v>
      </c>
      <c r="Q75" s="1326">
        <f ca="1">Q65+Q66</f>
        <v>80857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0.755</v>
      </c>
    </row>
    <row r="80" spans="1:18">
      <c r="B80" s="331" t="s">
        <v>800</v>
      </c>
      <c r="C80" s="266">
        <f ca="1">ROUND(C75/C39,3)</f>
        <v>0.245</v>
      </c>
    </row>
    <row r="81" spans="2:3">
      <c r="B81" s="262" t="s">
        <v>801</v>
      </c>
      <c r="C81" s="230"/>
    </row>
    <row r="82" spans="2:3">
      <c r="B82" s="265" t="s">
        <v>802</v>
      </c>
      <c r="C82" s="267">
        <f ca="1">1-C83</f>
        <v>0.78700000000000003</v>
      </c>
    </row>
    <row r="83" spans="2:3">
      <c r="B83" s="265" t="s">
        <v>803</v>
      </c>
      <c r="C83" s="266">
        <f ca="1">ROUND(C13/C40,3)</f>
        <v>0.21299999999999999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 priority="3">
      <formula>$F$10="自定义"</formula>
    </cfRule>
  </conditionalFormatting>
  <conditionalFormatting sqref="C54">
    <cfRule type="expression" dxfId="14" priority="1">
      <formula>$F$53="自定义"</formula>
    </cfRule>
  </conditionalFormatting>
  <conditionalFormatting sqref="I55 I60">
    <cfRule type="expression" dxfId="13" priority="5">
      <formula>$J$51&gt;$L$48</formula>
    </cfRule>
  </conditionalFormatting>
  <conditionalFormatting sqref="J11">
    <cfRule type="expression" dxfId="12" priority="2">
      <formula>$M$10="自定义"</formula>
    </cfRule>
  </conditionalFormatting>
  <conditionalFormatting sqref="K55 K60">
    <cfRule type="expression" dxfId="11" priority="4">
      <formula>$L$48&gt;$J$51</formula>
    </cfRule>
  </conditionalFormatting>
  <dataValidations count="9">
    <dataValidation type="list" allowBlank="1" showInputMessage="1" showErrorMessage="1" sqref="D1" xr:uid="{8C871F65-7FBF-4F1A-A16D-A16B960868E6}">
      <formula1>"在建（套用方法）,土地（套用方法）,——"</formula1>
    </dataValidation>
    <dataValidation type="list" allowBlank="1" showInputMessage="1" showErrorMessage="1" sqref="M10 F10 F53" xr:uid="{0BA9AA80-0021-4CD4-BAE8-1B816BFF1E4F}">
      <formula1>"押一,押二,押三,自定义"</formula1>
    </dataValidation>
    <dataValidation type="list" allowBlank="1" showInputMessage="1" showErrorMessage="1" sqref="L55" xr:uid="{9D2052A3-C350-4F2E-B6F0-BB5F0F91C411}">
      <formula1>"比较法,基准地价,收益还原"</formula1>
    </dataValidation>
    <dataValidation type="list" allowBlank="1" showInputMessage="1" showErrorMessage="1" sqref="J56" xr:uid="{FBDF829E-1A29-436A-905F-538D5FDDD516}">
      <formula1>估价范围判定</formula1>
    </dataValidation>
    <dataValidation type="list" allowBlank="1" showInputMessage="1" showErrorMessage="1" sqref="J48" xr:uid="{5942F399-3AF8-47A1-BD57-21CF40A58CF8}">
      <formula1>"非生产用房,生产用房,受腐蚀的生产用房"</formula1>
    </dataValidation>
    <dataValidation type="list" allowBlank="1" showInputMessage="1" showErrorMessage="1" sqref="J47" xr:uid="{D0C65BE8-BECB-476A-8499-CD16508AC3AC}">
      <formula1>"钢,钢混,砖混"</formula1>
    </dataValidation>
    <dataValidation type="list" allowBlank="1" showInputMessage="1" showErrorMessage="1" sqref="C1" xr:uid="{A33F4566-1718-4E76-AEBE-9E37959F8D1B}">
      <formula1>项目类型</formula1>
    </dataValidation>
    <dataValidation type="list" allowBlank="1" showInputMessage="1" showErrorMessage="1" sqref="D33 D61" xr:uid="{705F88EC-C06B-43F8-94EC-E791BC5671BF}">
      <formula1>"按租金收入计税,按房产原值计税,按票据"</formula1>
    </dataValidation>
    <dataValidation type="list" allowBlank="1" showInputMessage="1" showErrorMessage="1" sqref="K19" xr:uid="{881BE33A-5D6F-4267-9691-83DAA6BFEE64}">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20FA3-7435-4F6A-8C28-7473F487DBBF}">
  <sheetPr>
    <tabColor rgb="FF92D050"/>
  </sheetPr>
  <dimension ref="A1:AK83"/>
  <sheetViews>
    <sheetView view="pageBreakPreview" zoomScale="70" zoomScaleNormal="70" zoomScaleSheetLayoutView="70" workbookViewId="0">
      <selection activeCell="J25" sqref="J2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3333</v>
      </c>
      <c r="D1" s="1270" t="s">
        <v>43</v>
      </c>
      <c r="E1" s="1271" t="s">
        <v>678</v>
      </c>
      <c r="F1" s="999">
        <f ca="1">J53</f>
        <v>25.36</v>
      </c>
      <c r="G1" s="1285">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4413</v>
      </c>
      <c r="C2" s="1288" t="s">
        <v>805</v>
      </c>
      <c r="D2" s="1288"/>
      <c r="E2" s="1294"/>
      <c r="F2" s="1295"/>
      <c r="G2" s="2478"/>
      <c r="H2" s="2468"/>
      <c r="I2" s="2468"/>
      <c r="J2" s="2468"/>
      <c r="K2" s="2469"/>
      <c r="L2" s="2468"/>
      <c r="M2" s="2468"/>
    </row>
    <row r="3" spans="1:37" ht="18" customHeight="1" thickBot="1">
      <c r="A3" s="1296" t="s">
        <v>806</v>
      </c>
      <c r="B3" s="1297">
        <f ca="1">IF(ISERROR(B2*10000/F43),0,ROUND(B2*10000/F43,0))</f>
        <v>6722</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323</v>
      </c>
      <c r="D5" s="1272" t="s">
        <v>693</v>
      </c>
      <c r="E5" s="1008"/>
      <c r="F5" s="1009"/>
      <c r="G5" s="1291"/>
      <c r="H5" s="291">
        <v>1</v>
      </c>
      <c r="I5" s="292" t="s">
        <v>692</v>
      </c>
      <c r="J5" s="1007">
        <f ca="1">J6+J10+J12</f>
        <v>0</v>
      </c>
      <c r="K5" s="1272" t="s">
        <v>693</v>
      </c>
      <c r="L5" s="1008"/>
      <c r="M5" s="1009"/>
    </row>
    <row r="6" spans="1:37" ht="18" customHeight="1">
      <c r="A6" s="1006" t="s">
        <v>398</v>
      </c>
      <c r="B6" s="3419" t="s">
        <v>694</v>
      </c>
      <c r="C6" s="1011">
        <f ca="1">ROUND(F6*F8*F7*(1-F9)/10000,0)</f>
        <v>323</v>
      </c>
      <c r="D6" s="147" t="s">
        <v>2109</v>
      </c>
      <c r="E6" s="294" t="s">
        <v>696</v>
      </c>
      <c r="F6" s="295">
        <f ca="1">INDIRECT("'数据-取费表'!u"&amp;$G$1)</f>
        <v>1.5</v>
      </c>
      <c r="G6" s="1291"/>
      <c r="H6" s="1006" t="s">
        <v>398</v>
      </c>
      <c r="I6" s="3419" t="s">
        <v>694</v>
      </c>
      <c r="J6" s="293">
        <f ca="1">ROUND(M6*M8*M7*(1-M9)/10000,0)</f>
        <v>0</v>
      </c>
      <c r="K6" s="147" t="s">
        <v>2108</v>
      </c>
      <c r="L6" s="294" t="s">
        <v>696</v>
      </c>
      <c r="M6" s="295">
        <f ca="1">INDIRECT("'数据-取费表'!z"&amp;$G$1)</f>
        <v>0</v>
      </c>
    </row>
    <row r="7" spans="1:37" ht="18" customHeight="1">
      <c r="A7" s="1010"/>
      <c r="B7" s="3420"/>
      <c r="C7" s="1012"/>
      <c r="D7" s="299"/>
      <c r="E7" s="1013" t="s">
        <v>697</v>
      </c>
      <c r="F7" s="295">
        <f ca="1">IF(INDIRECT("'数据-取费表'!ah"&amp;$G$1)="",INDIRECT("'数据-取费表'!k"&amp;$G$1),INDIRECT("'数据-取费表'!ah"&amp;$G$1))</f>
        <v>6564.97</v>
      </c>
      <c r="G7" s="1291"/>
      <c r="H7" s="296"/>
      <c r="I7" s="3420"/>
      <c r="J7" s="298"/>
      <c r="K7" s="299"/>
      <c r="L7" s="294" t="s">
        <v>697</v>
      </c>
      <c r="M7" s="295">
        <f ca="1">F7</f>
        <v>6564.97</v>
      </c>
    </row>
    <row r="8" spans="1:37" ht="18" customHeight="1">
      <c r="A8" s="296"/>
      <c r="B8" s="3420"/>
      <c r="C8" s="298"/>
      <c r="D8" s="299"/>
      <c r="E8" s="294" t="s">
        <v>698</v>
      </c>
      <c r="F8" s="295">
        <f ca="1">INDIRECT("'数据-取费表'!ai"&amp;$G$1)</f>
        <v>365</v>
      </c>
      <c r="G8" s="1291"/>
      <c r="H8" s="296"/>
      <c r="I8" s="3420"/>
      <c r="J8" s="298"/>
      <c r="K8" s="299"/>
      <c r="L8" s="294" t="s">
        <v>698</v>
      </c>
      <c r="M8" s="295">
        <f ca="1">INDIRECT("'数据-取费表'!ai"&amp;$G$1)</f>
        <v>365</v>
      </c>
    </row>
    <row r="9" spans="1:37" ht="18" customHeight="1">
      <c r="A9" s="296"/>
      <c r="B9" s="3421"/>
      <c r="C9" s="298"/>
      <c r="D9" s="299"/>
      <c r="E9" s="294" t="s">
        <v>699</v>
      </c>
      <c r="F9" s="304">
        <f ca="1">INDIRECT("'数据-取费表'!w"&amp;$G$1)</f>
        <v>0.1</v>
      </c>
      <c r="G9" s="1291"/>
      <c r="H9" s="296"/>
      <c r="I9" s="342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t="s">
        <v>3424</v>
      </c>
      <c r="G10" s="1291"/>
      <c r="H10" s="1006" t="s">
        <v>402</v>
      </c>
      <c r="I10" s="1273" t="s">
        <v>700</v>
      </c>
      <c r="J10" s="293">
        <f ca="1">ROUND(IF(M10="押一",J6/12*M11,IF(M10="押二",J6/12*2*M11,IF(M10="押三",J6/12*3*M11,J11*M11))),0)</f>
        <v>0</v>
      </c>
      <c r="K10" s="150" t="s">
        <v>2116</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3545</v>
      </c>
      <c r="D13" s="1018" t="s">
        <v>705</v>
      </c>
      <c r="E13" s="1018" t="s">
        <v>706</v>
      </c>
      <c r="F13" s="1019">
        <f ca="1">INDIRECT("'数据-取费表'!y"&amp;$G$1)</f>
        <v>0.8</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3282</v>
      </c>
      <c r="D14" s="1256" t="s">
        <v>708</v>
      </c>
      <c r="E14" s="1254"/>
      <c r="F14" s="311"/>
      <c r="G14" s="1291"/>
      <c r="H14" s="928" t="s">
        <v>398</v>
      </c>
      <c r="I14" s="294" t="s">
        <v>709</v>
      </c>
      <c r="J14" s="21">
        <f ca="1">C29</f>
        <v>4431</v>
      </c>
      <c r="K14" s="12"/>
      <c r="L14" s="759"/>
      <c r="M14" s="760"/>
    </row>
    <row r="15" spans="1:37" s="1303" customFormat="1" ht="18" customHeight="1" thickBot="1">
      <c r="A15" s="928" t="s">
        <v>399</v>
      </c>
      <c r="B15" s="294" t="s">
        <v>710</v>
      </c>
      <c r="C15" s="21">
        <f ca="1">ROUND(C14*F15,0)</f>
        <v>164</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25</v>
      </c>
      <c r="K16" s="1024" t="s">
        <v>715</v>
      </c>
      <c r="L16" s="1025"/>
      <c r="M16" s="1009"/>
    </row>
    <row r="17" spans="1:37" s="1303" customFormat="1" ht="18" customHeight="1">
      <c r="A17" s="928" t="s">
        <v>681</v>
      </c>
      <c r="B17" s="294" t="s">
        <v>716</v>
      </c>
      <c r="C17" s="21">
        <f ca="1">ROUND(F17*(F43+INDIRECT("'数据-取费表'!S"&amp;$G$1))/10000,0)</f>
        <v>131</v>
      </c>
      <c r="D17" s="294" t="s">
        <v>717</v>
      </c>
      <c r="E17" s="294" t="s">
        <v>718</v>
      </c>
      <c r="F17" s="23">
        <f>'数据-取费表'!B35</f>
        <v>200</v>
      </c>
      <c r="G17" s="1302"/>
      <c r="H17" s="928" t="s">
        <v>398</v>
      </c>
      <c r="I17" s="294" t="s">
        <v>719</v>
      </c>
      <c r="J17" s="2139">
        <f ca="1">ROUND(IF(AND(项目基本情况!B11="自然人",项目基本情况!B10="北京市"),J6*M17/(1+'数据-取费表'!C42),J18+J19+J20),2)</f>
        <v>3.26</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66</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3643</v>
      </c>
      <c r="D19" s="123" t="s">
        <v>726</v>
      </c>
      <c r="E19" s="1268"/>
      <c r="F19" s="23"/>
      <c r="G19" s="1291"/>
      <c r="H19" s="928" t="s">
        <v>399</v>
      </c>
      <c r="I19" s="294" t="s">
        <v>727</v>
      </c>
      <c r="J19" s="21">
        <f ca="1">IF(K19="按租金收入计税",ROUND(J6*M19/(1+'数据-取费表'!C42),2),ROUND(C29*M19*0.7,2))</f>
        <v>0</v>
      </c>
      <c r="K19" s="1277" t="s">
        <v>3336</v>
      </c>
      <c r="L19" s="294" t="s">
        <v>712</v>
      </c>
      <c r="M19" s="314">
        <f>IF(K19="按租金收入计税",'数据-取费表'!B51,'数据-取费表'!B50)</f>
        <v>0.12</v>
      </c>
    </row>
    <row r="20" spans="1:37" s="1303" customFormat="1" ht="18" customHeight="1">
      <c r="A20" s="928" t="s">
        <v>402</v>
      </c>
      <c r="B20" s="294" t="s">
        <v>728</v>
      </c>
      <c r="C20" s="21">
        <f ca="1">ROUND(C19*F20,0)</f>
        <v>109</v>
      </c>
      <c r="D20" s="315" t="s">
        <v>729</v>
      </c>
      <c r="E20" s="294" t="s">
        <v>712</v>
      </c>
      <c r="F20" s="314">
        <f>'数据-取费表'!B37</f>
        <v>0.03</v>
      </c>
      <c r="G20" s="1302"/>
      <c r="H20" s="928" t="s">
        <v>680</v>
      </c>
      <c r="I20" s="147" t="s">
        <v>730</v>
      </c>
      <c r="J20" s="22">
        <f ca="1">ROUND(M20*M21/10000,2)</f>
        <v>3.26</v>
      </c>
      <c r="K20" s="316" t="s">
        <v>731</v>
      </c>
      <c r="L20" s="294" t="s">
        <v>732</v>
      </c>
      <c r="M20" s="317">
        <f>'数据-取费表'!B52</f>
        <v>24</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1356.52</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22.16</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158</v>
      </c>
      <c r="D23" s="138" t="str">
        <f>IF(F23&lt;=1,"(建造成本+管理费用)×利率×(建设周期÷2)","(建造成本+管理费用)×((1+利率)^(建设周期÷2)-1)")</f>
        <v>(建造成本+管理费用)×((1+利率)^(建设周期÷2)-1)</v>
      </c>
      <c r="E23" s="294" t="s">
        <v>741</v>
      </c>
      <c r="F23" s="317">
        <f>'数据-取费表'!B20</f>
        <v>2.5</v>
      </c>
      <c r="G23" s="1302"/>
      <c r="H23" s="928" t="s">
        <v>437</v>
      </c>
      <c r="I23" s="294" t="s">
        <v>742</v>
      </c>
      <c r="J23" s="21">
        <f ca="1">ROUND(J13*M23,2)</f>
        <v>0</v>
      </c>
      <c r="K23" s="1255" t="s">
        <v>743</v>
      </c>
      <c r="L23" s="294" t="s">
        <v>712</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399</v>
      </c>
      <c r="B24" s="294" t="s">
        <v>746</v>
      </c>
      <c r="C24" s="21">
        <f ca="1">ROUND(IF('数据-取费表'!B22&lt;=1,F21*F24*F23/2,F21*(POWER((1+F24),F23/2)-1)),4)</f>
        <v>8.0000000000000004E-4</v>
      </c>
      <c r="D24" s="138" t="str">
        <f>IF(F23&lt;=1,"销售费用×利率×(建设周期÷2)","销售费用×((1+利率)^(建设周期÷2)-1)")</f>
        <v>销售费用×((1+利率)^(建设周期÷2)-1)</v>
      </c>
      <c r="E24" s="294" t="s">
        <v>747</v>
      </c>
      <c r="F24" s="322">
        <f ca="1">'数据-取费表'!B40</f>
        <v>3.3500000000000002E-2</v>
      </c>
      <c r="G24" s="1302"/>
      <c r="H24" s="1026" t="s">
        <v>683</v>
      </c>
      <c r="I24" s="1027" t="s">
        <v>728</v>
      </c>
      <c r="J24" s="1028">
        <f ca="1">ROUND(J5*M24,2)</f>
        <v>0</v>
      </c>
      <c r="K24" s="1029" t="s">
        <v>748</v>
      </c>
      <c r="L24" s="1027" t="s">
        <v>712</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-25</v>
      </c>
      <c r="K25" s="1032" t="s">
        <v>753</v>
      </c>
      <c r="L25" s="1033"/>
      <c r="M25" s="1034"/>
    </row>
    <row r="26" spans="1:37">
      <c r="A26" s="928" t="s">
        <v>397</v>
      </c>
      <c r="B26" s="294" t="s">
        <v>754</v>
      </c>
      <c r="C26" s="21">
        <f ca="1">ROUND((C19+C20)*F26,0)</f>
        <v>188</v>
      </c>
      <c r="D26" s="315" t="s">
        <v>755</v>
      </c>
      <c r="E26" s="305" t="s">
        <v>756</v>
      </c>
      <c r="F26" s="304">
        <f ca="1">INDIRECT("'数据-取费表'!q"&amp;$G$1)</f>
        <v>0.05</v>
      </c>
      <c r="G26" s="1291"/>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4431</v>
      </c>
      <c r="D29" s="1029"/>
      <c r="E29" s="1027"/>
      <c r="F29" s="1030"/>
      <c r="G29" s="1302"/>
      <c r="H29" s="325" t="s">
        <v>396</v>
      </c>
      <c r="I29" s="326" t="s">
        <v>768</v>
      </c>
      <c r="J29" s="327">
        <f ca="1">ROUND(J26/(1+F40)^F41,0)</f>
        <v>0</v>
      </c>
      <c r="K29" s="328" t="s">
        <v>769</v>
      </c>
      <c r="L29" s="329"/>
      <c r="M29" s="330">
        <f ca="1">INDIRECT("'数据-取费表'!k"&amp;$G$1)</f>
        <v>6564.97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85</v>
      </c>
      <c r="D30" s="1024" t="s">
        <v>715</v>
      </c>
      <c r="E30" s="1025"/>
      <c r="F30" s="1009"/>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57.4</v>
      </c>
      <c r="D31" s="1256" t="s">
        <v>720</v>
      </c>
      <c r="E31" s="1255" t="s">
        <v>770</v>
      </c>
      <c r="F31" s="2138" t="str">
        <f>IF(项目基本情况!B11="企业","——",IF(M47="住宅",IF(F6*F7*F8/12/(1+'数据-取费表'!F30)&gt;100000,4%,2.5%),IF(F6*F7*F8/12/(1+'数据-取费表'!F30)&gt;100000,12%,7%)))</f>
        <v>——</v>
      </c>
      <c r="G31" s="1291"/>
      <c r="H31" s="2569" t="s">
        <v>2306</v>
      </c>
      <c r="I31" s="1304"/>
      <c r="J31" s="1305"/>
      <c r="K31" s="121"/>
      <c r="L31" s="2471"/>
      <c r="M31" s="2472"/>
    </row>
    <row r="32" spans="1:37" ht="18" customHeight="1">
      <c r="A32" s="928" t="s">
        <v>397</v>
      </c>
      <c r="B32" s="294" t="s">
        <v>723</v>
      </c>
      <c r="C32" s="21">
        <f ca="1">IF(项目基本情况!B11="自然人","——",ROUND(C6*F32/(1+'数据-取费表'!C42),2))</f>
        <v>17.23</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36.909999999999997</v>
      </c>
      <c r="D33" s="1277" t="s">
        <v>3336</v>
      </c>
      <c r="E33" s="294" t="s">
        <v>712</v>
      </c>
      <c r="F33" s="314">
        <f>IF(D33="按票据","——",IF(D33="按租金收入计税",'数据-取费表'!B51,'数据-取费表'!B50))</f>
        <v>0.12</v>
      </c>
      <c r="G33" s="1291"/>
      <c r="H33" s="2473"/>
      <c r="I33" s="1304"/>
      <c r="J33" s="1305"/>
      <c r="K33" s="2474"/>
      <c r="L33" s="2473"/>
      <c r="M33" s="2473"/>
    </row>
    <row r="34" spans="1:18" ht="18" customHeight="1">
      <c r="A34" s="1006" t="s">
        <v>680</v>
      </c>
      <c r="B34" s="147" t="s">
        <v>730</v>
      </c>
      <c r="C34" s="22">
        <f ca="1">IF(项目基本情况!B11="自然人","——",ROUND(F34*F35/10000,2))</f>
        <v>3.26</v>
      </c>
      <c r="D34" s="316" t="s">
        <v>731</v>
      </c>
      <c r="E34" s="294" t="s">
        <v>732</v>
      </c>
      <c r="F34" s="317">
        <f>'数据-取费表'!B52</f>
        <v>24</v>
      </c>
      <c r="G34" s="1291"/>
      <c r="H34" s="2470"/>
      <c r="I34" s="1304"/>
      <c r="J34" s="1305"/>
      <c r="K34" s="2475"/>
      <c r="L34" s="2476"/>
      <c r="M34" s="2476"/>
    </row>
    <row r="35" spans="1:18" ht="18" customHeight="1">
      <c r="A35" s="1040"/>
      <c r="B35" s="1038"/>
      <c r="C35" s="26"/>
      <c r="D35" s="319"/>
      <c r="E35" s="294" t="s">
        <v>736</v>
      </c>
      <c r="F35" s="295">
        <f ca="1">INDIRECT("'数据-取费表'!r"&amp;$G$1)</f>
        <v>1356.52</v>
      </c>
      <c r="G35" s="1291"/>
      <c r="H35" s="2470"/>
      <c r="I35" s="1304"/>
      <c r="J35" s="1305"/>
      <c r="K35" s="2474"/>
      <c r="L35" s="2473"/>
      <c r="M35" s="2473"/>
    </row>
    <row r="36" spans="1:18" ht="18" customHeight="1">
      <c r="A36" s="1039" t="s">
        <v>402</v>
      </c>
      <c r="B36" s="294" t="s">
        <v>738</v>
      </c>
      <c r="C36" s="21">
        <f ca="1">ROUND(C29*F36,2)</f>
        <v>22.16</v>
      </c>
      <c r="D36" s="1255" t="s">
        <v>771</v>
      </c>
      <c r="E36" s="294" t="s">
        <v>712</v>
      </c>
      <c r="F36" s="320">
        <f ca="1">INDIRECT("'数据-取费表'!Ak"&amp;$G$1)</f>
        <v>5.0000000000000001E-3</v>
      </c>
      <c r="G36" s="1291"/>
      <c r="H36" s="2473"/>
      <c r="I36" s="1304"/>
      <c r="J36" s="1305"/>
      <c r="K36" s="2330"/>
      <c r="L36" s="2473"/>
      <c r="M36" s="2473"/>
    </row>
    <row r="37" spans="1:18" ht="18" customHeight="1">
      <c r="A37" s="928" t="s">
        <v>437</v>
      </c>
      <c r="B37" s="294" t="s">
        <v>742</v>
      </c>
      <c r="C37" s="21">
        <f ca="1">ROUND(C13*F37,2)</f>
        <v>3.55</v>
      </c>
      <c r="D37" s="1255" t="s">
        <v>743</v>
      </c>
      <c r="E37" s="294" t="s">
        <v>712</v>
      </c>
      <c r="F37" s="321">
        <f ca="1">INDIRECT("'数据-取费表'!Al"&amp;$G$1)</f>
        <v>1E-3</v>
      </c>
      <c r="G37" s="1291"/>
      <c r="H37" s="2473"/>
      <c r="I37" s="1304"/>
      <c r="J37" s="1305"/>
      <c r="K37" s="2330"/>
      <c r="L37" s="2473"/>
      <c r="M37" s="2473"/>
    </row>
    <row r="38" spans="1:18" ht="18" customHeight="1" thickBot="1">
      <c r="A38" s="1026" t="s">
        <v>683</v>
      </c>
      <c r="B38" s="1027" t="s">
        <v>728</v>
      </c>
      <c r="C38" s="1028">
        <f ca="1">ROUND(C5*F38,2)</f>
        <v>1.62</v>
      </c>
      <c r="D38" s="1029" t="s">
        <v>748</v>
      </c>
      <c r="E38" s="1027" t="s">
        <v>712</v>
      </c>
      <c r="F38" s="1023">
        <f ca="1">INDIRECT("'数据-取费表'!Am"&amp;$G$1)</f>
        <v>5.0000000000000001E-3</v>
      </c>
      <c r="G38" s="1291"/>
      <c r="H38" s="2473"/>
      <c r="I38" s="1304"/>
      <c r="J38" s="1305"/>
      <c r="K38" s="2471"/>
      <c r="L38" s="2473"/>
      <c r="M38" s="2473"/>
    </row>
    <row r="39" spans="1:18" ht="24.6" customHeight="1" thickTop="1">
      <c r="A39" s="1016" t="s">
        <v>394</v>
      </c>
      <c r="B39" s="1031" t="s">
        <v>752</v>
      </c>
      <c r="C39" s="302">
        <f ca="1">C5-C30</f>
        <v>238</v>
      </c>
      <c r="D39" s="1032" t="s">
        <v>753</v>
      </c>
      <c r="E39" s="1033"/>
      <c r="F39" s="1034"/>
      <c r="G39" s="1291"/>
      <c r="H39" s="2473"/>
      <c r="I39" s="1304">
        <f ca="1">C39/C5</f>
        <v>0.73684210526315785</v>
      </c>
      <c r="J39" s="1305"/>
      <c r="K39" s="2471"/>
      <c r="L39" s="2473"/>
      <c r="M39" s="2473"/>
    </row>
    <row r="40" spans="1:18" ht="18" customHeight="1">
      <c r="A40" s="291" t="s">
        <v>395</v>
      </c>
      <c r="B40" s="292" t="s">
        <v>774</v>
      </c>
      <c r="C40" s="293">
        <f ca="1">ROUND(C39*(1-((1+F42)/(1+F40))^F41)/(F40-F42),0)</f>
        <v>4130</v>
      </c>
      <c r="D40" s="316" t="s">
        <v>758</v>
      </c>
      <c r="E40" s="294" t="s">
        <v>759</v>
      </c>
      <c r="F40" s="304">
        <f ca="1">INDIRECT("'数据-取费表'!I"&amp;$G$1)</f>
        <v>0.05</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25.36</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ROUND(C40*10000/F43,0)</f>
        <v>6291</v>
      </c>
      <c r="D43" s="328" t="s">
        <v>777</v>
      </c>
      <c r="E43" s="329" t="s">
        <v>778</v>
      </c>
      <c r="F43" s="330">
        <f ca="1">INDIRECT("'数据-取费表'!k"&amp;$G$1)</f>
        <v>6564.97</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8" thickBot="1">
      <c r="A46" s="1310" t="s">
        <v>809</v>
      </c>
      <c r="C46" s="1311">
        <f ca="1">C68-C40</f>
        <v>-4542</v>
      </c>
      <c r="D46" s="1312" t="str">
        <f>C2</f>
        <v>万元</v>
      </c>
      <c r="E46" s="1306"/>
      <c r="F46" s="1306"/>
      <c r="I46" s="1313" t="s">
        <v>810</v>
      </c>
      <c r="J46" s="1314"/>
      <c r="K46" s="1315"/>
      <c r="L46" s="1316">
        <f ca="1">IF(M47="住宅",0,IF(L48&gt;J51,L60,J60))</f>
        <v>283</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t="s">
        <v>3425</v>
      </c>
      <c r="K47" s="1322" t="s">
        <v>816</v>
      </c>
      <c r="L47" s="1323">
        <f ca="1">INDIRECT("'数据-取费表'!d"&amp;$G$1)</f>
        <v>50</v>
      </c>
      <c r="M47" s="1287" t="str">
        <f>IF(ISNUMBER(FIND("住宅",C1)),"住宅","非住宅")</f>
        <v>非住宅</v>
      </c>
      <c r="O47" s="1324" t="s">
        <v>403</v>
      </c>
      <c r="P47" s="1325" t="s">
        <v>817</v>
      </c>
      <c r="Q47" s="1326">
        <f ca="1">C40+J29</f>
        <v>4130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3426</v>
      </c>
      <c r="K48" s="1329" t="s">
        <v>820</v>
      </c>
      <c r="L48" s="1330">
        <f ca="1">INDIRECT("'数据-取费表'!f"&amp;$G$1)</f>
        <v>25.36</v>
      </c>
      <c r="O48" s="1324" t="s">
        <v>404</v>
      </c>
      <c r="P48" s="1325" t="s">
        <v>821</v>
      </c>
      <c r="Q48" s="1326">
        <f ca="1">J60</f>
        <v>283</v>
      </c>
      <c r="R48" s="1326" t="s">
        <v>822</v>
      </c>
    </row>
    <row r="49" spans="1:18" s="1291" customFormat="1" ht="13.8" thickBot="1">
      <c r="A49" s="921" t="s">
        <v>439</v>
      </c>
      <c r="B49" s="1278" t="s">
        <v>779</v>
      </c>
      <c r="C49" s="1051">
        <f ca="1">ROUND(F49*F51*F50*(1-F52)/10000,0)</f>
        <v>0</v>
      </c>
      <c r="D49" s="992" t="s">
        <v>2108</v>
      </c>
      <c r="E49" s="1279" t="s">
        <v>780</v>
      </c>
      <c r="F49" s="997"/>
      <c r="H49" s="682"/>
      <c r="I49" s="1327" t="s">
        <v>823</v>
      </c>
      <c r="J49" s="1331">
        <v>1998</v>
      </c>
      <c r="K49" s="1329" t="s">
        <v>824</v>
      </c>
      <c r="L49" s="1332"/>
      <c r="O49" s="1333" t="s">
        <v>405</v>
      </c>
      <c r="P49" s="1325" t="s">
        <v>825</v>
      </c>
      <c r="Q49" s="1326">
        <f ca="1">C29</f>
        <v>4431</v>
      </c>
      <c r="R49" s="1326" t="s">
        <v>818</v>
      </c>
    </row>
    <row r="50" spans="1:18" s="1291" customFormat="1" ht="13.8" thickBot="1">
      <c r="A50" s="922"/>
      <c r="B50" s="925"/>
      <c r="C50" s="1055"/>
      <c r="D50" s="899"/>
      <c r="E50" s="993" t="s">
        <v>697</v>
      </c>
      <c r="F50" s="994">
        <f ca="1">F7</f>
        <v>6564.97</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34</v>
      </c>
      <c r="K51" s="1338" t="s">
        <v>830</v>
      </c>
      <c r="L51" s="1339">
        <f ca="1">ROUND(-PV(INDIRECT("'数据-取费表'!h"&amp;$G$1),J51,(C39-C13*C76),0),0)</f>
        <v>-175</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25.36</v>
      </c>
      <c r="R52" s="1326" t="s">
        <v>835</v>
      </c>
    </row>
    <row r="53" spans="1:18" s="1291" customFormat="1" ht="36.6"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25.36</v>
      </c>
      <c r="K53" s="3417" t="s">
        <v>837</v>
      </c>
      <c r="L53" s="3418"/>
      <c r="O53" s="1324" t="s">
        <v>409</v>
      </c>
      <c r="P53" s="1325" t="s">
        <v>838</v>
      </c>
      <c r="Q53" s="1326">
        <f ca="1">Q47+Q48</f>
        <v>4413</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0.14399999999999999</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3545</v>
      </c>
      <c r="D56" s="1351"/>
      <c r="E56" s="1352"/>
      <c r="F56" s="1344"/>
      <c r="I56" s="1353" t="s">
        <v>842</v>
      </c>
      <c r="J56" s="1354" t="s">
        <v>3427</v>
      </c>
      <c r="K56" s="1327" t="s">
        <v>843</v>
      </c>
      <c r="L56" s="1330" t="str">
        <f ca="1">IF(L48&lt;J51,"——",L48-J53)</f>
        <v>——</v>
      </c>
      <c r="O56" s="1324" t="s">
        <v>403</v>
      </c>
      <c r="P56" s="1325" t="s">
        <v>817</v>
      </c>
      <c r="Q56" s="1326">
        <f ca="1">C40+J29</f>
        <v>4130</v>
      </c>
      <c r="R56" s="1326" t="s">
        <v>818</v>
      </c>
    </row>
    <row r="57" spans="1:18" s="1291" customFormat="1" ht="24.6" thickBot="1">
      <c r="A57" s="1355"/>
      <c r="B57" s="896" t="s">
        <v>767</v>
      </c>
      <c r="C57" s="230">
        <f ca="1">C29</f>
        <v>4431</v>
      </c>
      <c r="D57" s="1356"/>
      <c r="E57" s="1357"/>
      <c r="F57" s="1358"/>
      <c r="I57" s="1359" t="s">
        <v>844</v>
      </c>
      <c r="J57" s="1360">
        <f ca="1">IF(OR(M47="住宅",J51&lt;L48,J56="是"),"——",J51-L48)</f>
        <v>8.64</v>
      </c>
      <c r="K57" s="1327" t="s">
        <v>845</v>
      </c>
      <c r="L57" s="1330" t="str">
        <f ca="1">IF(L48&lt;J51,"——",IF(L55="比较法",L49,IF(L55="基准地价",L50,L51)))</f>
        <v>——</v>
      </c>
      <c r="O57" s="1324" t="s">
        <v>404</v>
      </c>
      <c r="P57" s="1325" t="s">
        <v>846</v>
      </c>
      <c r="Q57" s="1326">
        <f ca="1">L60</f>
        <v>0</v>
      </c>
      <c r="R57" s="1326" t="s">
        <v>847</v>
      </c>
    </row>
    <row r="58" spans="1:18" s="1291" customFormat="1" ht="24.6" thickBot="1">
      <c r="A58" s="307" t="s">
        <v>393</v>
      </c>
      <c r="B58" s="904" t="s">
        <v>714</v>
      </c>
      <c r="C58" s="308">
        <f ca="1">ROUND(C59+C64+C65+C66,0)</f>
        <v>29</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3</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1772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283</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727</v>
      </c>
      <c r="C61" s="21">
        <f ca="1">IF(项目基本情况!B11="自然人","——",IF(D61="按租金收入计税",ROUND(C49*F61/(1+'数据-取费表'!C42),2),IF(D61="按房产原值计税",ROUND(C57*F61*0.7,2),INDIRECT("'数据-取费表'!Aj"&amp;$G$1))))</f>
        <v>0</v>
      </c>
      <c r="D61" s="1277" t="s">
        <v>3336</v>
      </c>
      <c r="E61" s="896" t="s">
        <v>712</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730</v>
      </c>
      <c r="C62" s="22">
        <f ca="1">IF(项目基本情况!B11="自然人","——",ROUND(F62*F63/10000,2))</f>
        <v>3.26</v>
      </c>
      <c r="D62" s="911" t="s">
        <v>731</v>
      </c>
      <c r="E62" s="896" t="s">
        <v>732</v>
      </c>
      <c r="F62" s="317">
        <f t="shared" si="0"/>
        <v>24</v>
      </c>
      <c r="I62" s="1366" t="s">
        <v>858</v>
      </c>
      <c r="J62" s="610" t="s">
        <v>859</v>
      </c>
      <c r="K62" s="610" t="s">
        <v>860</v>
      </c>
      <c r="L62" s="610" t="s">
        <v>861</v>
      </c>
      <c r="M62" s="1367" t="s">
        <v>862</v>
      </c>
      <c r="O62" s="1324" t="s">
        <v>409</v>
      </c>
      <c r="P62" s="1325" t="s">
        <v>838</v>
      </c>
      <c r="Q62" s="1326">
        <f ca="1">Q56+Q57</f>
        <v>4130</v>
      </c>
      <c r="R62" s="1326" t="s">
        <v>410</v>
      </c>
    </row>
    <row r="63" spans="1:18" s="1291" customFormat="1" ht="13.8" thickBot="1">
      <c r="A63" s="318"/>
      <c r="B63" s="902"/>
      <c r="C63" s="26"/>
      <c r="D63" s="912"/>
      <c r="E63" s="896" t="s">
        <v>736</v>
      </c>
      <c r="F63" s="295">
        <f t="shared" ca="1" si="0"/>
        <v>1356.52</v>
      </c>
      <c r="I63" s="1366" t="s">
        <v>864</v>
      </c>
      <c r="J63" s="610">
        <v>70</v>
      </c>
      <c r="K63" s="610">
        <v>50</v>
      </c>
      <c r="L63" s="610">
        <v>80</v>
      </c>
      <c r="M63" s="1368">
        <v>0.02</v>
      </c>
      <c r="O63" s="1309" t="s">
        <v>865</v>
      </c>
      <c r="P63" s="1288"/>
      <c r="Q63" s="1288"/>
      <c r="R63" s="1288"/>
    </row>
    <row r="64" spans="1:18" s="1291" customFormat="1" ht="13.8" thickBot="1">
      <c r="A64" s="928" t="s">
        <v>402</v>
      </c>
      <c r="B64" s="896" t="s">
        <v>738</v>
      </c>
      <c r="C64" s="21">
        <f ca="1">ROUND(C57*F64,2)</f>
        <v>22.16</v>
      </c>
      <c r="D64" s="910" t="s">
        <v>771</v>
      </c>
      <c r="E64" s="896" t="s">
        <v>712</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3.55</v>
      </c>
      <c r="D65" s="910" t="s">
        <v>743</v>
      </c>
      <c r="E65" s="896" t="s">
        <v>712</v>
      </c>
      <c r="F65" s="321">
        <f t="shared" ca="1" si="0"/>
        <v>1E-3</v>
      </c>
      <c r="I65" s="1366" t="s">
        <v>867</v>
      </c>
      <c r="J65" s="610">
        <v>40</v>
      </c>
      <c r="K65" s="610">
        <v>30</v>
      </c>
      <c r="L65" s="610">
        <v>50</v>
      </c>
      <c r="M65" s="1368">
        <v>0.02</v>
      </c>
      <c r="O65" s="1324" t="s">
        <v>403</v>
      </c>
      <c r="P65" s="1325" t="s">
        <v>817</v>
      </c>
      <c r="Q65" s="1326">
        <f ca="1">C40+J29</f>
        <v>4130</v>
      </c>
      <c r="R65" s="1326" t="s">
        <v>818</v>
      </c>
    </row>
    <row r="66" spans="1:18" s="1291" customFormat="1" ht="16.2" thickBot="1">
      <c r="A66" s="928" t="s">
        <v>793</v>
      </c>
      <c r="B66" s="896" t="s">
        <v>728</v>
      </c>
      <c r="C66" s="21">
        <f ca="1">ROUND(C48*F66,2)</f>
        <v>0</v>
      </c>
      <c r="D66" s="910" t="s">
        <v>748</v>
      </c>
      <c r="E66" s="896" t="s">
        <v>712</v>
      </c>
      <c r="F66" s="304">
        <f t="shared" ca="1" si="0"/>
        <v>5.0000000000000001E-3</v>
      </c>
      <c r="O66" s="1324" t="s">
        <v>404</v>
      </c>
      <c r="P66" s="1325" t="s">
        <v>846</v>
      </c>
      <c r="Q66" s="1326">
        <f ca="1">L60</f>
        <v>0</v>
      </c>
      <c r="R66" s="1326" t="s">
        <v>869</v>
      </c>
    </row>
    <row r="67" spans="1:18" s="1291" customFormat="1" ht="24.6" thickBot="1">
      <c r="A67" s="903" t="s">
        <v>394</v>
      </c>
      <c r="B67" s="913" t="s">
        <v>752</v>
      </c>
      <c r="C67" s="308">
        <f ca="1">C48-C58</f>
        <v>-29</v>
      </c>
      <c r="D67" s="909" t="s">
        <v>753</v>
      </c>
      <c r="E67" s="914"/>
      <c r="F67" s="915"/>
      <c r="O67" s="1333" t="s">
        <v>405</v>
      </c>
      <c r="P67" s="1325" t="s">
        <v>850</v>
      </c>
      <c r="Q67" s="1369">
        <f ca="1">L51</f>
        <v>-175</v>
      </c>
      <c r="R67" s="1326" t="s">
        <v>870</v>
      </c>
    </row>
    <row r="68" spans="1:18" s="1291" customFormat="1" ht="16.2" thickBot="1">
      <c r="A68" s="893" t="s">
        <v>395</v>
      </c>
      <c r="B68" s="894" t="s">
        <v>774</v>
      </c>
      <c r="C68" s="293">
        <f ca="1">ROUND(C67*(1-((1+F70)/(1+F68))^F69)/(F68-F70),0)</f>
        <v>-412</v>
      </c>
      <c r="D68" s="911" t="s">
        <v>758</v>
      </c>
      <c r="E68" s="896" t="s">
        <v>759</v>
      </c>
      <c r="F68" s="304">
        <f ca="1">F40</f>
        <v>0.05</v>
      </c>
      <c r="O68" s="1333" t="s">
        <v>406</v>
      </c>
      <c r="P68" s="1370" t="s">
        <v>871</v>
      </c>
      <c r="Q68" s="1326">
        <f ca="1">ROUND(Q69-Q70*Q71,0)</f>
        <v>-10</v>
      </c>
      <c r="R68" s="1326" t="s">
        <v>414</v>
      </c>
    </row>
    <row r="69" spans="1:18" s="1291" customFormat="1" ht="13.8" thickBot="1">
      <c r="A69" s="897"/>
      <c r="B69" s="898"/>
      <c r="C69" s="298"/>
      <c r="D69" s="916" t="s">
        <v>762</v>
      </c>
      <c r="E69" s="896" t="s">
        <v>763</v>
      </c>
      <c r="F69" s="324">
        <f ca="1">F41</f>
        <v>25.36</v>
      </c>
      <c r="O69" s="1333" t="s">
        <v>411</v>
      </c>
      <c r="P69" s="1370" t="s">
        <v>872</v>
      </c>
      <c r="Q69" s="1326">
        <f ca="1">C39</f>
        <v>238</v>
      </c>
      <c r="R69" s="1326" t="s">
        <v>818</v>
      </c>
    </row>
    <row r="70" spans="1:18" s="1291" customFormat="1" ht="13.8" thickBot="1">
      <c r="A70" s="900"/>
      <c r="B70" s="901"/>
      <c r="C70" s="302"/>
      <c r="D70" s="912"/>
      <c r="E70" s="896" t="s">
        <v>766</v>
      </c>
      <c r="F70" s="991"/>
      <c r="O70" s="1333" t="s">
        <v>412</v>
      </c>
      <c r="P70" s="1370" t="s">
        <v>873</v>
      </c>
      <c r="Q70" s="1326">
        <f ca="1">C13</f>
        <v>3545</v>
      </c>
      <c r="R70" s="1326" t="s">
        <v>818</v>
      </c>
    </row>
    <row r="71" spans="1:18" s="1291" customFormat="1" ht="13.8" thickBot="1">
      <c r="A71" s="917" t="s">
        <v>396</v>
      </c>
      <c r="B71" s="918" t="s">
        <v>776</v>
      </c>
      <c r="C71" s="327">
        <f ca="1">ROUND(C68*10000/F71,0)</f>
        <v>-628</v>
      </c>
      <c r="D71" s="919" t="s">
        <v>777</v>
      </c>
      <c r="E71" s="920" t="s">
        <v>778</v>
      </c>
      <c r="F71" s="330">
        <f ca="1">F43</f>
        <v>6564.97</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248</v>
      </c>
      <c r="D75" s="1291"/>
      <c r="E75" s="1291"/>
      <c r="F75" s="1291"/>
      <c r="K75" s="1308"/>
      <c r="L75" s="1291"/>
      <c r="O75" s="1324" t="s">
        <v>409</v>
      </c>
      <c r="P75" s="1325" t="s">
        <v>838</v>
      </c>
      <c r="Q75" s="1326">
        <f ca="1">Q65+Q66</f>
        <v>4130</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-4.2000000000000037E-2</v>
      </c>
    </row>
    <row r="80" spans="1:18">
      <c r="B80" s="331" t="s">
        <v>800</v>
      </c>
      <c r="C80" s="266">
        <f ca="1">ROUND(C75/C39,3)</f>
        <v>1.042</v>
      </c>
    </row>
    <row r="81" spans="2:3">
      <c r="B81" s="262" t="s">
        <v>801</v>
      </c>
      <c r="C81" s="230"/>
    </row>
    <row r="82" spans="2:3">
      <c r="B82" s="265" t="s">
        <v>802</v>
      </c>
      <c r="C82" s="267">
        <f ca="1">1-C83</f>
        <v>0.14200000000000002</v>
      </c>
    </row>
    <row r="83" spans="2:3">
      <c r="B83" s="265" t="s">
        <v>803</v>
      </c>
      <c r="C83" s="266">
        <f ca="1">ROUND(C13/C40,3)</f>
        <v>0.85799999999999998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K19" xr:uid="{FD220D59-2B9C-4F20-9C50-014EC29CDE1E}">
      <formula1>"按租金收入计税,按房产原值计税"</formula1>
    </dataValidation>
    <dataValidation type="list" allowBlank="1" showInputMessage="1" showErrorMessage="1" sqref="D33 D61" xr:uid="{195DE383-061F-4473-AFA7-1518EF113EBC}">
      <formula1>"按租金收入计税,按房产原值计税,按票据"</formula1>
    </dataValidation>
    <dataValidation type="list" allowBlank="1" showInputMessage="1" showErrorMessage="1" sqref="C1" xr:uid="{DF6112BE-E4A4-4F15-914A-8456827EED9F}">
      <formula1>项目类型</formula1>
    </dataValidation>
    <dataValidation type="list" allowBlank="1" showInputMessage="1" showErrorMessage="1" sqref="J47" xr:uid="{3FE29106-7A08-4795-8463-E802308C748A}">
      <formula1>"钢,钢混,砖混"</formula1>
    </dataValidation>
    <dataValidation type="list" allowBlank="1" showInputMessage="1" showErrorMessage="1" sqref="J48" xr:uid="{D394AA65-036F-401F-81C6-2E00D0AFE662}">
      <formula1>"非生产用房,生产用房,受腐蚀的生产用房"</formula1>
    </dataValidation>
    <dataValidation type="list" allowBlank="1" showInputMessage="1" showErrorMessage="1" sqref="J56" xr:uid="{1DD6EABA-61AC-4306-8030-C8F22CAE1D57}">
      <formula1>估价范围判定</formula1>
    </dataValidation>
    <dataValidation type="list" allowBlank="1" showInputMessage="1" showErrorMessage="1" sqref="L55" xr:uid="{A39A418E-F619-4979-9096-2C89E75D7E38}">
      <formula1>"比较法,基准地价,收益还原"</formula1>
    </dataValidation>
    <dataValidation type="list" allowBlank="1" showInputMessage="1" showErrorMessage="1" sqref="M10 F10 F53" xr:uid="{32CF9979-56A2-4AB5-B897-F646EAB70ED6}">
      <formula1>"押一,押二,押三,自定义"</formula1>
    </dataValidation>
    <dataValidation type="list" allowBlank="1" showInputMessage="1" showErrorMessage="1" sqref="D1" xr:uid="{BADD50B0-34C1-4E1C-90AE-D576F1FE3704}">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88" t="s">
        <v>2839</v>
      </c>
      <c r="B1" s="3488"/>
      <c r="C1" s="3488"/>
      <c r="D1" s="3488"/>
      <c r="E1" s="3488"/>
      <c r="F1" s="3488"/>
      <c r="G1" s="3489"/>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86"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87"/>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90" t="s">
        <v>3181</v>
      </c>
      <c r="B1" s="3490"/>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3"/>
  </cols>
  <sheetData>
    <row r="1" spans="1:6">
      <c r="A1" s="3491" t="s">
        <v>3232</v>
      </c>
      <c r="B1" s="3491"/>
      <c r="C1" s="3491"/>
      <c r="D1" s="3491"/>
      <c r="E1" s="3491"/>
      <c r="F1" s="3492"/>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topLeftCell="A7" zoomScaleNormal="80" zoomScaleSheetLayoutView="100" workbookViewId="0">
      <selection activeCell="E40" sqref="E40"/>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10210.14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f>C30</f>
        <v>8306</v>
      </c>
      <c r="C2" s="1845" t="s">
        <v>1935</v>
      </c>
      <c r="D2" s="162" t="s">
        <v>1936</v>
      </c>
      <c r="E2" s="3120" t="s">
        <v>21</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Ⅲ—07</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3">
        <f>ROUND(SUMPRODUCT((B106:B110=R2)*(C105:N105=G2)*(C106:N110)),4)</f>
        <v>1.5019</v>
      </c>
      <c r="T2" s="3063">
        <f t="shared" ref="T2:T16" si="0">ROUND($C$5*$C$22*$C$23*$C$24*S2*$C$28,0)</f>
        <v>30719</v>
      </c>
      <c r="U2" s="1129"/>
      <c r="V2" s="3063">
        <f>ROUND(T2*U2/10000,0)</f>
        <v>0</v>
      </c>
      <c r="W2" s="1132"/>
      <c r="X2" s="1132"/>
      <c r="Y2" s="1132"/>
      <c r="Z2" s="1132"/>
      <c r="AA2" s="1132"/>
      <c r="AB2" s="1132"/>
      <c r="AC2" s="1133"/>
      <c r="AD2" s="1134"/>
      <c r="AE2" s="1134"/>
      <c r="AF2" s="1134"/>
      <c r="AG2" s="1134"/>
      <c r="AH2" s="1134"/>
      <c r="AI2" s="1134"/>
      <c r="AJ2" s="1135"/>
    </row>
    <row r="3" spans="1:36" ht="15.6">
      <c r="A3" s="195" t="s">
        <v>1940</v>
      </c>
      <c r="B3" s="196">
        <f>ROUND(B2*10000/D1,0)</f>
        <v>8135</v>
      </c>
      <c r="C3" s="1845" t="s">
        <v>1941</v>
      </c>
      <c r="D3" s="162" t="s">
        <v>1942</v>
      </c>
      <c r="E3" s="3118" t="s">
        <v>3422</v>
      </c>
      <c r="F3" s="1847" t="s">
        <v>3460</v>
      </c>
      <c r="G3" s="708">
        <f>IF(F3="宗地容积率",'数据-汇总表'!I4,IF(F3="估价对象容积率",'数据-汇总表'!I6,'数据-汇总表'!I7))</f>
        <v>3.49</v>
      </c>
      <c r="H3" s="162" t="s">
        <v>1943</v>
      </c>
      <c r="I3" s="729"/>
      <c r="J3" s="1841" t="s">
        <v>1944</v>
      </c>
      <c r="K3" s="1056"/>
      <c r="L3" s="1846" t="s">
        <v>1945</v>
      </c>
      <c r="M3" s="811">
        <f>SUMPRODUCT((区片价!B30:B54=I2)*(区片价!C3:G3=E2)*(区片价!C30:G54))</f>
        <v>23020</v>
      </c>
      <c r="N3" s="813">
        <f>SUMPRODUCT((因素修正幅度!B30:B54=I2)*(因素修正幅度!C3:G3=E2)*(因素修正幅度!C30:G54))</f>
        <v>9.7000000000000003E-2</v>
      </c>
      <c r="O3" s="1056"/>
      <c r="P3" s="1056"/>
      <c r="Q3" s="1056"/>
      <c r="R3" s="1128">
        <v>2</v>
      </c>
      <c r="S3" s="3063">
        <f>ROUND(SUMPRODUCT((B106:B110=R3)*(C105:N105=G2)*(C106:N110)),4)</f>
        <v>1.1838</v>
      </c>
      <c r="T3" s="3063">
        <f t="shared" si="0"/>
        <v>24213</v>
      </c>
      <c r="U3" s="1129"/>
      <c r="V3" s="3063">
        <f t="shared" ref="V3:V16" si="1">ROUND(T3*U3/10000,0)</f>
        <v>0</v>
      </c>
      <c r="W3" s="1132"/>
      <c r="X3" s="1132"/>
      <c r="Y3" s="1132"/>
      <c r="Z3" s="1132"/>
      <c r="AA3" s="1132"/>
      <c r="AB3" s="1132"/>
      <c r="AC3" s="1133"/>
      <c r="AD3" s="1134"/>
      <c r="AE3" s="1134"/>
      <c r="AF3" s="1134"/>
      <c r="AG3" s="1134"/>
      <c r="AH3" s="1134"/>
      <c r="AI3" s="1134"/>
      <c r="AJ3" s="1135"/>
    </row>
    <row r="4" spans="1:36" ht="15.6">
      <c r="A4" s="3500"/>
      <c r="B4" s="3501"/>
      <c r="C4" s="3501"/>
      <c r="D4" s="3502"/>
      <c r="E4" s="3502"/>
      <c r="F4" s="3502"/>
      <c r="G4" s="3502"/>
      <c r="H4" s="3502"/>
      <c r="I4" s="3502"/>
      <c r="J4" s="3503"/>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3">
        <f>ROUND(SUMPRODUCT((B106:B110=R4)*(C105:N105=G2)*(C106:N110)),4)</f>
        <v>1.0004999999999999</v>
      </c>
      <c r="T4" s="3063">
        <f t="shared" si="0"/>
        <v>20464</v>
      </c>
      <c r="U4" s="1129"/>
      <c r="V4" s="3063">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9">
        <f>ROUND(IF(E2="商业",C6*C7*C17+C20,(IF(E2="住宅",C6*C13*C17+C20,IF(E2="办公",C6*C12*C17+C20,C6+C20)))),0)</f>
        <v>24171</v>
      </c>
      <c r="D5" s="1251">
        <f>ROUND(C6*C17+C20,0)</f>
        <v>23020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3">
        <f>ROUND(SUMPRODUCT((B106:B110=R5)*(C105:N105=G2)*(C106:N110)),4)</f>
        <v>0.88239999999999996</v>
      </c>
      <c r="T5" s="3063">
        <f t="shared" si="0"/>
        <v>18048</v>
      </c>
      <c r="U5" s="1129"/>
      <c r="V5" s="3063">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10">
        <f>SUMIF(L1:L12,G2,M1:M12)</f>
        <v>23020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3">
        <f>ROUND(SUMPRODUCT((B106:B110=R6)*(C105:N105=G2)*(C106:N110)),4)</f>
        <v>0.84799999999999998</v>
      </c>
      <c r="T6" s="3063">
        <f t="shared" si="0"/>
        <v>17345</v>
      </c>
      <c r="U6" s="1129"/>
      <c r="V6" s="3063">
        <f t="shared" si="1"/>
        <v>0</v>
      </c>
      <c r="W6" s="1132"/>
      <c r="X6" s="1132"/>
      <c r="Y6" s="1132"/>
      <c r="Z6" s="1132"/>
      <c r="AA6" s="1132"/>
      <c r="AB6" s="1132"/>
      <c r="AC6" s="1854"/>
      <c r="AD6" s="1855"/>
      <c r="AE6" s="1855"/>
      <c r="AF6" s="1855"/>
      <c r="AG6" s="1855"/>
      <c r="AH6" s="1855"/>
      <c r="AI6" s="1855"/>
      <c r="AJ6" s="1856"/>
    </row>
    <row r="7" spans="1:36" ht="24.6" thickBot="1">
      <c r="A7" s="3012" t="s">
        <v>3237</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7"/>
      <c r="T7" s="3063">
        <f t="shared" si="0"/>
        <v>0</v>
      </c>
      <c r="U7" s="1129"/>
      <c r="V7" s="3063">
        <f t="shared" si="1"/>
        <v>0</v>
      </c>
      <c r="W7" s="1266" t="s">
        <v>1955</v>
      </c>
      <c r="X7" s="1130" t="str">
        <f>G2</f>
        <v>三级</v>
      </c>
      <c r="Y7" s="1130" t="s">
        <v>1956</v>
      </c>
      <c r="Z7" s="1131">
        <f>G3</f>
        <v>3.49</v>
      </c>
      <c r="AA7" s="1132"/>
      <c r="AB7" s="1132"/>
      <c r="AC7" s="1133"/>
      <c r="AD7" s="1134"/>
      <c r="AE7" s="1134"/>
      <c r="AF7" s="1134"/>
      <c r="AG7" s="1134"/>
      <c r="AH7" s="1134"/>
      <c r="AI7" s="1134"/>
      <c r="AJ7" s="1135"/>
    </row>
    <row r="8" spans="1:36" ht="26.4">
      <c r="A8" s="3009"/>
      <c r="B8" s="162" t="s">
        <v>1957</v>
      </c>
      <c r="C8" s="1869" t="s">
        <v>3423</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3">
        <f t="shared" si="0"/>
        <v>0</v>
      </c>
      <c r="U8" s="1129"/>
      <c r="V8" s="3063">
        <f t="shared" si="1"/>
        <v>0</v>
      </c>
      <c r="W8" s="3497" t="s">
        <v>1960</v>
      </c>
      <c r="X8" s="349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3">
        <f t="shared" si="0"/>
        <v>0</v>
      </c>
      <c r="U9" s="1129"/>
      <c r="V9" s="3063">
        <f t="shared" si="1"/>
        <v>0</v>
      </c>
      <c r="W9" s="3499"/>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3">
        <f t="shared" si="0"/>
        <v>0</v>
      </c>
      <c r="U10" s="1129"/>
      <c r="V10" s="3063">
        <f t="shared" si="1"/>
        <v>0</v>
      </c>
      <c r="W10" s="3499"/>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3">
        <f t="shared" si="0"/>
        <v>0</v>
      </c>
      <c r="U11" s="1129"/>
      <c r="V11" s="3063">
        <f t="shared" si="1"/>
        <v>0</v>
      </c>
      <c r="W11" s="1132"/>
      <c r="X11" s="1132"/>
      <c r="Y11" s="1132"/>
      <c r="Z11" s="1132"/>
      <c r="AA11" s="1132"/>
      <c r="AB11" s="1132"/>
      <c r="AC11" s="1133"/>
      <c r="AD11" s="2553"/>
      <c r="AE11" s="2553"/>
      <c r="AF11" s="2553"/>
      <c r="AG11" s="2553"/>
      <c r="AH11" s="2553"/>
      <c r="AI11" s="2553"/>
      <c r="AJ11" s="2554"/>
    </row>
    <row r="12" spans="1:36" ht="25.8" thickBot="1">
      <c r="A12" s="3012" t="s">
        <v>3238</v>
      </c>
      <c r="B12" s="3013" t="s">
        <v>3239</v>
      </c>
      <c r="C12" s="3014">
        <v>1.05</v>
      </c>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3">
        <f t="shared" si="0"/>
        <v>0</v>
      </c>
      <c r="U12" s="1129"/>
      <c r="V12" s="3063">
        <f t="shared" si="1"/>
        <v>0</v>
      </c>
      <c r="W12" s="1132"/>
      <c r="X12" s="1132"/>
      <c r="Y12" s="1132"/>
      <c r="Z12" s="1132"/>
      <c r="AA12" s="1132"/>
      <c r="AB12" s="1132"/>
      <c r="AC12" s="1133"/>
      <c r="AD12" s="2553"/>
      <c r="AE12" s="2553"/>
      <c r="AF12" s="2553"/>
      <c r="AG12" s="2553"/>
      <c r="AH12" s="2553"/>
      <c r="AI12" s="2553"/>
      <c r="AJ12" s="2554"/>
    </row>
    <row r="13" spans="1:36" ht="24.6" thickBot="1">
      <c r="A13" s="3012" t="s">
        <v>3242</v>
      </c>
      <c r="B13" s="1877" t="s">
        <v>1982</v>
      </c>
      <c r="C13" s="711">
        <f>ROUND(C16*D16*E16*F16*G16*H16*I16*J16,4)</f>
        <v>0</v>
      </c>
      <c r="D13" s="1878" t="s">
        <v>1983</v>
      </c>
      <c r="E13" s="1879"/>
      <c r="F13" s="1879"/>
      <c r="G13" s="1880"/>
      <c r="H13" s="1880"/>
      <c r="I13" s="1880"/>
      <c r="J13" s="1881"/>
      <c r="K13" s="1056"/>
      <c r="L13" s="3"/>
      <c r="M13" s="4"/>
      <c r="N13" s="3010"/>
      <c r="O13" s="1056"/>
      <c r="P13" s="1056"/>
      <c r="Q13" s="1056"/>
      <c r="R13" s="1128">
        <v>12</v>
      </c>
      <c r="S13" s="1129"/>
      <c r="T13" s="3063">
        <f t="shared" si="0"/>
        <v>0</v>
      </c>
      <c r="U13" s="1129"/>
      <c r="V13" s="3063">
        <f t="shared" si="1"/>
        <v>0</v>
      </c>
      <c r="W13" s="1132"/>
      <c r="X13" s="1132"/>
      <c r="Y13" s="1132"/>
      <c r="Z13" s="1132"/>
      <c r="AA13" s="1132"/>
      <c r="AB13" s="1132"/>
      <c r="AC13" s="1133"/>
      <c r="AD13" s="2553"/>
      <c r="AE13" s="2553"/>
      <c r="AF13" s="2553"/>
      <c r="AG13" s="2553"/>
      <c r="AH13" s="2553"/>
      <c r="AI13" s="2553"/>
      <c r="AJ13" s="2554"/>
    </row>
    <row r="14" spans="1:36" ht="24">
      <c r="A14" s="3008"/>
      <c r="B14" s="1882" t="s">
        <v>1985</v>
      </c>
      <c r="C14" s="1883" t="s">
        <v>1986</v>
      </c>
      <c r="D14" s="1260" t="s">
        <v>1987</v>
      </c>
      <c r="E14" s="27" t="s">
        <v>1988</v>
      </c>
      <c r="F14" s="3020" t="s">
        <v>3243</v>
      </c>
      <c r="G14" s="3020" t="s">
        <v>3243</v>
      </c>
      <c r="H14" s="3020" t="s">
        <v>3243</v>
      </c>
      <c r="I14" s="3020" t="s">
        <v>3243</v>
      </c>
      <c r="J14" s="3020" t="s">
        <v>3243</v>
      </c>
      <c r="K14" s="1056"/>
      <c r="L14" s="1056"/>
      <c r="M14" s="1056"/>
      <c r="N14" s="1056"/>
      <c r="O14" s="1056"/>
      <c r="P14" s="1056"/>
      <c r="Q14" s="1056"/>
      <c r="R14" s="1128">
        <v>13</v>
      </c>
      <c r="S14" s="1129"/>
      <c r="T14" s="3063">
        <f t="shared" si="0"/>
        <v>0</v>
      </c>
      <c r="U14" s="1129"/>
      <c r="V14" s="3063">
        <f t="shared" si="1"/>
        <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3244</v>
      </c>
      <c r="G15" s="1927"/>
      <c r="H15" s="3021"/>
      <c r="I15" s="3022"/>
      <c r="J15" s="3023"/>
      <c r="K15" s="1056"/>
      <c r="L15" s="1056"/>
      <c r="M15" s="1056"/>
      <c r="N15" s="1056"/>
      <c r="O15" s="1056"/>
      <c r="P15" s="1056"/>
      <c r="Q15" s="1056"/>
      <c r="R15" s="1128">
        <v>14</v>
      </c>
      <c r="S15" s="1129"/>
      <c r="T15" s="3063">
        <f t="shared" si="0"/>
        <v>0</v>
      </c>
      <c r="U15" s="1129"/>
      <c r="V15" s="3063">
        <f t="shared" si="1"/>
        <v>0</v>
      </c>
      <c r="W15" s="1132"/>
      <c r="X15" s="1132"/>
      <c r="Y15" s="1132"/>
      <c r="Z15" s="1132"/>
      <c r="AA15" s="1132"/>
      <c r="AB15" s="1132"/>
      <c r="AC15" s="1133"/>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8">
        <v>15</v>
      </c>
      <c r="S16" s="1129"/>
      <c r="T16" s="3063">
        <f t="shared" si="0"/>
        <v>0</v>
      </c>
      <c r="U16" s="1129"/>
      <c r="V16" s="3063">
        <f t="shared" si="1"/>
        <v>0</v>
      </c>
      <c r="W16" s="1132"/>
      <c r="X16" s="1132"/>
      <c r="Y16" s="1132"/>
      <c r="Z16" s="1132"/>
      <c r="AA16" s="1132"/>
      <c r="AB16" s="1132"/>
      <c r="AC16" s="1133"/>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8"/>
      <c r="B18" s="2309"/>
      <c r="C18" s="3034"/>
      <c r="D18" s="3029" t="s">
        <v>3248</v>
      </c>
      <c r="E18" s="2356"/>
      <c r="F18" s="3030" t="s">
        <v>3251</v>
      </c>
      <c r="G18" s="3034">
        <f>ROUND(1-(1/(POWER(1+G24,E18))),4)</f>
        <v>0</v>
      </c>
      <c r="H18" s="3030" t="s">
        <v>3253</v>
      </c>
      <c r="I18" s="3034">
        <f>ROUND(1-(1/(POWER(1+G24,J24))),4)</f>
        <v>0.93120000000000003</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4.4"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3.8">
      <c r="A20" s="3504" t="s">
        <v>3254</v>
      </c>
      <c r="B20" s="159" t="s">
        <v>1994</v>
      </c>
      <c r="C20" s="3031">
        <f>ROUND(IF(F21="与级别开发程度一致",0,(G21-E21)/C21),0)</f>
        <v>0</v>
      </c>
      <c r="D20" s="3046" t="s">
        <v>1998</v>
      </c>
      <c r="E20" s="3047"/>
      <c r="F20" s="3510" t="s">
        <v>1995</v>
      </c>
      <c r="G20" s="3511"/>
      <c r="H20" s="3032" t="s">
        <v>3448</v>
      </c>
      <c r="I20" s="3032" t="s">
        <v>3449</v>
      </c>
      <c r="J20" s="3033" t="s">
        <v>3450</v>
      </c>
      <c r="K20" s="1888" t="s">
        <v>3451</v>
      </c>
      <c r="L20" s="1888" t="s">
        <v>3452</v>
      </c>
      <c r="M20" s="1888" t="s">
        <v>3453</v>
      </c>
      <c r="N20" s="1888" t="s">
        <v>3454</v>
      </c>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7" thickBot="1">
      <c r="A21" s="3505"/>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3462</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1" t="s">
        <v>364</v>
      </c>
      <c r="B23" s="1892"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895" t="s">
        <v>2002</v>
      </c>
      <c r="E23" s="717">
        <v>44197</v>
      </c>
      <c r="F23" s="1895" t="s">
        <v>2003</v>
      </c>
      <c r="G23" s="718">
        <f>'数据-取费表'!B2</f>
        <v>45526</v>
      </c>
      <c r="H23" s="3048" t="s">
        <v>3256</v>
      </c>
      <c r="I23" s="3049" t="str">
        <f>IF(H23="季度增幅（自定义）",SUMIF(N25:N28,E2,O25:O28),"")</f>
        <v/>
      </c>
      <c r="J23" s="3141" t="s">
        <v>3255</v>
      </c>
      <c r="K23" s="1061"/>
      <c r="L23" s="1896" t="s">
        <v>2004</v>
      </c>
      <c r="M23" s="1240">
        <f>ROUND(SUMIF(地价!B2:G2,E2,地价!B16:G16),0)</f>
        <v>350</v>
      </c>
      <c r="N23" s="1897" t="s">
        <v>2005</v>
      </c>
      <c r="O23" s="719">
        <f>ROUNDDOWN(DATEDIF(E23,G23,"M")/3,0)</f>
        <v>14</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0.79759999999999998</v>
      </c>
      <c r="D24" s="1901" t="s">
        <v>2007</v>
      </c>
      <c r="E24" s="1247">
        <f>存贷款利率!E26/100</f>
        <v>4.3499999999999997E-2</v>
      </c>
      <c r="F24" s="1901" t="s">
        <v>1999</v>
      </c>
      <c r="G24" s="724">
        <f>SUMIF(M30:Q30,E2,M33:Q33)</f>
        <v>5.5E-2</v>
      </c>
      <c r="H24" s="1901" t="s">
        <v>2008</v>
      </c>
      <c r="I24" s="725">
        <f>SUMIF('数据-取费表'!C6:C15,E2,'数据-取费表'!F6:F15)/COUNTIF('数据-取费表'!C6:C15,E2)</f>
        <v>25.36</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6" t="s">
        <v>366</v>
      </c>
      <c r="B25" s="1907" t="s">
        <v>3335</v>
      </c>
      <c r="C25" s="461">
        <f>IF(B25="容积率修正",IF(G3&lt;10,D26,J26),C27)</f>
        <v>0.9375</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3257</v>
      </c>
      <c r="D26" s="1262">
        <f>IF(E26=G26,F26,IF(G3&lt;10,ROUND(F26+(H26-F26)*(G3-E26)/(G26-E26),4),"——"))</f>
        <v>0.9375</v>
      </c>
      <c r="E26" s="708">
        <f>ROUNDDOWN(G3,1)</f>
        <v>3.4</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08">
        <f>ROUNDUP(G3,1)</f>
        <v>3.5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11" t="s">
        <v>3258</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1.0496000000000001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8306</v>
      </c>
      <c r="D30" s="1924"/>
      <c r="E30" s="1841"/>
      <c r="F30" s="1925"/>
      <c r="G30" s="1841"/>
      <c r="H30" s="1841"/>
      <c r="I30" s="1841"/>
      <c r="J30" s="1926"/>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960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19175</v>
      </c>
      <c r="D33" s="1939">
        <f>'数据-汇总表'!F19</f>
        <v>2330.09</v>
      </c>
      <c r="E33" s="727">
        <f>ROUND(C33*D33/10000,0)</f>
        <v>4468</v>
      </c>
      <c r="F33" s="3050" t="s">
        <v>3260</v>
      </c>
      <c r="G33" s="1940"/>
      <c r="H33" s="1940"/>
      <c r="I33" s="1940"/>
      <c r="J33" s="1941"/>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4794</v>
      </c>
      <c r="D34" s="1944"/>
      <c r="E34" s="727">
        <f>ROUND(IF(B25="楼层修正",SUM(V2:V16)*M40,C34*D34/10000),0)</f>
        <v>0</v>
      </c>
      <c r="F34" s="1945" t="s">
        <v>2032</v>
      </c>
      <c r="G34" s="1946"/>
      <c r="H34" s="1946"/>
      <c r="I34" s="1946"/>
      <c r="J34" s="1947"/>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3265</v>
      </c>
      <c r="L36" s="3142">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508"/>
      <c r="B37" s="1954" t="s">
        <v>2036</v>
      </c>
      <c r="C37" s="167">
        <f>ROUND(D5*C22*C23*C24*C28*F37,0)</f>
        <v>11688</v>
      </c>
      <c r="D37" s="1939"/>
      <c r="E37" s="163">
        <f>ROUND(C37*D37/10000,0)</f>
        <v>0</v>
      </c>
      <c r="F37" s="163">
        <f>SUMIF(修正!A57:A68,G2,修正!B57:B68)</f>
        <v>0.6</v>
      </c>
      <c r="G37" s="163">
        <f>ROUND(IF(E2="工业",C37*$M$42,C37*$M$41),0)</f>
        <v>2922</v>
      </c>
      <c r="H37" s="163">
        <f>D37</f>
        <v>0</v>
      </c>
      <c r="I37" s="163">
        <f>ROUND(G37*H37/10000,0)</f>
        <v>0</v>
      </c>
      <c r="J37" s="2754"/>
      <c r="K37" s="3061" t="s">
        <v>3266</v>
      </c>
      <c r="L37" s="1963">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09"/>
      <c r="B38" s="1883" t="s">
        <v>2037</v>
      </c>
      <c r="C38" s="167">
        <f>ROUND(D5*C22*C23*C24*C28*F38,0)</f>
        <v>5844</v>
      </c>
      <c r="D38" s="1939"/>
      <c r="E38" s="163">
        <f t="shared" ref="E38:E42" si="4">ROUND(C38*D38/10000,0)</f>
        <v>0</v>
      </c>
      <c r="F38" s="163">
        <f>SUMIF(修正!A57:A68,G2,修正!C57:C68)</f>
        <v>0.3</v>
      </c>
      <c r="G38" s="163">
        <f>ROUND(IF(E2="工业",C38*$M$42,C38*$M$41),0)</f>
        <v>1461</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509"/>
      <c r="B39" s="1883" t="s">
        <v>3259</v>
      </c>
      <c r="C39" s="167">
        <f>ROUND(D5*C22*C23*C24*C28*F39,0)</f>
        <v>4870</v>
      </c>
      <c r="D39" s="1939"/>
      <c r="E39" s="163">
        <f t="shared" si="4"/>
        <v>0</v>
      </c>
      <c r="F39" s="163">
        <f>SUMIF(修正!A57:A68,G2,修正!D57:D68)</f>
        <v>0.25</v>
      </c>
      <c r="G39" s="163">
        <f>ROUND(IF(E2="工业",C39*$M$42,C39*$M$41),0)</f>
        <v>1218</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4870</v>
      </c>
      <c r="D40" s="1939">
        <f>面积取值!C27+面积取值!C28</f>
        <v>7880.05</v>
      </c>
      <c r="E40" s="163">
        <f t="shared" si="4"/>
        <v>3838</v>
      </c>
      <c r="F40" s="167">
        <f>SUMIF(修正!A57:A68,G2,修正!E57:E68)</f>
        <v>0.25</v>
      </c>
      <c r="G40" s="163">
        <f>ROUND(IF(E2="工业",C40*$M$42,C40*$M$41),0)</f>
        <v>1218</v>
      </c>
      <c r="H40" s="163">
        <f t="shared" si="5"/>
        <v>7880.05</v>
      </c>
      <c r="I40" s="163">
        <f t="shared" si="6"/>
        <v>960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4870</v>
      </c>
      <c r="D41" s="1939"/>
      <c r="E41" s="163">
        <f t="shared" si="4"/>
        <v>0</v>
      </c>
      <c r="F41" s="167">
        <f>SUMIF(修正!A57:A68,G2,修正!F57:F68)</f>
        <v>0.25</v>
      </c>
      <c r="G41" s="163">
        <f>ROUND(IF(E2="工业",C41*$M$42,C41*$M$41),0)</f>
        <v>1218</v>
      </c>
      <c r="H41" s="163">
        <f t="shared" si="5"/>
        <v>0</v>
      </c>
      <c r="I41" s="163">
        <f t="shared" si="6"/>
        <v>0</v>
      </c>
      <c r="J41" s="939"/>
      <c r="L41" s="3062" t="s">
        <v>3267</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2922</v>
      </c>
      <c r="D42" s="1944"/>
      <c r="E42" s="179">
        <f t="shared" si="4"/>
        <v>0</v>
      </c>
      <c r="F42" s="723">
        <f>SUMIF(修正!A57:A68,G2,修正!G57:G68)</f>
        <v>0.15</v>
      </c>
      <c r="G42" s="179">
        <f>ROUND(IF(E2="工业",C42*$M$42,C42*$M$41),0)</f>
        <v>731</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2122</v>
      </c>
      <c r="C44" s="333">
        <f>ROUND(POWER(1+E44,H44-G44)*(POWER(1+E44,G44)-1)/(POWER(1+E44,H44)-1),4)</f>
        <v>0.79759999999999998</v>
      </c>
      <c r="D44" s="163" t="s">
        <v>1999</v>
      </c>
      <c r="E44" s="1990">
        <f>G24</f>
        <v>5.5E-2</v>
      </c>
      <c r="F44" s="163" t="s">
        <v>2008</v>
      </c>
      <c r="G44" s="175">
        <f>项目基本情况!E15</f>
        <v>25.36</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1">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39" t="str">
        <f>估价对象房地状况!C21</f>
        <v>估价对象所在区域公共配套设施齐备情况</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1.0496000000000001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t="s">
        <v>3455</v>
      </c>
      <c r="D61" s="1002">
        <f t="shared" ref="D61:D69" si="12">SUMIF($J$60:$N$60,C61,J61:N61)</f>
        <v>1.21E-2</v>
      </c>
      <c r="E61" s="702">
        <f>ROUND(SUM(D61:D69),4)</f>
        <v>4.9599999999999998E-2</v>
      </c>
      <c r="F61" s="1674">
        <f>IF(E2="办公",SUMIF(L1:L12,G2,N1:N12),"——")</f>
        <v>9.7000000000000003E-2</v>
      </c>
      <c r="G61" s="1000">
        <v>1.21E-2</v>
      </c>
      <c r="H61" s="1003">
        <f t="shared" ref="H61:H69" si="13">IFERROR(ROUNDDOWN($F$61*I61/2,4),"——")</f>
        <v>1.21E-2</v>
      </c>
      <c r="I61" s="3068">
        <v>0.25</v>
      </c>
      <c r="J61" s="1001">
        <f t="shared" ref="J61:J69" si="14">K61+$G61</f>
        <v>2.4199999999999999E-2</v>
      </c>
      <c r="K61" s="1001">
        <f t="shared" ref="K61:K69" si="15">$L61+$G61</f>
        <v>1.21E-2</v>
      </c>
      <c r="L61" s="1001">
        <v>0</v>
      </c>
      <c r="M61" s="1001">
        <f t="shared" ref="M61:N69" si="16">L61-$G61</f>
        <v>-1.21E-2</v>
      </c>
      <c r="N61" s="1001">
        <f t="shared" si="16"/>
        <v>-2.4199999999999999E-2</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t="s">
        <v>3455</v>
      </c>
      <c r="D62" s="1002">
        <f t="shared" si="12"/>
        <v>1.26E-2</v>
      </c>
      <c r="E62" s="703"/>
      <c r="F62" s="1674"/>
      <c r="G62" s="1000">
        <v>1.26E-2</v>
      </c>
      <c r="H62" s="1003">
        <f t="shared" si="13"/>
        <v>1.26E-2</v>
      </c>
      <c r="I62" s="3068">
        <v>0.26</v>
      </c>
      <c r="J62" s="1001">
        <f t="shared" si="14"/>
        <v>2.52E-2</v>
      </c>
      <c r="K62" s="1001">
        <f t="shared" si="15"/>
        <v>1.26E-2</v>
      </c>
      <c r="L62" s="1001">
        <v>0</v>
      </c>
      <c r="M62" s="1001">
        <f t="shared" si="16"/>
        <v>-1.26E-2</v>
      </c>
      <c r="N62" s="1001">
        <f t="shared" si="16"/>
        <v>-2.52E-2</v>
      </c>
      <c r="AA62" s="1057"/>
      <c r="AB62" s="1057"/>
      <c r="AC62" s="1057"/>
      <c r="AD62" s="1057"/>
      <c r="AE62" s="1057"/>
      <c r="AF62" s="1057"/>
      <c r="AG62" s="1057"/>
      <c r="AH62" s="1057"/>
      <c r="AI62" s="1057"/>
      <c r="AJ62" s="1057"/>
      <c r="AK62" s="1057"/>
    </row>
    <row r="63" spans="1:37" s="1056" customFormat="1" ht="48">
      <c r="A63" s="3070" t="s">
        <v>3269</v>
      </c>
      <c r="B63" s="1261">
        <f>估价对象房地状况!C19</f>
        <v>0</v>
      </c>
      <c r="C63" s="1886" t="s">
        <v>3455</v>
      </c>
      <c r="D63" s="1002">
        <f t="shared" si="12"/>
        <v>5.3E-3</v>
      </c>
      <c r="E63" s="703"/>
      <c r="F63" s="1674"/>
      <c r="G63" s="1000">
        <v>5.3E-3</v>
      </c>
      <c r="H63" s="1003">
        <f t="shared" si="13"/>
        <v>5.3E-3</v>
      </c>
      <c r="I63" s="3068">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t="s">
        <v>3455</v>
      </c>
      <c r="D64" s="1002">
        <f t="shared" si="12"/>
        <v>2.3999999999999998E-3</v>
      </c>
      <c r="E64" s="703"/>
      <c r="F64" s="1674"/>
      <c r="G64" s="1000">
        <v>2.3999999999999998E-3</v>
      </c>
      <c r="H64" s="1003">
        <f t="shared" si="13"/>
        <v>2.3999999999999998E-3</v>
      </c>
      <c r="I64" s="3068">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3455</v>
      </c>
      <c r="D65" s="1002">
        <f t="shared" si="12"/>
        <v>2.3999999999999998E-3</v>
      </c>
      <c r="E65" s="703"/>
      <c r="F65" s="1674"/>
      <c r="G65" s="1000">
        <v>2.3999999999999998E-3</v>
      </c>
      <c r="H65" s="1003">
        <f t="shared" si="13"/>
        <v>2.3999999999999998E-3</v>
      </c>
      <c r="I65" s="3068">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36">
      <c r="A66" s="1969" t="s">
        <v>2057</v>
      </c>
      <c r="B66" s="1974" t="s">
        <v>2058</v>
      </c>
      <c r="C66" s="1886" t="s">
        <v>3456</v>
      </c>
      <c r="D66" s="1002">
        <f t="shared" si="12"/>
        <v>0</v>
      </c>
      <c r="E66" s="703"/>
      <c r="F66" s="1674"/>
      <c r="G66" s="1000">
        <v>2.8999999999999998E-3</v>
      </c>
      <c r="H66" s="1003">
        <f t="shared" si="13"/>
        <v>2.8999999999999998E-3</v>
      </c>
      <c r="I66" s="3068">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6.4">
      <c r="A67" s="1969" t="s">
        <v>2059</v>
      </c>
      <c r="B67" s="1239" t="str">
        <f>估价对象房地状况!C21</f>
        <v>估价对象所在区域公共配套设施齐备情况</v>
      </c>
      <c r="C67" s="1886" t="s">
        <v>3455</v>
      </c>
      <c r="D67" s="1002">
        <f t="shared" si="12"/>
        <v>2.8999999999999998E-3</v>
      </c>
      <c r="E67" s="703"/>
      <c r="F67" s="1674"/>
      <c r="G67" s="1000">
        <v>2.8999999999999998E-3</v>
      </c>
      <c r="H67" s="1003">
        <f t="shared" si="13"/>
        <v>2.8999999999999998E-3</v>
      </c>
      <c r="I67" s="3068">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6.4">
      <c r="A68" s="1969" t="s">
        <v>2060</v>
      </c>
      <c r="B68" s="1239" t="str">
        <f>估价对象房地状况!C22</f>
        <v>估价对象所在区域基础设施水平</v>
      </c>
      <c r="C68" s="3166" t="s">
        <v>3461</v>
      </c>
      <c r="D68" s="1002">
        <f t="shared" si="12"/>
        <v>8.6E-3</v>
      </c>
      <c r="E68" s="703"/>
      <c r="F68" s="1674"/>
      <c r="G68" s="1000">
        <v>4.3E-3</v>
      </c>
      <c r="H68" s="1003">
        <f t="shared" si="13"/>
        <v>4.3E-3</v>
      </c>
      <c r="I68" s="3068">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t="s">
        <v>3455</v>
      </c>
      <c r="D69" s="1002">
        <f t="shared" si="12"/>
        <v>3.3E-3</v>
      </c>
      <c r="E69" s="704"/>
      <c r="F69" s="1674"/>
      <c r="G69" s="1000">
        <v>3.3E-3</v>
      </c>
      <c r="H69" s="1003">
        <f t="shared" si="13"/>
        <v>3.3E-3</v>
      </c>
      <c r="I69" s="3069">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70" t="s">
        <v>3269</v>
      </c>
      <c r="B74" s="1261">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39" t="str">
        <f>估价对象房地状况!C21</f>
        <v>估价对象所在区域公共配套设施齐备情况</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39" t="str">
        <f>估价对象房地状况!C22</f>
        <v>估价对象所在区域基础设施水平</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48">
      <c r="A85" s="3070" t="s">
        <v>3270</v>
      </c>
      <c r="B85" s="1261">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39" t="str">
        <f>估价对象房地状况!G19</f>
        <v>估价对象所在区域公共配套设施齐备情况</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6.4">
      <c r="A88" s="1969" t="s">
        <v>2060</v>
      </c>
      <c r="B88" s="1239" t="str">
        <f>估价对象房地状况!G20</f>
        <v>估价对象所在区域基础设施水平</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4"/>
      <c r="F91" s="1674"/>
      <c r="G91" s="3074"/>
      <c r="H91" s="3075"/>
      <c r="I91" s="3076"/>
      <c r="J91" s="3077"/>
      <c r="K91" s="3077"/>
      <c r="L91" s="3077"/>
      <c r="M91" s="3077"/>
      <c r="N91" s="3077"/>
    </row>
    <row r="92" spans="1:37" ht="25.2">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52.8">
      <c r="A94" s="3080" t="s">
        <v>3273</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48">
      <c r="A95" s="3070" t="s">
        <v>3269</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7.200000000000003">
      <c r="A96" s="3080" t="s">
        <v>3274</v>
      </c>
      <c r="B96" s="3086" t="s">
        <v>3285</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3275</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36">
      <c r="A98" s="3080" t="s">
        <v>3276</v>
      </c>
      <c r="B98" s="3087" t="s">
        <v>3286</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6.4">
      <c r="A99" s="3080" t="s">
        <v>3277</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6.4">
      <c r="A100" s="3080" t="s">
        <v>3278</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40.200000000000003" thickBot="1">
      <c r="A101" s="3081" t="s">
        <v>3279</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506" t="s">
        <v>3294</v>
      </c>
      <c r="B103" s="3506"/>
      <c r="C103" s="3506"/>
      <c r="D103" s="3506"/>
      <c r="E103" s="3506"/>
      <c r="F103" s="3506"/>
      <c r="G103" s="3506"/>
      <c r="H103" s="3506"/>
      <c r="I103" s="3506"/>
      <c r="J103" s="3506"/>
      <c r="K103" s="1666"/>
      <c r="L103" s="1666"/>
      <c r="M103" s="1666"/>
      <c r="N103" s="1666"/>
    </row>
    <row r="104" spans="1:14">
      <c r="A104" s="3507" t="s">
        <v>3295</v>
      </c>
      <c r="B104" s="3507" t="s">
        <v>3296</v>
      </c>
      <c r="C104" s="3090" t="s">
        <v>3297</v>
      </c>
      <c r="D104" s="3091"/>
      <c r="E104" s="3091"/>
      <c r="F104" s="3091"/>
      <c r="G104" s="3091"/>
      <c r="H104" s="3091"/>
      <c r="I104" s="3091"/>
      <c r="J104" s="3092"/>
      <c r="K104" s="3093"/>
      <c r="L104" s="3093"/>
      <c r="M104" s="3093"/>
      <c r="N104" s="3093"/>
    </row>
    <row r="105" spans="1:14">
      <c r="A105" s="3507"/>
      <c r="B105" s="3507"/>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93"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94"/>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94"/>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94"/>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94"/>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94"/>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95"/>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96" t="s">
        <v>3311</v>
      </c>
      <c r="B113" s="3496"/>
      <c r="C113" s="3496"/>
      <c r="D113" s="3496"/>
      <c r="E113" s="3496"/>
      <c r="F113" s="3496"/>
      <c r="G113" s="3496"/>
      <c r="H113" s="3496"/>
      <c r="I113" s="3496"/>
      <c r="J113" s="3496"/>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8" thickBot="1">
      <c r="A115" s="3097"/>
      <c r="B115" s="3097"/>
      <c r="C115" s="3097"/>
      <c r="D115" s="3097"/>
      <c r="E115" s="3097"/>
      <c r="F115" s="3097"/>
      <c r="G115" s="3097"/>
      <c r="H115" s="3097"/>
      <c r="I115" s="3097"/>
      <c r="J115" s="3097"/>
      <c r="K115" s="1963"/>
      <c r="L115" s="3097"/>
      <c r="M115" s="3097"/>
      <c r="N115" s="3097"/>
    </row>
    <row r="116" spans="1:14" ht="25.8" thickBot="1">
      <c r="A116" s="3098" t="s">
        <v>3312</v>
      </c>
      <c r="B116" s="3114">
        <f>G3</f>
        <v>3.49</v>
      </c>
      <c r="C116" s="3099" t="s">
        <v>3313</v>
      </c>
      <c r="D116" s="3100">
        <f>SUMPRODUCT((A118:A122=F116)*(B117:M117=H116)*B118:M122)</f>
        <v>0.89190000000000003</v>
      </c>
      <c r="E116" s="162" t="s">
        <v>3314</v>
      </c>
      <c r="F116" s="3101" t="str">
        <f>E2</f>
        <v>办公</v>
      </c>
      <c r="G116" s="162" t="s">
        <v>3315</v>
      </c>
      <c r="H116" s="3101" t="str">
        <f>G2</f>
        <v>三级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0.95840000000000003</v>
      </c>
      <c r="C118" s="3089">
        <f>B118</f>
        <v>0.95840000000000003</v>
      </c>
      <c r="D118" s="3089">
        <f>ROUND(0.949-0.014*B116,4)</f>
        <v>0.90010000000000001</v>
      </c>
      <c r="E118" s="3089">
        <f>D118</f>
        <v>0.90010000000000001</v>
      </c>
      <c r="F118" s="3089">
        <f>E118</f>
        <v>0.90010000000000001</v>
      </c>
      <c r="G118" s="3089">
        <f>F118</f>
        <v>0.90010000000000001</v>
      </c>
      <c r="H118" s="3089">
        <f>G118</f>
        <v>0.90010000000000001</v>
      </c>
      <c r="I118" s="3089">
        <f>ROUND(0.8486-0.018*B116,4)</f>
        <v>0.78580000000000005</v>
      </c>
      <c r="J118" s="3089">
        <f t="shared" ref="J118:M122" si="35">I118</f>
        <v>0.78580000000000005</v>
      </c>
      <c r="K118" s="3089">
        <f t="shared" si="35"/>
        <v>0.78580000000000005</v>
      </c>
      <c r="L118" s="3089">
        <f t="shared" si="35"/>
        <v>0.78580000000000005</v>
      </c>
      <c r="M118" s="3109">
        <f t="shared" si="35"/>
        <v>0.78580000000000005</v>
      </c>
      <c r="N118" s="3097"/>
    </row>
    <row r="119" spans="1:14">
      <c r="A119" s="3057" t="s">
        <v>3329</v>
      </c>
      <c r="B119" s="3089">
        <f>ROUND(0.993-0.0112*B116,4)</f>
        <v>0.95389999999999997</v>
      </c>
      <c r="C119" s="3089">
        <f>B119</f>
        <v>0.95389999999999997</v>
      </c>
      <c r="D119" s="3089">
        <f>ROUND(0.9415-0.0142*B116,4)</f>
        <v>0.89190000000000003</v>
      </c>
      <c r="E119" s="3089">
        <f t="shared" ref="E119:H120" si="36">D119</f>
        <v>0.89190000000000003</v>
      </c>
      <c r="F119" s="3089">
        <f t="shared" si="36"/>
        <v>0.89190000000000003</v>
      </c>
      <c r="G119" s="3089">
        <f t="shared" si="36"/>
        <v>0.89190000000000003</v>
      </c>
      <c r="H119" s="3089">
        <f t="shared" si="36"/>
        <v>0.89190000000000003</v>
      </c>
      <c r="I119" s="3089">
        <f>ROUND(0.838-0.0182*B116,4)</f>
        <v>0.77449999999999997</v>
      </c>
      <c r="J119" s="3089">
        <f t="shared" si="35"/>
        <v>0.77449999999999997</v>
      </c>
      <c r="K119" s="3089">
        <f t="shared" si="35"/>
        <v>0.77449999999999997</v>
      </c>
      <c r="L119" s="3089">
        <f t="shared" si="35"/>
        <v>0.77449999999999997</v>
      </c>
      <c r="M119" s="3109">
        <f t="shared" si="35"/>
        <v>0.77449999999999997</v>
      </c>
      <c r="N119" s="3097"/>
    </row>
    <row r="120" spans="1:14">
      <c r="A120" s="3057" t="s">
        <v>3330</v>
      </c>
      <c r="B120" s="3089">
        <f>ROUND(0.9448-0.0115*B116,4)</f>
        <v>0.90469999999999995</v>
      </c>
      <c r="C120" s="3089">
        <f>B120</f>
        <v>0.90469999999999995</v>
      </c>
      <c r="D120" s="3089">
        <f>ROUND(0.937-0.0145*B116,4)</f>
        <v>0.88639999999999997</v>
      </c>
      <c r="E120" s="3089">
        <f t="shared" si="36"/>
        <v>0.88639999999999997</v>
      </c>
      <c r="F120" s="3089">
        <f t="shared" si="36"/>
        <v>0.88639999999999997</v>
      </c>
      <c r="G120" s="3089">
        <f t="shared" si="36"/>
        <v>0.88639999999999997</v>
      </c>
      <c r="H120" s="3089">
        <f t="shared" si="36"/>
        <v>0.88639999999999997</v>
      </c>
      <c r="I120" s="3089">
        <f>ROUND(0.7965-0.0185*B116,4)</f>
        <v>0.7319</v>
      </c>
      <c r="J120" s="3089">
        <f t="shared" si="35"/>
        <v>0.7319</v>
      </c>
      <c r="K120" s="3089">
        <f t="shared" si="35"/>
        <v>0.7319</v>
      </c>
      <c r="L120" s="3089">
        <f t="shared" si="35"/>
        <v>0.7319</v>
      </c>
      <c r="M120" s="3109">
        <f t="shared" si="35"/>
        <v>0.7319</v>
      </c>
      <c r="N120" s="3097"/>
    </row>
    <row r="121" spans="1:14" ht="13.8" thickBot="1">
      <c r="A121" s="3110" t="s">
        <v>3331</v>
      </c>
      <c r="B121" s="3111">
        <f>ROUND(0.7836-0.012*B116,4)</f>
        <v>0.74170000000000003</v>
      </c>
      <c r="C121" s="3111">
        <f>B121</f>
        <v>0.74170000000000003</v>
      </c>
      <c r="D121" s="3111">
        <f>ROUND(0.753-0.015*B116,4)</f>
        <v>0.70069999999999999</v>
      </c>
      <c r="E121" s="3111">
        <f>D121</f>
        <v>0.70069999999999999</v>
      </c>
      <c r="F121" s="3111">
        <f>E121</f>
        <v>0.70069999999999999</v>
      </c>
      <c r="G121" s="3111">
        <f>ROUND(0.6612-0.018*B116,4)</f>
        <v>0.59840000000000004</v>
      </c>
      <c r="H121" s="3111">
        <f>G121</f>
        <v>0.59840000000000004</v>
      </c>
      <c r="I121" s="3111">
        <f>ROUND(0.5905-0.019*B116,4)</f>
        <v>0.5242</v>
      </c>
      <c r="J121" s="3111">
        <f t="shared" si="35"/>
        <v>0.5242</v>
      </c>
      <c r="K121" s="3111">
        <f t="shared" si="35"/>
        <v>0.5242</v>
      </c>
      <c r="L121" s="3111">
        <f t="shared" si="35"/>
        <v>0.5242</v>
      </c>
      <c r="M121" s="3112">
        <f t="shared" si="35"/>
        <v>0.5242</v>
      </c>
      <c r="N121" s="3097"/>
    </row>
    <row r="122" spans="1:14">
      <c r="A122" s="3113" t="s">
        <v>2612</v>
      </c>
      <c r="B122" s="3089">
        <f>ROUND(0.9404-0.0106*B116,4)</f>
        <v>0.90339999999999998</v>
      </c>
      <c r="C122" s="3089">
        <f>B122</f>
        <v>0.90339999999999998</v>
      </c>
      <c r="D122" s="3089">
        <f>ROUND(0.8955-0.0135*B116,4)</f>
        <v>0.84840000000000004</v>
      </c>
      <c r="E122" s="3089">
        <f t="shared" ref="E122:H122" si="37">D122</f>
        <v>0.84840000000000004</v>
      </c>
      <c r="F122" s="3089">
        <f t="shared" si="37"/>
        <v>0.84840000000000004</v>
      </c>
      <c r="G122" s="3089">
        <f t="shared" si="37"/>
        <v>0.84840000000000004</v>
      </c>
      <c r="H122" s="3089">
        <f t="shared" si="37"/>
        <v>0.84840000000000004</v>
      </c>
      <c r="I122" s="3089">
        <f>ROUND(0.7632-0.0166*B116,4)</f>
        <v>0.70530000000000004</v>
      </c>
      <c r="J122" s="3089">
        <f t="shared" si="35"/>
        <v>0.70530000000000004</v>
      </c>
      <c r="K122" s="3089">
        <f t="shared" si="35"/>
        <v>0.70530000000000004</v>
      </c>
      <c r="L122" s="3089">
        <f t="shared" si="35"/>
        <v>0.70530000000000004</v>
      </c>
      <c r="M122" s="3109">
        <f t="shared" si="35"/>
        <v>0.70530000000000004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B00-000000000000}">
      <formula1>"500米范围内,500-1000米,1000米以外"</formula1>
    </dataValidation>
    <dataValidation type="list" allowBlank="1" showInputMessage="1" showErrorMessage="1" sqref="C15:D15" xr:uid="{00000000-0002-0000-2B00-000001000000}">
      <formula1>"有,无"</formula1>
    </dataValidation>
    <dataValidation type="list" allowBlank="1" showInputMessage="1" showErrorMessage="1" sqref="B25" xr:uid="{00000000-0002-0000-2B00-000002000000}">
      <formula1>"容积率修正,楼层修正"</formula1>
    </dataValidation>
    <dataValidation type="list" allowBlank="1" showInputMessage="1" showErrorMessage="1" sqref="F21" xr:uid="{00000000-0002-0000-2B00-000003000000}">
      <formula1>"与级别开发程度一致,与级别开发程度不一致"</formula1>
    </dataValidation>
    <dataValidation type="list" allowBlank="1" showInputMessage="1" showErrorMessage="1" sqref="E2" xr:uid="{00000000-0002-0000-2B00-000004000000}">
      <formula1>"商业,办公,住宅,工业,公共服务"</formula1>
    </dataValidation>
    <dataValidation type="list" allowBlank="1" showInputMessage="1" showErrorMessage="1" sqref="F3" xr:uid="{00000000-0002-0000-2B00-000005000000}">
      <formula1>"宗地容积率,估价对象容积率,自定义容积率"</formula1>
    </dataValidation>
    <dataValidation type="list" allowBlank="1" showInputMessage="1" showErrorMessage="1" sqref="C8" xr:uid="{00000000-0002-0000-2B00-000006000000}">
      <formula1>商业街名称</formula1>
    </dataValidation>
    <dataValidation type="list" allowBlank="1" showInputMessage="1" showErrorMessage="1" sqref="E3" xr:uid="{00000000-0002-0000-2B00-000007000000}">
      <formula1>二级分类</formula1>
    </dataValidation>
    <dataValidation type="list" allowBlank="1" showInputMessage="1" showErrorMessage="1" sqref="C61:C69 C72:C80 C50:C58 C83:C91 C93:C101" xr:uid="{00000000-0002-0000-2B00-000008000000}">
      <formula1>五等判定</formula1>
    </dataValidation>
    <dataValidation type="list" allowBlank="1" showInputMessage="1" showErrorMessage="1" sqref="H23" xr:uid="{00000000-0002-0000-2B00-000009000000}">
      <formula1>"地价指数,季度增幅（自定义）,按公示增长率计算"</formula1>
    </dataValidation>
    <dataValidation type="list" allowBlank="1" showInputMessage="1" showErrorMessage="1" sqref="H20:O20" xr:uid="{00000000-0002-0000-2B00-00000A000000}">
      <formula1>七通一平</formula1>
    </dataValidation>
    <dataValidation type="list" allowBlank="1" showInputMessage="1" showErrorMessage="1" sqref="J23" xr:uid="{00000000-0002-0000-2B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2937">
        <f>基准地价修正!G23</f>
        <v>45526</v>
      </c>
      <c r="B1" s="2929" t="s">
        <v>3371</v>
      </c>
      <c r="C1" s="2930"/>
      <c r="D1" s="2930"/>
      <c r="E1" s="2930"/>
      <c r="F1" s="2930"/>
      <c r="G1" s="2930"/>
      <c r="H1" s="2930"/>
      <c r="I1" s="2930"/>
      <c r="J1" s="2896"/>
      <c r="K1" s="2930" t="s">
        <v>454</v>
      </c>
      <c r="L1" s="2930"/>
      <c r="M1" s="2930"/>
      <c r="N1" s="2930"/>
      <c r="O1" s="2930"/>
      <c r="P1" s="2930"/>
      <c r="Q1" s="2896"/>
      <c r="R1" s="3512" t="s">
        <v>456</v>
      </c>
      <c r="S1" s="3513"/>
      <c r="T1" s="3513"/>
      <c r="U1" s="3513"/>
      <c r="V1" s="3513"/>
      <c r="W1" s="3513"/>
      <c r="X1" s="2896"/>
      <c r="Y1" s="3512" t="s">
        <v>457</v>
      </c>
      <c r="Z1" s="3513"/>
      <c r="AA1" s="3513"/>
      <c r="AB1" s="3513"/>
      <c r="AC1" s="3513"/>
      <c r="AD1" s="3513"/>
    </row>
    <row r="2" spans="1:30" s="2009" customFormat="1" ht="1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row>
    <row r="3" spans="1:30" s="2886" customFormat="1" ht="13.2">
      <c r="A3" s="2884" t="s">
        <v>2819</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8" customFormat="1" ht="13.2">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3.2">
      <c r="A5" s="2039" t="s">
        <v>3377</v>
      </c>
      <c r="B5" s="2030">
        <v>2024</v>
      </c>
      <c r="C5" s="2041">
        <v>3</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3.2">
      <c r="A6" s="2907" t="s">
        <v>3378</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4" customFormat="1" ht="13.2">
      <c r="A7" s="2905" t="s">
        <v>3380</v>
      </c>
      <c r="B7" s="2030">
        <v>2024</v>
      </c>
      <c r="C7" s="2041">
        <v>1</v>
      </c>
      <c r="D7" s="2006">
        <v>0.08</v>
      </c>
      <c r="E7" s="2006">
        <v>0.46</v>
      </c>
      <c r="F7" s="2006">
        <v>-0.16</v>
      </c>
      <c r="G7" s="2006">
        <v>0.26</v>
      </c>
      <c r="H7" s="2917">
        <v>0.59</v>
      </c>
      <c r="I7" s="2007">
        <v>0</v>
      </c>
      <c r="J7" s="2906"/>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6"/>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6"/>
      <c r="Y7" s="2027"/>
      <c r="Z7" s="2027"/>
      <c r="AA7" s="2027"/>
      <c r="AB7" s="2027"/>
      <c r="AC7" s="2027"/>
      <c r="AD7" s="2027"/>
    </row>
    <row r="8" spans="1:30" s="2044" customFormat="1" ht="13.2">
      <c r="A8" s="2905" t="s">
        <v>3375</v>
      </c>
      <c r="B8" s="2030">
        <v>2023</v>
      </c>
      <c r="C8" s="2041">
        <v>4</v>
      </c>
      <c r="D8" s="2006">
        <v>0.19</v>
      </c>
      <c r="E8" s="2006">
        <v>0.24</v>
      </c>
      <c r="F8" s="2006">
        <v>-0.16</v>
      </c>
      <c r="G8" s="2006">
        <v>0.17</v>
      </c>
      <c r="H8" s="2917">
        <v>0.61</v>
      </c>
      <c r="I8" s="2007">
        <f>F8</f>
        <v>-0.16</v>
      </c>
      <c r="J8" s="2906"/>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6"/>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6"/>
      <c r="Y8" s="2027"/>
      <c r="Z8" s="2027"/>
      <c r="AA8" s="2027"/>
      <c r="AB8" s="2027"/>
      <c r="AC8" s="2027"/>
      <c r="AD8" s="2027"/>
    </row>
    <row r="9" spans="1:30" s="2044" customFormat="1" ht="13.2">
      <c r="A9" s="2905" t="s">
        <v>3374</v>
      </c>
      <c r="B9" s="2030">
        <v>2023</v>
      </c>
      <c r="C9" s="2041">
        <v>3</v>
      </c>
      <c r="D9" s="2006">
        <v>0.25</v>
      </c>
      <c r="E9" s="2006">
        <v>0.5</v>
      </c>
      <c r="F9" s="2006">
        <v>0.31</v>
      </c>
      <c r="G9" s="2006">
        <v>0.21</v>
      </c>
      <c r="H9" s="2917">
        <v>0.43</v>
      </c>
      <c r="I9" s="2007">
        <f t="shared" si="15"/>
        <v>0.31</v>
      </c>
      <c r="J9" s="2906"/>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6"/>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6"/>
      <c r="Y9" s="2027"/>
      <c r="Z9" s="2027"/>
      <c r="AA9" s="2027"/>
      <c r="AB9" s="2027"/>
      <c r="AC9" s="2027"/>
      <c r="AD9" s="2027"/>
    </row>
    <row r="10" spans="1:30" s="2044" customFormat="1" ht="13.2">
      <c r="A10" s="2905" t="s">
        <v>3370</v>
      </c>
      <c r="B10" s="2030">
        <v>2023</v>
      </c>
      <c r="C10" s="2041">
        <v>2</v>
      </c>
      <c r="D10" s="2006">
        <v>0.91</v>
      </c>
      <c r="E10" s="2006">
        <v>0.66</v>
      </c>
      <c r="F10" s="2006">
        <v>0.47</v>
      </c>
      <c r="G10" s="2006">
        <v>0.96</v>
      </c>
      <c r="H10" s="2917">
        <v>0.71</v>
      </c>
      <c r="I10" s="2007">
        <f t="shared" si="15"/>
        <v>0.47</v>
      </c>
      <c r="J10" s="2906"/>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6"/>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6"/>
      <c r="Y10" s="2027"/>
      <c r="Z10" s="2027"/>
      <c r="AA10" s="2027"/>
      <c r="AB10" s="2027"/>
      <c r="AC10" s="2027"/>
      <c r="AD10" s="2027"/>
    </row>
    <row r="11" spans="1:30" s="2044" customFormat="1" ht="13.2">
      <c r="A11" s="2905" t="s">
        <v>3369</v>
      </c>
      <c r="B11" s="2030">
        <v>2023</v>
      </c>
      <c r="C11" s="2041">
        <v>1</v>
      </c>
      <c r="D11" s="2006">
        <v>0.89</v>
      </c>
      <c r="E11" s="2006">
        <v>0.74</v>
      </c>
      <c r="F11" s="2006">
        <v>0.56999999999999995</v>
      </c>
      <c r="G11" s="2006">
        <v>0.92</v>
      </c>
      <c r="H11" s="2917">
        <v>0.5</v>
      </c>
      <c r="I11" s="2007">
        <f t="shared" si="15"/>
        <v>0.56999999999999995</v>
      </c>
      <c r="J11" s="2906"/>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6"/>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6"/>
      <c r="Y11" s="2027"/>
      <c r="Z11" s="2027"/>
      <c r="AA11" s="2027"/>
      <c r="AB11" s="2027"/>
      <c r="AC11" s="2027"/>
      <c r="AD11" s="2027"/>
    </row>
    <row r="12" spans="1:30" s="2044" customFormat="1" ht="13.2">
      <c r="A12" s="2905" t="s">
        <v>3368</v>
      </c>
      <c r="B12" s="2030">
        <v>2022</v>
      </c>
      <c r="C12" s="2041">
        <v>4</v>
      </c>
      <c r="D12" s="2006">
        <v>0.62</v>
      </c>
      <c r="E12" s="2006">
        <v>0.2</v>
      </c>
      <c r="F12" s="2006">
        <v>0.11</v>
      </c>
      <c r="G12" s="2006">
        <v>0.69</v>
      </c>
      <c r="H12" s="2917">
        <v>0.53</v>
      </c>
      <c r="I12" s="2007">
        <f t="shared" si="15"/>
        <v>0.11</v>
      </c>
      <c r="J12" s="2906"/>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6"/>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6"/>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3.2">
      <c r="A13" s="2905" t="s">
        <v>3364</v>
      </c>
      <c r="B13" s="2030">
        <v>2022</v>
      </c>
      <c r="C13" s="2041">
        <v>3</v>
      </c>
      <c r="D13" s="2006">
        <v>0.66</v>
      </c>
      <c r="E13" s="2006">
        <v>0.32</v>
      </c>
      <c r="F13" s="2006">
        <v>0.23</v>
      </c>
      <c r="G13" s="2006">
        <v>0.72</v>
      </c>
      <c r="H13" s="2917">
        <v>0.63</v>
      </c>
      <c r="I13" s="2007">
        <f t="shared" si="15"/>
        <v>0.23</v>
      </c>
      <c r="J13" s="2906"/>
      <c r="K13" s="2042">
        <f t="shared" si="16"/>
        <v>6.6E-3</v>
      </c>
      <c r="L13" s="2027">
        <f t="shared" si="16"/>
        <v>3.2000000000000002E-3</v>
      </c>
      <c r="M13" s="2027">
        <f t="shared" si="16"/>
        <v>2.3E-3</v>
      </c>
      <c r="N13" s="2027">
        <f t="shared" si="16"/>
        <v>7.1999999999999998E-3</v>
      </c>
      <c r="O13" s="2027">
        <f t="shared" si="16"/>
        <v>6.3E-3</v>
      </c>
      <c r="P13" s="2027">
        <f t="shared" si="36"/>
        <v>2.3E-3</v>
      </c>
      <c r="Q13" s="2906"/>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6"/>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3.2">
      <c r="A14" s="2905" t="s">
        <v>3355</v>
      </c>
      <c r="B14" s="2030">
        <v>2022</v>
      </c>
      <c r="C14" s="2041">
        <v>2</v>
      </c>
      <c r="D14" s="2006">
        <v>0.93</v>
      </c>
      <c r="E14" s="2006">
        <v>0.15</v>
      </c>
      <c r="F14" s="2006">
        <v>0.01</v>
      </c>
      <c r="G14" s="2006">
        <v>1.05</v>
      </c>
      <c r="H14" s="2917">
        <v>1.08</v>
      </c>
      <c r="I14" s="2007">
        <f t="shared" si="15"/>
        <v>0.01</v>
      </c>
      <c r="J14" s="2906"/>
      <c r="K14" s="2042">
        <f t="shared" si="16"/>
        <v>9.300000000000001E-3</v>
      </c>
      <c r="L14" s="2027">
        <f t="shared" si="16"/>
        <v>1.5E-3</v>
      </c>
      <c r="M14" s="2027">
        <f t="shared" si="16"/>
        <v>1E-4</v>
      </c>
      <c r="N14" s="2027">
        <f t="shared" si="16"/>
        <v>1.0500000000000001E-2</v>
      </c>
      <c r="O14" s="2027">
        <f t="shared" si="16"/>
        <v>1.0800000000000001E-2</v>
      </c>
      <c r="P14" s="2027">
        <f t="shared" si="36"/>
        <v>1E-4</v>
      </c>
      <c r="Q14" s="2906"/>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6"/>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3.2">
      <c r="A15" s="2905" t="s">
        <v>2820</v>
      </c>
      <c r="B15" s="2030">
        <v>2022</v>
      </c>
      <c r="C15" s="2041">
        <v>1</v>
      </c>
      <c r="D15" s="2006">
        <v>0.89</v>
      </c>
      <c r="E15" s="2006">
        <v>0.44</v>
      </c>
      <c r="F15" s="2006">
        <v>0.37</v>
      </c>
      <c r="G15" s="2006">
        <v>0.96</v>
      </c>
      <c r="H15" s="2917">
        <v>0.64</v>
      </c>
      <c r="I15" s="2007">
        <f t="shared" si="15"/>
        <v>0.37</v>
      </c>
      <c r="J15" s="2906"/>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6"/>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6"/>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3.2">
      <c r="A16" s="2905" t="s">
        <v>2821</v>
      </c>
      <c r="B16" s="2030">
        <v>2021</v>
      </c>
      <c r="C16" s="2041">
        <v>4</v>
      </c>
      <c r="D16" s="2006">
        <v>1.03</v>
      </c>
      <c r="E16" s="2006">
        <v>0.24</v>
      </c>
      <c r="F16" s="2006">
        <v>7.0000000000000007E-2</v>
      </c>
      <c r="G16" s="2006">
        <v>1.17</v>
      </c>
      <c r="H16" s="2917">
        <v>0.55000000000000004</v>
      </c>
      <c r="I16" s="2007">
        <f t="shared" si="15"/>
        <v>7.0000000000000007E-2</v>
      </c>
      <c r="J16" s="2906"/>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6"/>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6"/>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3.2">
      <c r="A17" s="2905" t="s">
        <v>2822</v>
      </c>
      <c r="B17" s="2030">
        <v>2021</v>
      </c>
      <c r="C17" s="2041">
        <v>3</v>
      </c>
      <c r="D17" s="2006">
        <v>0.47</v>
      </c>
      <c r="E17" s="2006">
        <v>0.41</v>
      </c>
      <c r="F17" s="2006">
        <v>0.24</v>
      </c>
      <c r="G17" s="2006">
        <v>0.48</v>
      </c>
      <c r="H17" s="2917">
        <v>0.48</v>
      </c>
      <c r="I17" s="2007">
        <f t="shared" si="15"/>
        <v>0.24</v>
      </c>
      <c r="J17" s="2906"/>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6"/>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6"/>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3.2">
      <c r="A18" s="2905" t="s">
        <v>2823</v>
      </c>
      <c r="B18" s="2030">
        <v>2021</v>
      </c>
      <c r="C18" s="2041">
        <v>2</v>
      </c>
      <c r="D18" s="2006">
        <v>0.92</v>
      </c>
      <c r="E18" s="2006">
        <v>0.72</v>
      </c>
      <c r="F18" s="2006">
        <v>0.41</v>
      </c>
      <c r="G18" s="2006">
        <v>0.95</v>
      </c>
      <c r="H18" s="2917">
        <v>1.01</v>
      </c>
      <c r="I18" s="2007">
        <f t="shared" si="15"/>
        <v>0.41</v>
      </c>
      <c r="J18" s="2906"/>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6"/>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6"/>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8" customFormat="1" ht="13.8" thickBot="1">
      <c r="A19" s="2918" t="s">
        <v>2824</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5" thickTop="1"/>
    <row r="21" spans="1:30">
      <c r="A21" s="3143" t="s">
        <v>3366</v>
      </c>
    </row>
    <row r="22" spans="1:30">
      <c r="I22" s="1404" t="s">
        <v>2825</v>
      </c>
    </row>
    <row r="24" spans="1:30" s="2008" customFormat="1" ht="13.2">
      <c r="B24" s="2929" t="s">
        <v>3372</v>
      </c>
      <c r="C24" s="2930"/>
      <c r="D24" s="2930"/>
      <c r="E24" s="2930"/>
      <c r="F24" s="2930"/>
      <c r="G24" s="2930"/>
      <c r="H24" s="2930"/>
      <c r="I24" s="2930"/>
      <c r="J24" s="2896"/>
      <c r="K24" s="2930" t="s">
        <v>2826</v>
      </c>
      <c r="L24" s="2930"/>
      <c r="M24" s="2930"/>
      <c r="N24" s="2930"/>
      <c r="O24" s="2930"/>
      <c r="P24" s="2930"/>
      <c r="Q24" s="2896"/>
      <c r="R24" s="3512" t="s">
        <v>2827</v>
      </c>
      <c r="S24" s="3513"/>
      <c r="T24" s="3513"/>
      <c r="U24" s="3513"/>
      <c r="V24" s="3513"/>
      <c r="W24" s="3513"/>
      <c r="X24" s="2896"/>
      <c r="Y24" s="3512" t="s">
        <v>2828</v>
      </c>
      <c r="Z24" s="3513"/>
      <c r="AA24" s="3513"/>
      <c r="AB24" s="3513"/>
      <c r="AC24" s="3513"/>
      <c r="AD24" s="3513"/>
    </row>
    <row r="25" spans="1:30" s="2009" customFormat="1" ht="15" thickBot="1">
      <c r="B25" s="2881"/>
      <c r="C25" s="2882"/>
      <c r="D25" s="2010" t="s">
        <v>2829</v>
      </c>
      <c r="E25" s="2011" t="s">
        <v>2830</v>
      </c>
      <c r="F25" s="2011" t="s">
        <v>2831</v>
      </c>
      <c r="G25" s="2011" t="s">
        <v>2832</v>
      </c>
      <c r="H25" s="2011"/>
      <c r="I25" s="2011" t="s">
        <v>2833</v>
      </c>
      <c r="J25" s="2883"/>
      <c r="K25" s="2010" t="s">
        <v>2829</v>
      </c>
      <c r="L25" s="2011" t="s">
        <v>2830</v>
      </c>
      <c r="M25" s="2011" t="s">
        <v>2831</v>
      </c>
      <c r="N25" s="2011" t="s">
        <v>2832</v>
      </c>
      <c r="O25" s="2011"/>
      <c r="P25" s="2011" t="s">
        <v>2833</v>
      </c>
      <c r="Q25" s="2883"/>
      <c r="R25" s="2010" t="s">
        <v>2829</v>
      </c>
      <c r="S25" s="2011" t="s">
        <v>2830</v>
      </c>
      <c r="T25" s="2011" t="s">
        <v>2831</v>
      </c>
      <c r="U25" s="2011" t="s">
        <v>2832</v>
      </c>
      <c r="V25" s="2011"/>
      <c r="W25" s="2011" t="s">
        <v>2833</v>
      </c>
      <c r="X25" s="2883"/>
      <c r="Y25" s="2010" t="s">
        <v>2829</v>
      </c>
      <c r="Z25" s="2011" t="s">
        <v>2830</v>
      </c>
      <c r="AA25" s="2011" t="s">
        <v>2831</v>
      </c>
      <c r="AB25" s="2011" t="s">
        <v>2832</v>
      </c>
      <c r="AC25" s="2011"/>
      <c r="AD25" s="2011" t="s">
        <v>2833</v>
      </c>
    </row>
    <row r="26" spans="1:30" s="2886" customFormat="1" ht="13.2">
      <c r="A26" s="2884" t="s">
        <v>2834</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8" customFormat="1" ht="13.2">
      <c r="B27" s="2024"/>
      <c r="J27" s="2896"/>
      <c r="K27" s="2897"/>
      <c r="L27" s="2898"/>
      <c r="M27" s="2898"/>
      <c r="N27" s="2898"/>
      <c r="O27" s="2898"/>
      <c r="P27" s="2898"/>
      <c r="Q27" s="2896"/>
      <c r="R27" s="2026"/>
      <c r="S27" s="2899"/>
      <c r="T27" s="2900"/>
      <c r="U27" s="2026"/>
      <c r="V27" s="2901"/>
      <c r="W27" s="2026"/>
      <c r="X27" s="2896"/>
      <c r="Y27" s="2027"/>
      <c r="Z27" s="2902"/>
      <c r="AA27" s="2903"/>
      <c r="AB27" s="2027"/>
      <c r="AC27" s="2904"/>
      <c r="AD27" s="2027"/>
    </row>
    <row r="28" spans="1:30" s="2044" customFormat="1" ht="13.2">
      <c r="A28" s="2039" t="s">
        <v>3377</v>
      </c>
      <c r="B28" s="2030">
        <v>2024</v>
      </c>
      <c r="C28" s="2041">
        <v>3</v>
      </c>
      <c r="D28" s="2006"/>
      <c r="E28" s="2006">
        <v>0</v>
      </c>
      <c r="F28" s="2006">
        <v>0</v>
      </c>
      <c r="G28" s="2006">
        <v>0</v>
      </c>
      <c r="H28" s="2006"/>
      <c r="I28" s="2007">
        <f t="shared" ref="I28" si="47">F28</f>
        <v>0</v>
      </c>
      <c r="J28" s="2906"/>
      <c r="K28" s="2042"/>
      <c r="L28" s="2027">
        <f t="shared" ref="L28" si="48">E28/100</f>
        <v>0</v>
      </c>
      <c r="M28" s="2027">
        <f t="shared" ref="M28" si="49">F28/100</f>
        <v>0</v>
      </c>
      <c r="N28" s="2027">
        <f t="shared" ref="N28" si="50">G28/100</f>
        <v>0</v>
      </c>
      <c r="O28" s="2027"/>
      <c r="P28" s="2027">
        <f>M28</f>
        <v>0</v>
      </c>
      <c r="Q28" s="2906"/>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6"/>
      <c r="Y28" s="2027"/>
      <c r="Z28" s="2902">
        <f t="shared" ref="Z28:AB29" si="51">IF(E28=0,0,ROUND(AVERAGE(E28:E41)/100,4))</f>
        <v>0</v>
      </c>
      <c r="AA28" s="2902">
        <f t="shared" si="51"/>
        <v>0</v>
      </c>
      <c r="AB28" s="2902">
        <f t="shared" si="51"/>
        <v>0</v>
      </c>
      <c r="AC28" s="2904"/>
      <c r="AD28" s="2027">
        <f>IF(I28=0,0,ROUND(AVERAGE(I28:I41)/100,4))</f>
        <v>0</v>
      </c>
    </row>
    <row r="29" spans="1:30" s="2916" customFormat="1" ht="13.2">
      <c r="A29" s="2907" t="s">
        <v>3378</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4" customFormat="1" ht="13.2">
      <c r="A30" s="2905" t="s">
        <v>3379</v>
      </c>
      <c r="B30" s="2030">
        <v>2024</v>
      </c>
      <c r="C30" s="2041">
        <v>1</v>
      </c>
      <c r="D30" s="2006"/>
      <c r="E30" s="2006">
        <v>0.25</v>
      </c>
      <c r="F30" s="2006">
        <v>0.4</v>
      </c>
      <c r="G30" s="2006">
        <v>-0.63</v>
      </c>
      <c r="H30" s="2917"/>
      <c r="I30" s="2007">
        <f t="shared" ref="I30:I31" si="54">F30</f>
        <v>0.4</v>
      </c>
      <c r="J30" s="2906"/>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6"/>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6"/>
      <c r="Y30" s="2027"/>
      <c r="Z30" s="2902"/>
      <c r="AA30" s="2903"/>
      <c r="AB30" s="2027"/>
      <c r="AC30" s="2904"/>
      <c r="AD30" s="2027"/>
    </row>
    <row r="31" spans="1:30" s="2044" customFormat="1" ht="13.2">
      <c r="A31" s="2905" t="s">
        <v>3376</v>
      </c>
      <c r="B31" s="2030">
        <v>2023</v>
      </c>
      <c r="C31" s="2041">
        <v>4</v>
      </c>
      <c r="D31" s="2006"/>
      <c r="E31" s="2006">
        <v>7.0000000000000007E-2</v>
      </c>
      <c r="F31" s="2006">
        <v>0.09</v>
      </c>
      <c r="G31" s="2006">
        <v>0.03</v>
      </c>
      <c r="H31" s="2917"/>
      <c r="I31" s="2007">
        <f t="shared" si="54"/>
        <v>0.09</v>
      </c>
      <c r="J31" s="2906"/>
      <c r="K31" s="2042"/>
      <c r="L31" s="2027">
        <f t="shared" si="53"/>
        <v>7.000000000000001E-4</v>
      </c>
      <c r="M31" s="2027">
        <f t="shared" si="53"/>
        <v>8.9999999999999998E-4</v>
      </c>
      <c r="N31" s="2027">
        <f t="shared" si="53"/>
        <v>2.9999999999999997E-4</v>
      </c>
      <c r="O31" s="2027"/>
      <c r="P31" s="2027">
        <f t="shared" ref="P31" si="60">M31</f>
        <v>8.9999999999999998E-4</v>
      </c>
      <c r="Q31" s="2906"/>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6"/>
      <c r="Y31" s="2027"/>
      <c r="Z31" s="2902"/>
      <c r="AA31" s="2903"/>
      <c r="AB31" s="2027"/>
      <c r="AC31" s="2904"/>
      <c r="AD31" s="2027"/>
    </row>
    <row r="32" spans="1:30" s="2044" customFormat="1" ht="13.2">
      <c r="A32" s="2905" t="s">
        <v>3374</v>
      </c>
      <c r="B32" s="2030">
        <v>2023</v>
      </c>
      <c r="C32" s="2041">
        <v>3</v>
      </c>
      <c r="D32" s="2006"/>
      <c r="E32" s="2006">
        <v>0.35</v>
      </c>
      <c r="F32" s="2006">
        <v>0.17</v>
      </c>
      <c r="G32" s="2006">
        <v>0.52</v>
      </c>
      <c r="H32" s="2917"/>
      <c r="I32" s="2007">
        <f t="shared" si="52"/>
        <v>0.17</v>
      </c>
      <c r="J32" s="2906"/>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6"/>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6"/>
      <c r="Y32" s="2027"/>
      <c r="Z32" s="2902"/>
      <c r="AA32" s="2903"/>
      <c r="AB32" s="2027"/>
      <c r="AC32" s="2904"/>
      <c r="AD32" s="2027"/>
    </row>
    <row r="33" spans="1:30" s="2044" customFormat="1" ht="13.2">
      <c r="A33" s="2905" t="s">
        <v>3373</v>
      </c>
      <c r="B33" s="2030">
        <v>2023</v>
      </c>
      <c r="C33" s="2041">
        <v>2</v>
      </c>
      <c r="D33" s="2006"/>
      <c r="E33" s="2006">
        <v>0.5</v>
      </c>
      <c r="F33" s="2006">
        <v>0.45</v>
      </c>
      <c r="G33" s="2006">
        <v>0.89</v>
      </c>
      <c r="H33" s="2917"/>
      <c r="I33" s="2007">
        <f t="shared" si="52"/>
        <v>0.45</v>
      </c>
      <c r="J33" s="2906"/>
      <c r="K33" s="2042"/>
      <c r="L33" s="2027">
        <f t="shared" si="62"/>
        <v>5.0000000000000001E-3</v>
      </c>
      <c r="M33" s="2027">
        <f t="shared" si="63"/>
        <v>4.5000000000000005E-3</v>
      </c>
      <c r="N33" s="2027">
        <f t="shared" si="64"/>
        <v>8.8999999999999999E-3</v>
      </c>
      <c r="O33" s="2027"/>
      <c r="P33" s="2027">
        <f t="shared" si="65"/>
        <v>4.5000000000000005E-3</v>
      </c>
      <c r="Q33" s="2906"/>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6"/>
      <c r="Y33" s="2027"/>
      <c r="Z33" s="2902"/>
      <c r="AA33" s="2903"/>
      <c r="AB33" s="2027"/>
      <c r="AC33" s="2904"/>
      <c r="AD33" s="2027"/>
    </row>
    <row r="34" spans="1:30" s="2044" customFormat="1" ht="13.2">
      <c r="A34" s="2905" t="s">
        <v>3369</v>
      </c>
      <c r="B34" s="2030">
        <v>2023</v>
      </c>
      <c r="C34" s="2041">
        <v>1</v>
      </c>
      <c r="D34" s="2006"/>
      <c r="E34" s="2006">
        <v>0.55000000000000004</v>
      </c>
      <c r="F34" s="2006">
        <v>0.59</v>
      </c>
      <c r="G34" s="2006">
        <v>0.64</v>
      </c>
      <c r="H34" s="2917"/>
      <c r="I34" s="2007">
        <f t="shared" si="52"/>
        <v>0.59</v>
      </c>
      <c r="J34" s="2906"/>
      <c r="K34" s="2042"/>
      <c r="L34" s="2027">
        <f t="shared" si="62"/>
        <v>5.5000000000000005E-3</v>
      </c>
      <c r="M34" s="2027">
        <f t="shared" si="63"/>
        <v>5.8999999999999999E-3</v>
      </c>
      <c r="N34" s="2027">
        <f t="shared" si="64"/>
        <v>6.4000000000000003E-3</v>
      </c>
      <c r="O34" s="2027"/>
      <c r="P34" s="2027">
        <f t="shared" si="65"/>
        <v>5.8999999999999999E-3</v>
      </c>
      <c r="Q34" s="2906"/>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6"/>
      <c r="Y34" s="2027"/>
      <c r="Z34" s="2902"/>
      <c r="AA34" s="2903"/>
      <c r="AB34" s="2027"/>
      <c r="AC34" s="2904"/>
      <c r="AD34" s="2027"/>
    </row>
    <row r="35" spans="1:30" s="2044" customFormat="1" ht="13.2">
      <c r="A35" s="2905" t="s">
        <v>3368</v>
      </c>
      <c r="B35" s="2030">
        <v>2022</v>
      </c>
      <c r="C35" s="2041">
        <v>4</v>
      </c>
      <c r="D35" s="2006"/>
      <c r="E35" s="2006">
        <v>0.45</v>
      </c>
      <c r="F35" s="2006">
        <v>0.2</v>
      </c>
      <c r="G35" s="2006">
        <v>0.38</v>
      </c>
      <c r="H35" s="2917"/>
      <c r="I35" s="2007">
        <f t="shared" si="52"/>
        <v>0.2</v>
      </c>
      <c r="J35" s="2906"/>
      <c r="K35" s="2042"/>
      <c r="L35" s="2027">
        <f t="shared" si="53"/>
        <v>4.5000000000000005E-3</v>
      </c>
      <c r="M35" s="2027">
        <f t="shared" si="53"/>
        <v>2E-3</v>
      </c>
      <c r="N35" s="2027">
        <f t="shared" si="53"/>
        <v>3.8E-3</v>
      </c>
      <c r="O35" s="2027"/>
      <c r="P35" s="2027">
        <f t="shared" ref="P35:P42" si="67">M35</f>
        <v>2E-3</v>
      </c>
      <c r="Q35" s="2906"/>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6"/>
      <c r="Y35" s="2027"/>
      <c r="Z35" s="2902">
        <f t="shared" ref="Z35:AD42" si="69">IF(E35=0,0,ROUND(AVERAGE(E35:E43)/100,4))</f>
        <v>4.0000000000000001E-3</v>
      </c>
      <c r="AA35" s="2903">
        <f t="shared" si="69"/>
        <v>2.5999999999999999E-3</v>
      </c>
      <c r="AB35" s="2027">
        <f t="shared" si="69"/>
        <v>7.4000000000000003E-3</v>
      </c>
      <c r="AC35" s="2904"/>
      <c r="AD35" s="2027">
        <f t="shared" si="69"/>
        <v>2.5999999999999999E-3</v>
      </c>
    </row>
    <row r="36" spans="1:30" s="2044" customFormat="1" ht="13.2">
      <c r="A36" s="2905" t="s">
        <v>3365</v>
      </c>
      <c r="B36" s="2030">
        <v>2022</v>
      </c>
      <c r="C36" s="2041">
        <v>3</v>
      </c>
      <c r="D36" s="2006"/>
      <c r="E36" s="2006">
        <v>0.3</v>
      </c>
      <c r="F36" s="2006">
        <v>0.28999999999999998</v>
      </c>
      <c r="G36" s="2006">
        <v>0.83</v>
      </c>
      <c r="H36" s="2917"/>
      <c r="I36" s="2007">
        <f t="shared" si="52"/>
        <v>0.28999999999999998</v>
      </c>
      <c r="J36" s="2906"/>
      <c r="K36" s="2042"/>
      <c r="L36" s="2027">
        <f t="shared" si="53"/>
        <v>3.0000000000000001E-3</v>
      </c>
      <c r="M36" s="2027">
        <f t="shared" si="53"/>
        <v>2.8999999999999998E-3</v>
      </c>
      <c r="N36" s="2027">
        <f t="shared" si="53"/>
        <v>8.3000000000000001E-3</v>
      </c>
      <c r="O36" s="2027"/>
      <c r="P36" s="2027">
        <f t="shared" si="67"/>
        <v>2.8999999999999998E-3</v>
      </c>
      <c r="Q36" s="2906"/>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6"/>
      <c r="Y36" s="2027"/>
      <c r="Z36" s="2902">
        <f t="shared" si="69"/>
        <v>3.8999999999999998E-3</v>
      </c>
      <c r="AA36" s="2903">
        <f t="shared" si="69"/>
        <v>2.7000000000000001E-3</v>
      </c>
      <c r="AB36" s="2027">
        <f t="shared" si="69"/>
        <v>7.9000000000000008E-3</v>
      </c>
      <c r="AC36" s="2904"/>
      <c r="AD36" s="2027">
        <f t="shared" si="69"/>
        <v>2.7000000000000001E-3</v>
      </c>
    </row>
    <row r="37" spans="1:30" s="2044" customFormat="1" ht="13.2">
      <c r="A37" s="2905" t="s">
        <v>3355</v>
      </c>
      <c r="B37" s="2030">
        <v>2022</v>
      </c>
      <c r="C37" s="2041">
        <v>2</v>
      </c>
      <c r="D37" s="2006"/>
      <c r="E37" s="2006">
        <v>-0.11</v>
      </c>
      <c r="F37" s="2006">
        <v>-0.13</v>
      </c>
      <c r="G37" s="2006">
        <v>0.53</v>
      </c>
      <c r="H37" s="2917"/>
      <c r="I37" s="2007">
        <f t="shared" si="52"/>
        <v>-0.13</v>
      </c>
      <c r="J37" s="2906"/>
      <c r="K37" s="2042"/>
      <c r="L37" s="2027">
        <f t="shared" si="53"/>
        <v>-1.1000000000000001E-3</v>
      </c>
      <c r="M37" s="2027">
        <f t="shared" si="53"/>
        <v>-1.2999999999999999E-3</v>
      </c>
      <c r="N37" s="2027">
        <f t="shared" si="53"/>
        <v>5.3E-3</v>
      </c>
      <c r="O37" s="2027"/>
      <c r="P37" s="2027">
        <f t="shared" si="67"/>
        <v>-1.2999999999999999E-3</v>
      </c>
      <c r="Q37" s="2906"/>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6"/>
      <c r="Y37" s="2027"/>
      <c r="Z37" s="2902">
        <f t="shared" si="69"/>
        <v>4.1000000000000003E-3</v>
      </c>
      <c r="AA37" s="2903">
        <f t="shared" si="69"/>
        <v>2.7000000000000001E-3</v>
      </c>
      <c r="AB37" s="2027">
        <f t="shared" si="69"/>
        <v>7.9000000000000008E-3</v>
      </c>
      <c r="AC37" s="2904"/>
      <c r="AD37" s="2027">
        <f t="shared" si="69"/>
        <v>2.7000000000000001E-3</v>
      </c>
    </row>
    <row r="38" spans="1:30" s="2044" customFormat="1" ht="13.2">
      <c r="A38" s="2905" t="s">
        <v>2835</v>
      </c>
      <c r="B38" s="2030">
        <v>2022</v>
      </c>
      <c r="C38" s="2041">
        <v>1</v>
      </c>
      <c r="D38" s="2006"/>
      <c r="E38" s="2006">
        <v>0.6</v>
      </c>
      <c r="F38" s="2006">
        <v>0.45</v>
      </c>
      <c r="G38" s="2006">
        <v>0.53</v>
      </c>
      <c r="H38" s="2917"/>
      <c r="I38" s="2007">
        <f t="shared" si="52"/>
        <v>0.45</v>
      </c>
      <c r="J38" s="2906"/>
      <c r="K38" s="2042"/>
      <c r="L38" s="2027">
        <f t="shared" si="53"/>
        <v>6.0000000000000001E-3</v>
      </c>
      <c r="M38" s="2027">
        <f t="shared" si="53"/>
        <v>4.5000000000000005E-3</v>
      </c>
      <c r="N38" s="2027">
        <f t="shared" si="53"/>
        <v>5.3E-3</v>
      </c>
      <c r="O38" s="2027"/>
      <c r="P38" s="2027">
        <f t="shared" si="67"/>
        <v>4.5000000000000005E-3</v>
      </c>
      <c r="Q38" s="2906"/>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6"/>
      <c r="Y38" s="2027"/>
      <c r="Z38" s="2902">
        <f t="shared" si="69"/>
        <v>5.1000000000000004E-3</v>
      </c>
      <c r="AA38" s="2903">
        <f t="shared" si="69"/>
        <v>3.5000000000000001E-3</v>
      </c>
      <c r="AB38" s="2027">
        <f t="shared" si="69"/>
        <v>8.3999999999999995E-3</v>
      </c>
      <c r="AC38" s="2904"/>
      <c r="AD38" s="2027">
        <f t="shared" si="69"/>
        <v>3.5000000000000001E-3</v>
      </c>
    </row>
    <row r="39" spans="1:30" s="2044" customFormat="1" ht="13.2">
      <c r="A39" s="2905" t="s">
        <v>2836</v>
      </c>
      <c r="B39" s="2030">
        <v>2021</v>
      </c>
      <c r="C39" s="2041">
        <v>4</v>
      </c>
      <c r="D39" s="2006"/>
      <c r="E39" s="2006">
        <v>0.57999999999999996</v>
      </c>
      <c r="F39" s="2006">
        <v>0.08</v>
      </c>
      <c r="G39" s="2006">
        <v>0.68</v>
      </c>
      <c r="H39" s="2917"/>
      <c r="I39" s="2007">
        <f t="shared" si="52"/>
        <v>0.08</v>
      </c>
      <c r="J39" s="2906"/>
      <c r="K39" s="2042"/>
      <c r="L39" s="2027">
        <f t="shared" si="53"/>
        <v>5.7999999999999996E-3</v>
      </c>
      <c r="M39" s="2027">
        <f t="shared" si="53"/>
        <v>8.0000000000000004E-4</v>
      </c>
      <c r="N39" s="2027">
        <f t="shared" si="53"/>
        <v>6.8000000000000005E-3</v>
      </c>
      <c r="O39" s="2027"/>
      <c r="P39" s="2027">
        <f t="shared" si="67"/>
        <v>8.0000000000000004E-4</v>
      </c>
      <c r="Q39" s="2906"/>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6"/>
      <c r="Y39" s="2027"/>
      <c r="Z39" s="2902">
        <f t="shared" si="69"/>
        <v>4.8999999999999998E-3</v>
      </c>
      <c r="AA39" s="2903">
        <f t="shared" si="69"/>
        <v>3.3E-3</v>
      </c>
      <c r="AB39" s="2027">
        <f t="shared" si="69"/>
        <v>9.1999999999999998E-3</v>
      </c>
      <c r="AC39" s="2904"/>
      <c r="AD39" s="2027">
        <f t="shared" si="69"/>
        <v>3.3E-3</v>
      </c>
    </row>
    <row r="40" spans="1:30" s="2044" customFormat="1" ht="13.2">
      <c r="A40" s="2905" t="s">
        <v>2837</v>
      </c>
      <c r="B40" s="2030">
        <v>2021</v>
      </c>
      <c r="C40" s="2041">
        <v>3</v>
      </c>
      <c r="D40" s="2006"/>
      <c r="E40" s="2006">
        <v>0.47</v>
      </c>
      <c r="F40" s="2006">
        <v>0.28000000000000003</v>
      </c>
      <c r="G40" s="2006">
        <v>0.91</v>
      </c>
      <c r="H40" s="2917"/>
      <c r="I40" s="2007">
        <f t="shared" si="52"/>
        <v>0.28000000000000003</v>
      </c>
      <c r="J40" s="2906"/>
      <c r="K40" s="2042"/>
      <c r="L40" s="2027">
        <f t="shared" si="53"/>
        <v>4.6999999999999993E-3</v>
      </c>
      <c r="M40" s="2027">
        <f t="shared" si="53"/>
        <v>2.8000000000000004E-3</v>
      </c>
      <c r="N40" s="2027">
        <f t="shared" si="53"/>
        <v>9.1000000000000004E-3</v>
      </c>
      <c r="O40" s="2027"/>
      <c r="P40" s="2027">
        <f t="shared" si="67"/>
        <v>2.8000000000000004E-3</v>
      </c>
      <c r="Q40" s="2906"/>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6"/>
      <c r="Y40" s="2027"/>
      <c r="Z40" s="2902">
        <f t="shared" si="69"/>
        <v>4.5999999999999999E-3</v>
      </c>
      <c r="AA40" s="2903">
        <f t="shared" si="69"/>
        <v>4.1000000000000003E-3</v>
      </c>
      <c r="AB40" s="2027">
        <f t="shared" si="69"/>
        <v>0.01</v>
      </c>
      <c r="AC40" s="2904"/>
      <c r="AD40" s="2027">
        <f t="shared" si="69"/>
        <v>4.1000000000000003E-3</v>
      </c>
    </row>
    <row r="41" spans="1:30" s="2044" customFormat="1" ht="13.2">
      <c r="A41" s="2905" t="s">
        <v>2838</v>
      </c>
      <c r="B41" s="2030">
        <v>2021</v>
      </c>
      <c r="C41" s="2041">
        <v>2</v>
      </c>
      <c r="D41" s="2006"/>
      <c r="E41" s="2006">
        <v>0.55000000000000004</v>
      </c>
      <c r="F41" s="2006">
        <v>0.46</v>
      </c>
      <c r="G41" s="2006">
        <v>1.1000000000000001</v>
      </c>
      <c r="H41" s="2917"/>
      <c r="I41" s="2007">
        <f t="shared" si="52"/>
        <v>0.46</v>
      </c>
      <c r="J41" s="2906"/>
      <c r="K41" s="2042"/>
      <c r="L41" s="2027">
        <f t="shared" si="53"/>
        <v>5.5000000000000005E-3</v>
      </c>
      <c r="M41" s="2027">
        <f t="shared" si="53"/>
        <v>4.5999999999999999E-3</v>
      </c>
      <c r="N41" s="2027">
        <f t="shared" si="53"/>
        <v>1.1000000000000001E-2</v>
      </c>
      <c r="O41" s="2027"/>
      <c r="P41" s="2027">
        <f t="shared" si="67"/>
        <v>4.5999999999999999E-3</v>
      </c>
      <c r="Q41" s="2906"/>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6"/>
      <c r="Y41" s="2027"/>
      <c r="Z41" s="2902">
        <f t="shared" si="69"/>
        <v>4.4999999999999997E-3</v>
      </c>
      <c r="AA41" s="2903">
        <f t="shared" si="69"/>
        <v>4.7000000000000002E-3</v>
      </c>
      <c r="AB41" s="2027">
        <f t="shared" si="69"/>
        <v>1.04E-2</v>
      </c>
      <c r="AC41" s="2904"/>
      <c r="AD41" s="2027">
        <f t="shared" si="69"/>
        <v>4.7000000000000002E-3</v>
      </c>
    </row>
    <row r="42" spans="1:30" s="2928" customFormat="1" ht="13.8" thickBot="1">
      <c r="A42" s="2918" t="s">
        <v>2824</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5" thickTop="1"/>
    <row r="44" spans="1:30">
      <c r="A44" s="3143"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7" t="s">
        <v>452</v>
      </c>
      <c r="C1" s="3517"/>
      <c r="D1" s="3517"/>
      <c r="E1" s="3517"/>
      <c r="F1" s="3517"/>
      <c r="G1" s="3513" t="s">
        <v>453</v>
      </c>
      <c r="H1" s="3513"/>
      <c r="I1" s="3513"/>
      <c r="J1" s="3513"/>
      <c r="K1" s="3513"/>
      <c r="L1" s="3513"/>
      <c r="N1" s="3513" t="s">
        <v>454</v>
      </c>
      <c r="O1" s="3513"/>
      <c r="P1" s="3513"/>
      <c r="Q1" s="3513"/>
      <c r="S1" s="3513" t="s">
        <v>455</v>
      </c>
      <c r="T1" s="3513"/>
      <c r="U1" s="3513"/>
      <c r="V1" s="3513"/>
      <c r="X1" s="3512" t="s">
        <v>456</v>
      </c>
      <c r="Y1" s="3513"/>
      <c r="Z1" s="3513"/>
      <c r="AA1" s="3513"/>
      <c r="AB1" s="3513"/>
      <c r="AD1" s="3512" t="s">
        <v>457</v>
      </c>
      <c r="AE1" s="3513"/>
      <c r="AF1" s="3513"/>
      <c r="AG1" s="3513"/>
      <c r="AH1" s="3513"/>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5">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6">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5">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6">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C13" sqref="C13: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45526</v>
      </c>
      <c r="D1" s="1216" t="s">
        <v>603</v>
      </c>
      <c r="E1" s="1211">
        <f>'数据-取费表'!B22</f>
        <v>2.5</v>
      </c>
      <c r="F1" s="1216" t="s">
        <v>604</v>
      </c>
      <c r="G1" s="1212">
        <f ca="1">INDIRECT("d"&amp;$K$1)/100</f>
        <v>3.3500000000000002E-2</v>
      </c>
      <c r="H1" s="1216" t="s">
        <v>634</v>
      </c>
      <c r="I1" s="1212">
        <f ca="1">F4/100</f>
        <v>1.4999999999999999E-2</v>
      </c>
      <c r="J1" s="1217">
        <f>IF(C1&gt;C13,0,MATCH(C1,C$13:C$113,-1))+IF(SUMIF(C13:C113,C1,D13:D113)=0,13,12)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5">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44701</v>
      </c>
      <c r="D18" s="1204">
        <v>3.7</v>
      </c>
      <c r="E18" s="1204">
        <f>D18</f>
        <v>3.7</v>
      </c>
      <c r="F18" s="1204">
        <f>D18</f>
        <v>3.7</v>
      </c>
      <c r="G18" s="1204">
        <f>D18</f>
        <v>3.7</v>
      </c>
      <c r="H18" s="1204">
        <v>4.45</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6"/>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5.6">
      <c r="B25" s="1199" t="s">
        <v>2309</v>
      </c>
      <c r="C25" s="1206">
        <v>43697</v>
      </c>
      <c r="D25" s="2574">
        <v>4.25</v>
      </c>
      <c r="E25" s="2574">
        <v>4.25</v>
      </c>
      <c r="F25" s="2574">
        <v>4.25</v>
      </c>
      <c r="G25" s="2574">
        <v>4.25</v>
      </c>
      <c r="H25" s="2574">
        <v>4.8499999999999996</v>
      </c>
      <c r="I25" s="2574"/>
      <c r="J25" s="257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2577"/>
      <c r="C26" s="2578">
        <v>42301</v>
      </c>
      <c r="D26" s="2579">
        <v>4.3499999999999996</v>
      </c>
      <c r="E26" s="2579">
        <v>4.3499999999999996</v>
      </c>
      <c r="F26" s="2579">
        <v>4.75</v>
      </c>
      <c r="G26" s="2579">
        <v>4.75</v>
      </c>
      <c r="H26" s="2579">
        <v>4.9000000000000004</v>
      </c>
      <c r="I26" s="2579"/>
      <c r="J26" s="257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6">
      <c r="A3" s="3195"/>
      <c r="B3" s="3195"/>
      <c r="C3" s="3195"/>
      <c r="D3" s="801" t="s">
        <v>925</v>
      </c>
      <c r="E3" s="801" t="s">
        <v>931</v>
      </c>
      <c r="F3" s="801" t="s">
        <v>925</v>
      </c>
      <c r="G3" s="801" t="s">
        <v>926</v>
      </c>
      <c r="H3" s="801" t="s">
        <v>925</v>
      </c>
      <c r="I3" s="801" t="s">
        <v>926</v>
      </c>
    </row>
    <row r="4" spans="1:9" ht="15">
      <c r="A4" s="1402" t="str">
        <f>项目基本情况!S2</f>
        <v>北京市房地产</v>
      </c>
      <c r="B4" s="801">
        <f>项目基本情况!C17</f>
        <v>40045.229999999996</v>
      </c>
      <c r="C4" s="801">
        <f>项目基本情况!C18</f>
        <v>8274.56</v>
      </c>
      <c r="D4" s="801">
        <f ca="1">结果表!D118</f>
        <v>84392</v>
      </c>
      <c r="E4" s="801">
        <f ca="1">结果表!E118</f>
        <v>21075</v>
      </c>
      <c r="F4" s="801">
        <f ca="1">结果表!F118</f>
        <v>23388</v>
      </c>
      <c r="G4" s="801">
        <f ca="1">结果表!G118</f>
        <v>5840</v>
      </c>
      <c r="H4" s="801">
        <f ca="1">结果表!H118</f>
        <v>107780</v>
      </c>
      <c r="I4" s="801">
        <f ca="1">结果表!I118</f>
        <v>26915</v>
      </c>
    </row>
    <row r="5" spans="1:9" ht="30" customHeight="1">
      <c r="A5" s="3195" t="s">
        <v>927</v>
      </c>
      <c r="B5" s="3195"/>
      <c r="C5" s="3195"/>
      <c r="D5" s="3195" t="str">
        <f ca="1">结果表!D119</f>
        <v>捌亿肆仟叁佰玖拾贰万元整</v>
      </c>
      <c r="E5" s="3195"/>
      <c r="F5" s="3195" t="str">
        <f ca="1">结果表!F119</f>
        <v>贰亿叁仟叁佰捌拾捌万元整</v>
      </c>
      <c r="G5" s="3195"/>
      <c r="H5" s="3195" t="str">
        <f ca="1">结果表!H119</f>
        <v>壹拾亿柒仟柒佰捌拾万元整</v>
      </c>
      <c r="I5" s="3195"/>
    </row>
    <row r="6" spans="1:9" ht="15.6">
      <c r="A6" s="3194" t="str">
        <f>结果表!A120</f>
        <v>估价师知悉的法定优先受偿款</v>
      </c>
      <c r="B6" s="3194"/>
      <c r="C6" s="3194"/>
      <c r="D6" s="3194">
        <f>结果表!D120</f>
        <v>0</v>
      </c>
      <c r="E6" s="3194"/>
      <c r="F6" s="3194"/>
      <c r="G6" s="3194"/>
      <c r="H6" s="3194"/>
      <c r="I6" s="3194"/>
    </row>
    <row r="7" spans="1:9" ht="15">
      <c r="A7" s="3195" t="s">
        <v>927</v>
      </c>
      <c r="B7" s="3195"/>
      <c r="C7" s="3195"/>
      <c r="D7" s="3196" t="str">
        <f>结果表!D121</f>
        <v>零元整</v>
      </c>
      <c r="E7" s="3197"/>
      <c r="F7" s="3197"/>
      <c r="G7" s="3197"/>
      <c r="H7" s="3197"/>
      <c r="I7" s="3198"/>
    </row>
    <row r="8" spans="1:9" ht="15.6">
      <c r="A8" s="3194" t="str">
        <f>结果表!A122</f>
        <v>房地产抵押价值</v>
      </c>
      <c r="B8" s="3194"/>
      <c r="C8" s="3194"/>
      <c r="D8" s="3194">
        <f ca="1">结果表!D122</f>
        <v>107780</v>
      </c>
      <c r="E8" s="3194"/>
      <c r="F8" s="3194"/>
      <c r="G8" s="3194"/>
      <c r="H8" s="3194"/>
      <c r="I8" s="3194"/>
    </row>
    <row r="9" spans="1:9" ht="15">
      <c r="A9" s="3195" t="s">
        <v>927</v>
      </c>
      <c r="B9" s="3195"/>
      <c r="C9" s="3195"/>
      <c r="D9" s="3195" t="str">
        <f ca="1">结果表!D123</f>
        <v>壹拾亿柒仟柒佰捌拾万元整</v>
      </c>
      <c r="E9" s="3195"/>
      <c r="F9" s="3195"/>
      <c r="G9" s="3195"/>
      <c r="H9" s="3195"/>
      <c r="I9" s="3195"/>
    </row>
    <row r="10" spans="1:9" ht="15.6">
      <c r="A10" s="3194" t="str">
        <f>结果表!A124</f>
        <v/>
      </c>
      <c r="B10" s="3194"/>
      <c r="C10" s="3194"/>
      <c r="D10" s="3194" t="str">
        <f>结果表!D124</f>
        <v>——</v>
      </c>
      <c r="E10" s="3194"/>
      <c r="F10" s="3194"/>
      <c r="G10" s="3194"/>
      <c r="H10" s="3194"/>
      <c r="I10" s="3194"/>
    </row>
    <row r="11" spans="1:9" ht="15">
      <c r="A11" s="3195" t="s">
        <v>927</v>
      </c>
      <c r="B11" s="3195"/>
      <c r="C11" s="3195"/>
      <c r="D11" s="3195" t="e">
        <f>结果表!D125</f>
        <v>#VALUE!</v>
      </c>
      <c r="E11" s="3195"/>
      <c r="F11" s="3195"/>
      <c r="G11" s="3195"/>
      <c r="H11" s="3195"/>
      <c r="I11" s="3195"/>
    </row>
    <row r="12" spans="1:9" ht="15.6">
      <c r="A12" s="3194" t="str">
        <f>结果表!A126</f>
        <v>抵押净值</v>
      </c>
      <c r="B12" s="3194"/>
      <c r="C12" s="3194"/>
      <c r="D12" s="3194">
        <f ca="1">结果表!D126</f>
        <v>96846</v>
      </c>
      <c r="E12" s="3194"/>
      <c r="F12" s="3194"/>
      <c r="G12" s="3194"/>
      <c r="H12" s="3194"/>
      <c r="I12" s="3194"/>
    </row>
    <row r="13" spans="1:9" ht="15.6" thickBot="1">
      <c r="A13" s="3192" t="s">
        <v>927</v>
      </c>
      <c r="B13" s="3192"/>
      <c r="C13" s="3192"/>
      <c r="D13" s="3192" t="str">
        <f ca="1">结果表!D127</f>
        <v>玖亿陆仟捌佰肆拾陆万元整</v>
      </c>
      <c r="E13" s="3192"/>
      <c r="F13" s="3192"/>
      <c r="G13" s="3192"/>
      <c r="H13" s="3192"/>
      <c r="I13" s="3192"/>
    </row>
    <row r="14" spans="1:9" ht="14.4" thickTop="1">
      <c r="A14" s="3193" t="s">
        <v>932</v>
      </c>
      <c r="B14" s="3193"/>
      <c r="C14" s="3193"/>
      <c r="D14" s="3193"/>
      <c r="E14" s="3193"/>
      <c r="F14" s="3193"/>
      <c r="G14" s="3193"/>
      <c r="H14" s="3193"/>
      <c r="I14" s="3193"/>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7" t="s">
        <v>949</v>
      </c>
      <c r="B1" s="3207"/>
      <c r="C1" s="3207"/>
      <c r="D1" s="3207"/>
    </row>
    <row r="2" spans="1:4" ht="17.399999999999999">
      <c r="A2" s="3208" t="s">
        <v>933</v>
      </c>
      <c r="B2" s="3208"/>
      <c r="C2" s="3208"/>
      <c r="D2" s="3208"/>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7.399999999999999">
      <c r="A6" s="3208" t="s">
        <v>939</v>
      </c>
      <c r="B6" s="3208"/>
      <c r="C6" s="3208"/>
      <c r="D6" s="3208"/>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9" t="s">
        <v>942</v>
      </c>
      <c r="B11" s="3201"/>
      <c r="C11" s="3201"/>
      <c r="D11" s="3201"/>
    </row>
    <row r="12" spans="1:4" ht="15.6">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1" t="str">
        <f>IF(项目基本情况!B8="抵押","4.本次评估估价师所知悉的法定优先受偿款情况说明如下：","——")</f>
        <v>4.本次评估估价师所知悉的法定优先受偿款情况说明如下：</v>
      </c>
      <c r="B14" s="3206"/>
      <c r="C14" s="3206"/>
      <c r="D14" s="3206"/>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3" t="s">
        <v>943</v>
      </c>
      <c r="B16" s="3203"/>
      <c r="C16" s="3203"/>
      <c r="D16" s="3203"/>
    </row>
    <row r="17" spans="1:4" ht="144" customHeight="1">
      <c r="A17" s="3203" t="s">
        <v>944</v>
      </c>
      <c r="B17" s="3203"/>
      <c r="C17" s="3203"/>
      <c r="D17" s="3203"/>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4"/>
      <c r="C21" s="3204"/>
      <c r="D21" s="3204"/>
    </row>
    <row r="22" spans="1:4" ht="18.75" customHeight="1">
      <c r="A22" s="3205" t="s">
        <v>945</v>
      </c>
      <c r="B22" s="3205"/>
      <c r="C22" s="3205"/>
      <c r="D22" s="3205"/>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5" t="s">
        <v>956</v>
      </c>
      <c r="B15" s="3210" t="s">
        <v>109</v>
      </c>
      <c r="C15" s="3211"/>
    </row>
    <row r="16" spans="1:7" ht="14.4">
      <c r="A16" s="3216"/>
      <c r="B16" s="3210" t="s">
        <v>42</v>
      </c>
      <c r="C16" s="3211"/>
    </row>
    <row r="17" spans="1:3" ht="14.4">
      <c r="A17" s="3216"/>
      <c r="B17" s="3213" t="s">
        <v>957</v>
      </c>
      <c r="C17" s="1428" t="s">
        <v>956</v>
      </c>
    </row>
    <row r="18" spans="1:3" ht="14.4">
      <c r="A18" s="3216"/>
      <c r="B18" s="3213"/>
      <c r="C18" s="1428" t="s">
        <v>958</v>
      </c>
    </row>
    <row r="19" spans="1:3" ht="14.4">
      <c r="A19" s="3216"/>
      <c r="B19" s="3213"/>
      <c r="C19" s="1428" t="s">
        <v>959</v>
      </c>
    </row>
    <row r="20" spans="1:3" ht="14.4">
      <c r="A20" s="3217"/>
      <c r="B20" s="3212" t="s">
        <v>960</v>
      </c>
      <c r="C20" s="3211"/>
    </row>
    <row r="21" spans="1:3" ht="14.4">
      <c r="A21" s="1429" t="s">
        <v>961</v>
      </c>
      <c r="B21" s="1430"/>
      <c r="C21" s="1431"/>
    </row>
    <row r="22" spans="1:3" ht="14.4">
      <c r="A22" s="3214" t="s">
        <v>962</v>
      </c>
      <c r="B22" s="3212" t="s">
        <v>963</v>
      </c>
      <c r="C22" s="3211"/>
    </row>
    <row r="23" spans="1:3" ht="14.4">
      <c r="A23" s="3214"/>
      <c r="B23" s="3212" t="s">
        <v>964</v>
      </c>
      <c r="C23" s="3211"/>
    </row>
    <row r="24" spans="1:3" ht="14.4">
      <c r="A24" s="3214"/>
      <c r="B24" s="3212" t="s">
        <v>965</v>
      </c>
      <c r="C24" s="3211"/>
    </row>
    <row r="25" spans="1:3" ht="14.4">
      <c r="A25" s="3214"/>
      <c r="B25" s="3213" t="s">
        <v>966</v>
      </c>
      <c r="C25" s="1428" t="s">
        <v>967</v>
      </c>
    </row>
    <row r="26" spans="1:3" ht="14.4">
      <c r="A26" s="3214"/>
      <c r="B26" s="3213"/>
      <c r="C26" s="1428" t="s">
        <v>968</v>
      </c>
    </row>
    <row r="27" spans="1:3" ht="14.4">
      <c r="A27" s="3214"/>
      <c r="B27" s="3213"/>
      <c r="C27" s="1428" t="s">
        <v>969</v>
      </c>
    </row>
    <row r="28" spans="1:3" ht="14.4">
      <c r="A28" s="3214"/>
      <c r="B28" s="3213"/>
      <c r="C28" s="1428" t="s">
        <v>970</v>
      </c>
    </row>
    <row r="29" spans="1:3" ht="14.4">
      <c r="A29" s="3214"/>
      <c r="B29" s="3213"/>
      <c r="C29" s="1428" t="s">
        <v>971</v>
      </c>
    </row>
    <row r="30" spans="1:3" ht="14.4">
      <c r="A30" s="3214"/>
      <c r="B30" s="3213"/>
      <c r="C30" s="1428" t="s">
        <v>972</v>
      </c>
    </row>
    <row r="31" spans="1:3" ht="14.4">
      <c r="A31" s="3214"/>
      <c r="B31" s="3213"/>
      <c r="C31" s="1428" t="s">
        <v>973</v>
      </c>
    </row>
    <row r="32" spans="1:3" ht="14.4">
      <c r="A32" s="3214"/>
      <c r="B32" s="3213"/>
      <c r="C32" s="1428" t="s">
        <v>974</v>
      </c>
    </row>
    <row r="33" spans="1:3" ht="14.4">
      <c r="A33" s="3214"/>
      <c r="B33" s="3213"/>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45736</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59"/>
      <c r="E18" s="3220" t="s">
        <v>2162</v>
      </c>
      <c r="F18" s="3219"/>
      <c r="G18" s="3219"/>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4" priority="32" stopIfTrue="1" operator="equal">
      <formula>"已过期"</formula>
    </cfRule>
  </conditionalFormatting>
  <conditionalFormatting sqref="B4:B15">
    <cfRule type="cellIs" dxfId="173" priority="4" stopIfTrue="1" operator="equal">
      <formula>"已过期"</formula>
    </cfRule>
  </conditionalFormatting>
  <conditionalFormatting sqref="C7:C12">
    <cfRule type="expression" dxfId="172" priority="22">
      <formula>AND($C7-TODAY()&lt;30,TODAY()&lt;$C7)</formula>
    </cfRule>
    <cfRule type="cellIs" dxfId="171" priority="23" stopIfTrue="1" operator="lessThan">
      <formula>$B$2</formula>
    </cfRule>
  </conditionalFormatting>
  <conditionalFormatting sqref="C14:C15">
    <cfRule type="expression" dxfId="170" priority="7">
      <formula>AND($C14-TODAY()&lt;30,TODAY()&lt;$C14)</formula>
    </cfRule>
    <cfRule type="cellIs" dxfId="169" priority="8" stopIfTrue="1" operator="lessThan">
      <formula>$B$2</formula>
    </cfRule>
  </conditionalFormatting>
  <conditionalFormatting sqref="C4:D6 D14">
    <cfRule type="cellIs" dxfId="168" priority="50" stopIfTrue="1" operator="lessThan">
      <formula>$B$2</formula>
    </cfRule>
  </conditionalFormatting>
  <conditionalFormatting sqref="C12:D13">
    <cfRule type="expression" dxfId="167" priority="47">
      <formula>AND($C12-TODAY()&lt;30,TODAY()&lt;$C12)</formula>
    </cfRule>
  </conditionalFormatting>
  <conditionalFormatting sqref="C13:D14">
    <cfRule type="expression" dxfId="166" priority="18">
      <formula>AND($C13-TODAY()&lt;30,TODAY()&lt;$C13)</formula>
    </cfRule>
    <cfRule type="cellIs" dxfId="165" priority="19" stopIfTrue="1" operator="lessThan">
      <formula>$B$2</formula>
    </cfRule>
  </conditionalFormatting>
  <conditionalFormatting sqref="C15:D15">
    <cfRule type="expression" dxfId="164" priority="5">
      <formula>AND($C15-TODAY()&lt;30,TODAY()&lt;$C15)</formula>
    </cfRule>
    <cfRule type="cellIs" dxfId="163" priority="6" stopIfTrue="1" operator="lessThan">
      <formula>$B$2</formula>
    </cfRule>
  </conditionalFormatting>
  <conditionalFormatting sqref="C20:D20 C13:D13">
    <cfRule type="cellIs" dxfId="162" priority="54" stopIfTrue="1" operator="lessThan">
      <formula>$B$2</formula>
    </cfRule>
  </conditionalFormatting>
  <conditionalFormatting sqref="C20:D20">
    <cfRule type="expression" dxfId="161" priority="52">
      <formula>AND($C20-TODAY()&lt;30,TODAY()&lt;$C20)</formula>
    </cfRule>
  </conditionalFormatting>
  <conditionalFormatting sqref="D7:D12 D16">
    <cfRule type="expression" dxfId="160" priority="53">
      <formula>AND($C7-TODAY()&lt;30,TODAY()&lt;$C7)</formula>
    </cfRule>
  </conditionalFormatting>
  <conditionalFormatting sqref="D7:D12">
    <cfRule type="cellIs" dxfId="159" priority="48" stopIfTrue="1" operator="lessThan">
      <formula>$B$2</formula>
    </cfRule>
  </conditionalFormatting>
  <conditionalFormatting sqref="D14 C4:D6">
    <cfRule type="expression" dxfId="158" priority="49">
      <formula>AND($C4-TODAY()&lt;30,TODAY()&lt;$C4)</formula>
    </cfRule>
  </conditionalFormatting>
  <conditionalFormatting sqref="D15:D16">
    <cfRule type="expression" dxfId="157" priority="12">
      <formula>AND($C15-TODAY()&lt;30,TODAY()&lt;$C15)</formula>
    </cfRule>
    <cfRule type="cellIs" dxfId="156" priority="13" stopIfTrue="1" operator="lessThan">
      <formula>$B$2</formula>
    </cfRule>
  </conditionalFormatting>
  <conditionalFormatting sqref="E16:G16">
    <cfRule type="cellIs" dxfId="155" priority="31" stopIfTrue="1" operator="equal">
      <formula>"已过期"</formula>
    </cfRule>
  </conditionalFormatting>
  <conditionalFormatting sqref="F4:F15">
    <cfRule type="cellIs" dxfId="154" priority="9" stopIfTrue="1" operator="equal">
      <formula>"已过期"</formula>
    </cfRule>
  </conditionalFormatting>
  <conditionalFormatting sqref="G4:G15">
    <cfRule type="cellIs" dxfId="153" priority="3" stopIfTrue="1" operator="lessThan">
      <formula>$B$2</formula>
    </cfRule>
  </conditionalFormatting>
  <conditionalFormatting sqref="G20:G21">
    <cfRule type="expression" dxfId="152" priority="1" stopIfTrue="1">
      <formula>AND(#REF!-TODAY()&lt;30,TODAY()&lt;#REF!)</formula>
    </cfRule>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面积取值</vt:lpstr>
      <vt:lpstr>数据-汇总表</vt:lpstr>
      <vt:lpstr>数据-取费表</vt:lpstr>
      <vt:lpstr>估价对象房地状况</vt:lpstr>
      <vt:lpstr>系统读取表</vt:lpstr>
      <vt:lpstr>结果表</vt:lpstr>
      <vt:lpstr>土地比较法-住宅、综合</vt:lpstr>
      <vt:lpstr>土地案例</vt:lpstr>
      <vt:lpstr>收益法（汇总）</vt:lpstr>
      <vt:lpstr>成本法</vt:lpstr>
      <vt:lpstr>成本法 (元)</vt:lpstr>
      <vt:lpstr>假设开发法</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收益法办</vt:lpstr>
      <vt:lpstr>收益法车</vt:lpstr>
      <vt:lpstr>区片价</vt:lpstr>
      <vt:lpstr>因素修正幅度</vt:lpstr>
      <vt:lpstr>区片价（范围）</vt:lpstr>
      <vt:lpstr>基准地价修正</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2025-03-20T03:11:42Z</dcterms:modified>
</cp:coreProperties>
</file>